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hanna/Documents/UVA/Manuscritos/Almería/"/>
    </mc:Choice>
  </mc:AlternateContent>
  <xr:revisionPtr revIDLastSave="0" documentId="13_ncr:1_{6F3A41A4-6481-164C-974B-6D05FD8A055B}" xr6:coauthVersionLast="47" xr6:coauthVersionMax="47" xr10:uidLastSave="{00000000-0000-0000-0000-000000000000}"/>
  <bookViews>
    <workbookView xWindow="0" yWindow="500" windowWidth="14240" windowHeight="13400" tabRatio="609" xr2:uid="{00000000-000D-0000-FFFF-FFFF00000000}"/>
  </bookViews>
  <sheets>
    <sheet name="BM dato product Martina" sheetId="16" r:id="rId1"/>
    <sheet name="con K_DES que cierra" sheetId="17" r:id="rId2"/>
    <sheet name="Hoja1" sheetId="6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7" i="16" l="1"/>
  <c r="J176" i="16"/>
  <c r="I175" i="16"/>
  <c r="I73" i="16" a="1"/>
  <c r="I73" i="16" s="1"/>
  <c r="K96" i="16" l="1"/>
  <c r="G123" i="16" s="1"/>
  <c r="G145" i="17"/>
  <c r="I74" i="17" s="1"/>
  <c r="O74" i="17" s="1"/>
  <c r="I177" i="17"/>
  <c r="I175" i="17"/>
  <c r="I171" i="17"/>
  <c r="G171" i="17"/>
  <c r="I170" i="17"/>
  <c r="G170" i="17"/>
  <c r="I169" i="17"/>
  <c r="G169" i="17"/>
  <c r="I152" i="17"/>
  <c r="I150" i="17"/>
  <c r="I146" i="17"/>
  <c r="G146" i="17"/>
  <c r="I75" i="17" s="1"/>
  <c r="L75" i="17" s="1"/>
  <c r="I145" i="17"/>
  <c r="I144" i="17"/>
  <c r="G144" i="17"/>
  <c r="I73" i="17" s="1"/>
  <c r="L73" i="17" s="1"/>
  <c r="I125" i="17"/>
  <c r="I123" i="17"/>
  <c r="I119" i="17"/>
  <c r="G119" i="17"/>
  <c r="I118" i="17"/>
  <c r="G118" i="17"/>
  <c r="I117" i="17"/>
  <c r="G117" i="17"/>
  <c r="K98" i="17"/>
  <c r="G125" i="17" s="1"/>
  <c r="K97" i="17"/>
  <c r="G124" i="17" s="1"/>
  <c r="K96" i="17"/>
  <c r="G123" i="17" s="1"/>
  <c r="E85" i="17"/>
  <c r="K72" i="17"/>
  <c r="J72" i="17" s="1"/>
  <c r="I72" i="17" s="1"/>
  <c r="C70" i="17"/>
  <c r="K62" i="17"/>
  <c r="E62" i="17"/>
  <c r="F51" i="17"/>
  <c r="F50" i="17"/>
  <c r="D11" i="17"/>
  <c r="C47" i="17" s="1"/>
  <c r="C51" i="17" s="1"/>
  <c r="E51" i="17" s="1"/>
  <c r="E8" i="17"/>
  <c r="C71" i="17" s="1"/>
  <c r="E7" i="17"/>
  <c r="E6" i="17"/>
  <c r="E5" i="17"/>
  <c r="C68" i="17" s="1"/>
  <c r="E4" i="17"/>
  <c r="C67" i="17" s="1"/>
  <c r="K2" i="17"/>
  <c r="G145" i="16"/>
  <c r="G117" i="16"/>
  <c r="C53" i="17" l="1"/>
  <c r="D13" i="17"/>
  <c r="L74" i="17"/>
  <c r="C54" i="17"/>
  <c r="E50" i="17"/>
  <c r="D47" i="17"/>
  <c r="D48" i="17" s="1"/>
  <c r="D49" i="17" s="1"/>
  <c r="D16" i="17"/>
  <c r="C55" i="17"/>
  <c r="C69" i="17"/>
  <c r="C52" i="17"/>
  <c r="E52" i="17" s="1"/>
  <c r="E53" i="17"/>
  <c r="E80" i="17"/>
  <c r="G54" i="17"/>
  <c r="C48" i="17"/>
  <c r="C49" i="17" s="1"/>
  <c r="O73" i="17"/>
  <c r="O75" i="17"/>
  <c r="E47" i="17" l="1"/>
  <c r="E72" i="17" s="1"/>
  <c r="G53" i="17"/>
  <c r="E66" i="17"/>
  <c r="D123" i="17"/>
  <c r="D19" i="17"/>
  <c r="N51" i="17"/>
  <c r="N50" i="17"/>
  <c r="D121" i="17"/>
  <c r="K50" i="17"/>
  <c r="G47" i="17"/>
  <c r="D122" i="17"/>
  <c r="K51" i="17"/>
  <c r="H54" i="17"/>
  <c r="E82" i="17"/>
  <c r="E54" i="17"/>
  <c r="E69" i="17"/>
  <c r="H53" i="17"/>
  <c r="E81" i="17"/>
  <c r="E55" i="17"/>
  <c r="B138" i="17"/>
  <c r="E57" i="17"/>
  <c r="E48" i="17"/>
  <c r="E49" i="17" s="1"/>
  <c r="B139" i="17"/>
  <c r="B137" i="17"/>
  <c r="B164" i="17"/>
  <c r="B162" i="17"/>
  <c r="B117" i="17"/>
  <c r="E58" i="17"/>
  <c r="B118" i="17"/>
  <c r="B163" i="17"/>
  <c r="B119" i="17"/>
  <c r="E56" i="17"/>
  <c r="E67" i="17"/>
  <c r="E68" i="17" l="1"/>
  <c r="H55" i="17"/>
  <c r="E71" i="17"/>
  <c r="K61" i="17"/>
  <c r="H50" i="17"/>
  <c r="K60" i="17"/>
  <c r="M55" i="17"/>
  <c r="M50" i="17"/>
  <c r="M53" i="17"/>
  <c r="K59" i="17"/>
  <c r="G48" i="17"/>
  <c r="F47" i="17"/>
  <c r="N60" i="17"/>
  <c r="P60" i="17" s="1"/>
  <c r="P53" i="17"/>
  <c r="P50" i="17"/>
  <c r="N59" i="17"/>
  <c r="P59" i="17" s="1"/>
  <c r="P55" i="17"/>
  <c r="N61" i="17"/>
  <c r="P61" i="17" s="1"/>
  <c r="C167" i="17"/>
  <c r="C141" i="17"/>
  <c r="C122" i="17"/>
  <c r="C143" i="17"/>
  <c r="C168" i="17"/>
  <c r="C142" i="17"/>
  <c r="C123" i="17"/>
  <c r="C166" i="17"/>
  <c r="D20" i="17"/>
  <c r="C121" i="17"/>
  <c r="G82" i="17"/>
  <c r="E70" i="17"/>
  <c r="H51" i="17"/>
  <c r="M52" i="17"/>
  <c r="M51" i="17"/>
  <c r="P51" i="17"/>
  <c r="P52" i="17"/>
  <c r="K158" i="17" l="1"/>
  <c r="K134" i="17"/>
  <c r="K160" i="17"/>
  <c r="K133" i="17"/>
  <c r="K159" i="17"/>
  <c r="K135" i="17"/>
  <c r="D21" i="17"/>
  <c r="P63" i="17"/>
  <c r="E83" i="17"/>
  <c r="H47" i="17"/>
  <c r="H59" i="17"/>
  <c r="H63" i="17" s="1"/>
  <c r="M59" i="17"/>
  <c r="M63" i="17" s="1"/>
  <c r="M60" i="17"/>
  <c r="H60" i="17"/>
  <c r="G49" i="17"/>
  <c r="F49" i="17" s="1"/>
  <c r="F48" i="17"/>
  <c r="J50" i="17"/>
  <c r="F86" i="17"/>
  <c r="H66" i="17"/>
  <c r="E86" i="17"/>
  <c r="M61" i="17"/>
  <c r="H61" i="17"/>
  <c r="H71" i="17"/>
  <c r="G177" i="17" l="1"/>
  <c r="D168" i="17"/>
  <c r="D164" i="17"/>
  <c r="E143" i="17"/>
  <c r="E167" i="17"/>
  <c r="E141" i="17"/>
  <c r="E166" i="17"/>
  <c r="E121" i="17"/>
  <c r="H48" i="17"/>
  <c r="H49" i="17" s="1"/>
  <c r="E122" i="17"/>
  <c r="E168" i="17"/>
  <c r="E123" i="17"/>
  <c r="E142" i="17"/>
  <c r="D117" i="17"/>
  <c r="H69" i="17"/>
  <c r="D119" i="17"/>
  <c r="D118" i="17"/>
  <c r="G152" i="17"/>
  <c r="J75" i="17" s="1"/>
  <c r="M75" i="17" s="1"/>
  <c r="D143" i="17"/>
  <c r="D139" i="17"/>
  <c r="G151" i="17"/>
  <c r="J74" i="17" s="1"/>
  <c r="M74" i="17" s="1"/>
  <c r="D142" i="17"/>
  <c r="D138" i="17"/>
  <c r="G176" i="17"/>
  <c r="D167" i="17"/>
  <c r="D163" i="17"/>
  <c r="G175" i="17"/>
  <c r="D166" i="17"/>
  <c r="D162" i="17"/>
  <c r="J57" i="17"/>
  <c r="G150" i="17"/>
  <c r="J73" i="17" s="1"/>
  <c r="M73" i="17" s="1"/>
  <c r="D141" i="17"/>
  <c r="D137" i="17"/>
  <c r="H67" i="17"/>
  <c r="N47" i="17" s="1"/>
  <c r="J56" i="17" l="1"/>
  <c r="N48" i="17"/>
  <c r="N66" i="17"/>
  <c r="N67" i="17"/>
  <c r="K47" i="17"/>
  <c r="P75" i="17"/>
  <c r="P58" i="17" s="1"/>
  <c r="M58" i="17"/>
  <c r="P73" i="17"/>
  <c r="P56" i="17" s="1"/>
  <c r="M56" i="17"/>
  <c r="P74" i="17"/>
  <c r="P57" i="17" s="1"/>
  <c r="M57" i="17"/>
  <c r="J58" i="17"/>
  <c r="I49" i="17"/>
  <c r="H70" i="17"/>
  <c r="H44" i="17"/>
  <c r="I58" i="17" l="1"/>
  <c r="H58" i="17" s="1"/>
  <c r="I56" i="17"/>
  <c r="H56" i="17" s="1"/>
  <c r="I57" i="17"/>
  <c r="H57" i="17" s="1"/>
  <c r="K48" i="17"/>
  <c r="K49" i="17" s="1"/>
  <c r="F83" i="17"/>
  <c r="K67" i="17"/>
  <c r="K66" i="17"/>
  <c r="N49" i="17"/>
  <c r="N44" i="17"/>
  <c r="O55" i="17" l="1"/>
  <c r="N52" i="17"/>
  <c r="N68" i="17" s="1"/>
  <c r="O49" i="17"/>
  <c r="N55" i="17"/>
  <c r="N71" i="17" s="1"/>
  <c r="N54" i="17"/>
  <c r="O53" i="17"/>
  <c r="O52" i="17"/>
  <c r="O68" i="17" s="1"/>
  <c r="N53" i="17"/>
  <c r="N69" i="17" s="1"/>
  <c r="N62" i="17"/>
  <c r="K55" i="17"/>
  <c r="L53" i="17"/>
  <c r="K53" i="17"/>
  <c r="L55" i="17"/>
  <c r="K54" i="17"/>
  <c r="K52" i="17"/>
  <c r="L49" i="17"/>
  <c r="L52" i="17"/>
  <c r="K44" i="17"/>
  <c r="O69" i="17" l="1"/>
  <c r="L68" i="17"/>
  <c r="L71" i="17"/>
  <c r="O71" i="17"/>
  <c r="L58" i="17"/>
  <c r="K58" i="17" s="1"/>
  <c r="L56" i="17"/>
  <c r="K56" i="17" s="1"/>
  <c r="L57" i="17"/>
  <c r="K57" i="17" s="1"/>
  <c r="K70" i="17"/>
  <c r="L54" i="17"/>
  <c r="L70" i="17" s="1"/>
  <c r="F82" i="17"/>
  <c r="H82" i="17" s="1"/>
  <c r="F81" i="17"/>
  <c r="K71" i="17"/>
  <c r="L72" i="17"/>
  <c r="H62" i="17"/>
  <c r="H72" i="17" s="1"/>
  <c r="O54" i="17"/>
  <c r="O70" i="17" s="1"/>
  <c r="N70" i="17"/>
  <c r="K69" i="17"/>
  <c r="F80" i="17"/>
  <c r="K68" i="17"/>
  <c r="G52" i="17"/>
  <c r="H52" i="17" s="1"/>
  <c r="H68" i="17" s="1"/>
  <c r="L69" i="17"/>
  <c r="F87" i="17"/>
  <c r="E87" i="17"/>
  <c r="O57" i="17"/>
  <c r="N57" i="17" s="1"/>
  <c r="O58" i="17"/>
  <c r="N58" i="17" s="1"/>
  <c r="O56" i="17"/>
  <c r="N56" i="17" s="1"/>
  <c r="G118" i="16" l="1"/>
  <c r="G144" i="16"/>
  <c r="G119" i="16" l="1"/>
  <c r="I177" i="16"/>
  <c r="I171" i="16"/>
  <c r="G171" i="16"/>
  <c r="I170" i="16"/>
  <c r="G170" i="16"/>
  <c r="I169" i="16"/>
  <c r="G169" i="16"/>
  <c r="I152" i="16"/>
  <c r="I150" i="16"/>
  <c r="I146" i="16"/>
  <c r="G146" i="16"/>
  <c r="I75" i="16" s="1"/>
  <c r="O75" i="16" s="1"/>
  <c r="I145" i="16"/>
  <c r="I74" i="16"/>
  <c r="I144" i="16"/>
  <c r="I125" i="16"/>
  <c r="I123" i="16"/>
  <c r="I119" i="16"/>
  <c r="I118" i="16"/>
  <c r="L74" i="16"/>
  <c r="I117" i="16"/>
  <c r="K98" i="16"/>
  <c r="K97" i="16"/>
  <c r="E85" i="16"/>
  <c r="K72" i="16"/>
  <c r="J72" i="16" s="1"/>
  <c r="I72" i="16" s="1"/>
  <c r="K62" i="16"/>
  <c r="E62" i="16"/>
  <c r="F51" i="16"/>
  <c r="F50" i="16"/>
  <c r="D11" i="16"/>
  <c r="C47" i="16" s="1"/>
  <c r="D47" i="16" s="1"/>
  <c r="D48" i="16" s="1"/>
  <c r="D49" i="16" s="1"/>
  <c r="E8" i="16"/>
  <c r="E7" i="16"/>
  <c r="E6" i="16"/>
  <c r="C69" i="16" s="1"/>
  <c r="E5" i="16"/>
  <c r="C52" i="16" s="1"/>
  <c r="E52" i="16" s="1"/>
  <c r="E4" i="16"/>
  <c r="C67" i="16" s="1"/>
  <c r="K2" i="16"/>
  <c r="C68" i="16" l="1"/>
  <c r="O73" i="16"/>
  <c r="D16" i="16"/>
  <c r="C48" i="16"/>
  <c r="C51" i="16"/>
  <c r="E51" i="16" s="1"/>
  <c r="E50" i="16"/>
  <c r="C70" i="16"/>
  <c r="C54" i="16"/>
  <c r="E47" i="16"/>
  <c r="C53" i="16"/>
  <c r="E80" i="16" s="1"/>
  <c r="O74" i="16"/>
  <c r="C71" i="16"/>
  <c r="C55" i="16"/>
  <c r="L75" i="16"/>
  <c r="G124" i="16"/>
  <c r="G125" i="16"/>
  <c r="D13" i="16"/>
  <c r="D123" i="16" l="1"/>
  <c r="D121" i="16"/>
  <c r="L73" i="16"/>
  <c r="D122" i="16"/>
  <c r="E68" i="16"/>
  <c r="B164" i="16"/>
  <c r="B163" i="16"/>
  <c r="B162" i="16"/>
  <c r="E67" i="16"/>
  <c r="E55" i="16"/>
  <c r="E81" i="16"/>
  <c r="E54" i="16"/>
  <c r="G82" i="16" s="1"/>
  <c r="E82" i="16"/>
  <c r="C49" i="16"/>
  <c r="E58" i="16"/>
  <c r="E56" i="16"/>
  <c r="E57" i="16"/>
  <c r="B139" i="16"/>
  <c r="B137" i="16"/>
  <c r="B119" i="16"/>
  <c r="B118" i="16"/>
  <c r="B117" i="16"/>
  <c r="E48" i="16"/>
  <c r="E49" i="16" s="1"/>
  <c r="B138" i="16"/>
  <c r="G47" i="16"/>
  <c r="K51" i="16"/>
  <c r="K50" i="16"/>
  <c r="N51" i="16"/>
  <c r="D19" i="16"/>
  <c r="N50" i="16"/>
  <c r="E53" i="16"/>
  <c r="G54" i="16"/>
  <c r="H54" i="16" s="1"/>
  <c r="E66" i="16"/>
  <c r="E72" i="16"/>
  <c r="C166" i="16" l="1"/>
  <c r="C168" i="16"/>
  <c r="C167" i="16"/>
  <c r="C142" i="16"/>
  <c r="C122" i="16"/>
  <c r="C143" i="16"/>
  <c r="C123" i="16"/>
  <c r="C121" i="16"/>
  <c r="C141" i="16"/>
  <c r="D20" i="16"/>
  <c r="E69" i="16"/>
  <c r="N60" i="16"/>
  <c r="P60" i="16" s="1"/>
  <c r="P53" i="16"/>
  <c r="P50" i="16"/>
  <c r="N61" i="16"/>
  <c r="P61" i="16" s="1"/>
  <c r="P55" i="16"/>
  <c r="N59" i="16"/>
  <c r="P59" i="16" s="1"/>
  <c r="M51" i="16"/>
  <c r="H51" i="16"/>
  <c r="M52" i="16"/>
  <c r="E70" i="16"/>
  <c r="G53" i="16"/>
  <c r="G48" i="16"/>
  <c r="F47" i="16"/>
  <c r="K60" i="16"/>
  <c r="M55" i="16"/>
  <c r="M50" i="16"/>
  <c r="K59" i="16"/>
  <c r="M53" i="16"/>
  <c r="K61" i="16"/>
  <c r="H50" i="16"/>
  <c r="P52" i="16"/>
  <c r="P51" i="16"/>
  <c r="E71" i="16"/>
  <c r="H55" i="16"/>
  <c r="K134" i="16" l="1"/>
  <c r="K133" i="16"/>
  <c r="P63" i="16"/>
  <c r="K159" i="16"/>
  <c r="D167" i="16" s="1"/>
  <c r="K160" i="16"/>
  <c r="K158" i="16"/>
  <c r="D166" i="16" s="1"/>
  <c r="H47" i="16"/>
  <c r="H66" i="16" s="1"/>
  <c r="E83" i="16"/>
  <c r="D21" i="16"/>
  <c r="K135" i="16"/>
  <c r="D143" i="16" s="1"/>
  <c r="D142" i="16"/>
  <c r="E86" i="16"/>
  <c r="J50" i="16"/>
  <c r="F86" i="16"/>
  <c r="M59" i="16"/>
  <c r="M63" i="16" s="1"/>
  <c r="H59" i="16"/>
  <c r="H61" i="16"/>
  <c r="M61" i="16"/>
  <c r="H60" i="16"/>
  <c r="M60" i="16"/>
  <c r="G49" i="16"/>
  <c r="F49" i="16" s="1"/>
  <c r="F48" i="16"/>
  <c r="H53" i="16"/>
  <c r="H67" i="16" l="1"/>
  <c r="N47" i="16" s="1"/>
  <c r="D118" i="16"/>
  <c r="H48" i="16"/>
  <c r="H49" i="16" s="1"/>
  <c r="H44" i="16" s="1"/>
  <c r="E166" i="16"/>
  <c r="E168" i="16"/>
  <c r="E167" i="16"/>
  <c r="D168" i="16"/>
  <c r="D164" i="16"/>
  <c r="G176" i="16"/>
  <c r="D163" i="16"/>
  <c r="D162" i="16"/>
  <c r="G175" i="16"/>
  <c r="J175" i="16" s="1"/>
  <c r="D137" i="16"/>
  <c r="D141" i="16"/>
  <c r="G177" i="16"/>
  <c r="E142" i="16"/>
  <c r="E123" i="16"/>
  <c r="E121" i="16"/>
  <c r="E141" i="16"/>
  <c r="E143" i="16"/>
  <c r="E122" i="16"/>
  <c r="D117" i="16"/>
  <c r="D119" i="16"/>
  <c r="H71" i="16"/>
  <c r="G151" i="16"/>
  <c r="J74" i="16" s="1"/>
  <c r="M74" i="16" s="1"/>
  <c r="D138" i="16"/>
  <c r="H69" i="16"/>
  <c r="H63" i="16"/>
  <c r="G152" i="16"/>
  <c r="J75" i="16" s="1"/>
  <c r="M75" i="16" s="1"/>
  <c r="D139" i="16"/>
  <c r="J57" i="16"/>
  <c r="I49" i="16"/>
  <c r="H70" i="16"/>
  <c r="G150" i="16"/>
  <c r="K47" i="16" l="1"/>
  <c r="N67" i="16"/>
  <c r="N48" i="16"/>
  <c r="N49" i="16" s="1"/>
  <c r="N66" i="16"/>
  <c r="J73" i="16"/>
  <c r="M73" i="16" s="1"/>
  <c r="P75" i="16"/>
  <c r="P58" i="16" s="1"/>
  <c r="M58" i="16"/>
  <c r="P74" i="16"/>
  <c r="P57" i="16" s="1"/>
  <c r="M57" i="16"/>
  <c r="J58" i="16"/>
  <c r="I57" i="16"/>
  <c r="H57" i="16" s="1"/>
  <c r="I56" i="16"/>
  <c r="I58" i="16"/>
  <c r="N44" i="16"/>
  <c r="P73" i="16" l="1"/>
  <c r="P56" i="16" s="1"/>
  <c r="M56" i="16"/>
  <c r="H58" i="16"/>
  <c r="J56" i="16"/>
  <c r="H56" i="16" s="1"/>
  <c r="F83" i="16"/>
  <c r="K48" i="16"/>
  <c r="K49" i="16" s="1"/>
  <c r="K66" i="16"/>
  <c r="K67" i="16"/>
  <c r="L53" i="16"/>
  <c r="O55" i="16"/>
  <c r="N52" i="16"/>
  <c r="N68" i="16" s="1"/>
  <c r="O49" i="16"/>
  <c r="O53" i="16"/>
  <c r="N55" i="16"/>
  <c r="N71" i="16" s="1"/>
  <c r="N62" i="16"/>
  <c r="K53" i="16"/>
  <c r="K54" i="16"/>
  <c r="K44" i="16" l="1"/>
  <c r="L49" i="16"/>
  <c r="K55" i="16"/>
  <c r="K52" i="16"/>
  <c r="N53" i="16"/>
  <c r="N69" i="16" s="1"/>
  <c r="N54" i="16"/>
  <c r="O52" i="16"/>
  <c r="O68" i="16" s="1"/>
  <c r="L55" i="16"/>
  <c r="L71" i="16" s="1"/>
  <c r="L52" i="16"/>
  <c r="L68" i="16" s="1"/>
  <c r="L72" i="16"/>
  <c r="H62" i="16"/>
  <c r="H72" i="16" s="1"/>
  <c r="O58" i="16"/>
  <c r="N58" i="16" s="1"/>
  <c r="O56" i="16"/>
  <c r="N56" i="16" s="1"/>
  <c r="O57" i="16"/>
  <c r="N57" i="16" s="1"/>
  <c r="N70" i="16"/>
  <c r="O54" i="16"/>
  <c r="O70" i="16" s="1"/>
  <c r="L54" i="16"/>
  <c r="L70" i="16" s="1"/>
  <c r="K70" i="16"/>
  <c r="F82" i="16"/>
  <c r="H82" i="16" s="1"/>
  <c r="L69" i="16"/>
  <c r="F87" i="16"/>
  <c r="E87" i="16"/>
  <c r="K68" i="16"/>
  <c r="G52" i="16"/>
  <c r="H52" i="16" s="1"/>
  <c r="H68" i="16" s="1"/>
  <c r="K69" i="16"/>
  <c r="O69" i="16"/>
  <c r="O71" i="16"/>
  <c r="F81" i="16"/>
  <c r="K71" i="16"/>
  <c r="F80" i="16" l="1"/>
  <c r="L56" i="16"/>
  <c r="K56" i="16" s="1"/>
  <c r="L58" i="16"/>
  <c r="K58" i="16" s="1"/>
  <c r="L57" i="16"/>
  <c r="K57" i="1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Rubén</author>
  </authors>
  <commentList>
    <comment ref="K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% de los datos iniciales de Almería
</t>
        </r>
      </text>
    </comment>
    <comment ref="D4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¿?</t>
        </r>
      </text>
    </comment>
    <comment ref="D14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Comprobar este dato de productividad en algún paper de Almería</t>
        </r>
      </text>
    </comment>
    <comment ref="D15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He puesto un valor aproximado al de la figura 1(b)</t>
        </r>
      </text>
    </comment>
    <comment ref="K16" authorId="1" shapeId="0" xr:uid="{00000000-0006-0000-0000-000005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Con una producción de algas tan pequeña se necesita que el %C sea como mínimo del 59,12% ya que si fuera más baja no cerraría el balance al C.</t>
        </r>
      </text>
    </comment>
    <comment ref="D17" authorId="1" shapeId="0" xr:uid="{00000000-0006-0000-0000-000006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Según Elena, dice Martina que la eficacia es mayor al 90%</t>
        </r>
      </text>
    </comment>
    <comment ref="K17" authorId="1" shapeId="0" xr:uid="{00000000-0006-0000-0000-000007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Para una relación Proteinas/NT=5/1
</t>
        </r>
        <r>
          <rPr>
            <sz val="9"/>
            <color rgb="FF000000"/>
            <rFont val="Tahoma"/>
            <family val="2"/>
          </rPr>
          <t xml:space="preserve">(dato que dio Silvia) el %NT debería ser 10,34%, pero no cierra el BM al NT.
</t>
        </r>
        <r>
          <rPr>
            <sz val="9"/>
            <color rgb="FF000000"/>
            <rFont val="Tahoma"/>
            <family val="2"/>
          </rPr>
          <t xml:space="preserve">Para que cierre el BM, el %NT de la biomasa debe ser: 9,94% (Para un % de eliminación del 60% del NT).
</t>
        </r>
        <r>
          <rPr>
            <sz val="9"/>
            <color rgb="FF000000"/>
            <rFont val="Tahoma"/>
            <family val="2"/>
          </rPr>
          <t xml:space="preserve">También cerraría si el 9% de la biomasa fuera NT y la eliminación de NT fuera del 91,5%.
</t>
        </r>
        <r>
          <rPr>
            <sz val="9"/>
            <color rgb="FF000000"/>
            <rFont val="Tahoma"/>
            <family val="2"/>
          </rPr>
          <t xml:space="preserve">En resumen, las casillas amarillas están relacionadas entre sí para que cierre el BM del NT (casilla F77)
</t>
        </r>
      </text>
    </comment>
    <comment ref="D18" authorId="1" shapeId="0" xr:uid="{00000000-0006-0000-0000-000008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Verificar este dato
VERIFICADO</t>
        </r>
      </text>
    </comment>
    <comment ref="D20" authorId="1" shapeId="0" xr:uid="{00000000-0006-0000-0000-000009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verificar este dato
VERIFICADO</t>
        </r>
      </text>
    </comment>
    <comment ref="D21" authorId="1" shapeId="0" xr:uid="{00000000-0006-0000-0000-00000A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tiene interés. Es 1/TRH</t>
        </r>
      </text>
    </comment>
    <comment ref="J35" authorId="1" shapeId="0" xr:uid="{00000000-0006-0000-0000-00000B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Dato de Martina</t>
        </r>
      </text>
    </comment>
    <comment ref="H47" authorId="1" shapeId="0" xr:uid="{00000000-0006-0000-0000-00000D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En estee dato del anterior excel había un error</t>
        </r>
      </text>
    </comment>
    <comment ref="G54" authorId="1" shapeId="0" xr:uid="{00000000-0006-0000-0000-000011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Emission of NH3–N is 2% of the total-N in the
slurry “ex housing” based on Poulsen et al.
(2001). See table A.5 and A.6.
Con datos de factores de emisión de NH3 de 
2009_Life Cycle Assessment of Slurry Management Technologies (Pág 168)</t>
        </r>
      </text>
    </comment>
    <comment ref="K54" authorId="1" shapeId="0" xr:uid="{00000000-0006-0000-0000-000012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en la fraccion liquida</t>
        </r>
      </text>
    </comment>
    <comment ref="B59" authorId="1" shapeId="0" xr:uid="{00000000-0006-0000-0000-000014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Q59" authorId="1" shapeId="0" xr:uid="{00000000-0006-0000-0000-000015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B60" authorId="1" shapeId="0" xr:uid="{00000000-0006-0000-0000-000016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Q60" authorId="1" shapeId="0" xr:uid="{00000000-0006-0000-0000-000017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B61" authorId="1" shapeId="0" xr:uid="{00000000-0006-0000-0000-000018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Q61" authorId="1" shapeId="0" xr:uid="{00000000-0006-0000-0000-000019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B63" authorId="1" shapeId="0" xr:uid="{00000000-0006-0000-0000-00001A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he revisado esta fila</t>
        </r>
      </text>
    </comment>
    <comment ref="Q63" authorId="1" shapeId="0" xr:uid="{00000000-0006-0000-0000-00001C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he revisado esta fila</t>
        </r>
      </text>
    </comment>
    <comment ref="K70" authorId="1" shapeId="0" xr:uid="{00000000-0006-0000-0000-00001D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la fracción liquida</t>
        </r>
      </text>
    </comment>
    <comment ref="N70" authorId="1" shapeId="0" xr:uid="{00000000-0006-0000-0000-00001E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En la fracción liquida</t>
        </r>
      </text>
    </comment>
    <comment ref="G82" authorId="1" shapeId="0" xr:uid="{00000000-0006-0000-0000-00001F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 convierter en biomassa el 60% del N-NH4 que entra al biorreactor.</t>
        </r>
      </text>
    </comment>
    <comment ref="E85" authorId="1" shapeId="0" xr:uid="{00000000-0006-0000-0000-000020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Con un 9,94% de N cierra el balance de nitrógeno asimilado por las algas.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Rubén</author>
  </authors>
  <commentList>
    <comment ref="K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% de los datos iniciales de Almería
</t>
        </r>
      </text>
    </comment>
    <comment ref="D4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¿?</t>
        </r>
      </text>
    </comment>
    <comment ref="D14" authorId="1" shapeId="0" xr:uid="{00000000-0006-0000-0100-000003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Dato paper de Martina</t>
        </r>
      </text>
    </comment>
    <comment ref="D15" authorId="1" shapeId="0" xr:uid="{00000000-0006-0000-0100-000004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He puesto un valor aproximado al de la figura 1(b)</t>
        </r>
      </text>
    </comment>
    <comment ref="K16" authorId="1" shapeId="0" xr:uid="{00000000-0006-0000-0100-000005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Con una producción de algas tan pequeña se necesita que el %C sea como mínimo del 59,12% ya que si fuera más baja no cerraría el balance al C.</t>
        </r>
      </text>
    </comment>
    <comment ref="D17" authorId="1" shapeId="0" xr:uid="{00000000-0006-0000-0100-000006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Según Elena, dice Martina que la eficacia es mayor al 90%</t>
        </r>
      </text>
    </comment>
    <comment ref="K17" authorId="1" shapeId="0" xr:uid="{00000000-0006-0000-0100-000007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Para una relación Proteinas/NT=5/1
</t>
        </r>
        <r>
          <rPr>
            <sz val="9"/>
            <color rgb="FF000000"/>
            <rFont val="Tahoma"/>
            <family val="2"/>
          </rPr>
          <t xml:space="preserve">(dato que dio Silvia) el %NT debería ser 10,34%, pero no cierra el BM al NT.
</t>
        </r>
        <r>
          <rPr>
            <sz val="9"/>
            <color rgb="FF000000"/>
            <rFont val="Tahoma"/>
            <family val="2"/>
          </rPr>
          <t xml:space="preserve">Para que cierre el BM, el %NT de la biomasa debe ser: 9,94% (Para un % de eliminación del 60% del NT).
</t>
        </r>
        <r>
          <rPr>
            <sz val="9"/>
            <color rgb="FF000000"/>
            <rFont val="Tahoma"/>
            <family val="2"/>
          </rPr>
          <t xml:space="preserve">También cerraría si el 9% de la biomasa fuera NT y la eliminación de NT fuera del 91,5%.
</t>
        </r>
        <r>
          <rPr>
            <sz val="9"/>
            <color rgb="FF000000"/>
            <rFont val="Tahoma"/>
            <family val="2"/>
          </rPr>
          <t xml:space="preserve">En resumen, las casillas amarillas están relacionadas entre sí para que cierre el BM del NT (casilla F77)
</t>
        </r>
      </text>
    </comment>
    <comment ref="D18" authorId="1" shapeId="0" xr:uid="{00000000-0006-0000-0100-000008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Verificar este dato
VERIFICADO</t>
        </r>
      </text>
    </comment>
    <comment ref="D20" authorId="1" shapeId="0" xr:uid="{00000000-0006-0000-0100-000009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verificar este dato
VERIFICADO</t>
        </r>
      </text>
    </comment>
    <comment ref="D21" authorId="1" shapeId="0" xr:uid="{00000000-0006-0000-0100-00000A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tiene interés. Es 1/TRH</t>
        </r>
      </text>
    </comment>
    <comment ref="J35" authorId="1" shapeId="0" xr:uid="{00000000-0006-0000-0100-00000B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Dato de Martina</t>
        </r>
      </text>
    </comment>
    <comment ref="H47" authorId="1" shapeId="0" xr:uid="{00000000-0006-0000-0100-00000D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En estee dato del anterior excel había un error</t>
        </r>
      </text>
    </comment>
    <comment ref="G54" authorId="1" shapeId="0" xr:uid="{00000000-0006-0000-0100-000011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Emission of NH3–N is 2% of the total-N in the
slurry “ex housing” based on Poulsen et al.
(2001). See table A.5 and A.6.
Con datos de factores de emisión de NH3 de 
2009_Life Cycle Assessment of Slurry Management Technologies (Pág 168)</t>
        </r>
      </text>
    </comment>
    <comment ref="K54" authorId="1" shapeId="0" xr:uid="{00000000-0006-0000-0100-000012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en la fraccion liquida</t>
        </r>
      </text>
    </comment>
    <comment ref="B59" authorId="1" shapeId="0" xr:uid="{00000000-0006-0000-0100-000014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No revisado</t>
        </r>
      </text>
    </comment>
    <comment ref="Q59" authorId="1" shapeId="0" xr:uid="{00000000-0006-0000-0100-000015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B60" authorId="1" shapeId="0" xr:uid="{00000000-0006-0000-0100-000016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Q60" authorId="1" shapeId="0" xr:uid="{00000000-0006-0000-0100-000017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B61" authorId="1" shapeId="0" xr:uid="{00000000-0006-0000-0100-000018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Q61" authorId="1" shapeId="0" xr:uid="{00000000-0006-0000-0100-000019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revisado</t>
        </r>
      </text>
    </comment>
    <comment ref="B63" authorId="1" shapeId="0" xr:uid="{00000000-0006-0000-0100-00001A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he revisado esta fila</t>
        </r>
      </text>
    </comment>
    <comment ref="Q63" authorId="1" shapeId="0" xr:uid="{00000000-0006-0000-0100-00001C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No he revisado esta fila</t>
        </r>
      </text>
    </comment>
    <comment ref="K70" authorId="1" shapeId="0" xr:uid="{00000000-0006-0000-0100-00001D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En la fracción liquida</t>
        </r>
      </text>
    </comment>
    <comment ref="N70" authorId="1" shapeId="0" xr:uid="{00000000-0006-0000-0100-00001E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En la fracción liquida</t>
        </r>
      </text>
    </comment>
    <comment ref="G82" authorId="1" shapeId="0" xr:uid="{00000000-0006-0000-0100-00001F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 convierter en biomassa el 60% del N-NH4 que entra al biorreactor.</t>
        </r>
      </text>
    </comment>
    <comment ref="E85" authorId="1" shapeId="0" xr:uid="{00000000-0006-0000-0100-000020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Con un 9,94% de N cierra el balance de nitrógeno asimilado por las algas.</t>
        </r>
      </text>
    </comment>
    <comment ref="I103" authorId="1" shapeId="0" xr:uid="{00000000-0006-0000-0100-000021000000}">
      <text>
        <r>
          <rPr>
            <b/>
            <sz val="9"/>
            <color rgb="FF000000"/>
            <rFont val="Tahoma"/>
            <family val="2"/>
          </rPr>
          <t>Rubén: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Los datos experimentales indican que las cinéticas de desaparición por fotolisis+hidrólisis+ biodegradación se producen con mayor extensión (K mbastante más grande que la obtenida en los experimentos batch)</t>
        </r>
      </text>
    </comment>
    <comment ref="K147" authorId="1" shapeId="0" xr:uid="{00000000-0006-0000-0100-000022000000}">
      <text>
        <r>
          <rPr>
            <b/>
            <sz val="9"/>
            <color indexed="81"/>
            <rFont val="Tahoma"/>
            <family val="2"/>
          </rPr>
          <t>Rubén: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<sst xmlns="http://schemas.openxmlformats.org/spreadsheetml/2006/main" count="615" uniqueCount="155">
  <si>
    <t>Parámetro</t>
  </si>
  <si>
    <t>SST</t>
  </si>
  <si>
    <t>mg/L</t>
  </si>
  <si>
    <t>Rendimientos eliminación</t>
  </si>
  <si>
    <t>N</t>
  </si>
  <si>
    <t>P</t>
  </si>
  <si>
    <t>Unidades</t>
  </si>
  <si>
    <t>Valor</t>
  </si>
  <si>
    <t>Q purín</t>
  </si>
  <si>
    <t>Dilución</t>
  </si>
  <si>
    <t xml:space="preserve">Producción algas </t>
  </si>
  <si>
    <t>g/m2/d</t>
  </si>
  <si>
    <t>Evaporación</t>
  </si>
  <si>
    <t>L/m2/d</t>
  </si>
  <si>
    <t>Microalgae protein</t>
  </si>
  <si>
    <t>Microalgae carbohydrate</t>
  </si>
  <si>
    <t>Microalgae lipid</t>
  </si>
  <si>
    <t>NT</t>
  </si>
  <si>
    <t>COT</t>
  </si>
  <si>
    <t>N-NH4+</t>
  </si>
  <si>
    <t>TP</t>
  </si>
  <si>
    <t>Q diluido</t>
  </si>
  <si>
    <t>Corrientes</t>
  </si>
  <si>
    <t>COT (g/d)</t>
  </si>
  <si>
    <t>NT (g/d)</t>
  </si>
  <si>
    <t>TP (g/d)</t>
  </si>
  <si>
    <t>COT (mg/L)</t>
  </si>
  <si>
    <t>NT (mg/L)</t>
  </si>
  <si>
    <t>TP (mg/L)</t>
  </si>
  <si>
    <t>SST (g/d)</t>
  </si>
  <si>
    <t>SST (mg/L)</t>
  </si>
  <si>
    <t>Q (kg/d)</t>
  </si>
  <si>
    <t>-</t>
  </si>
  <si>
    <t>Rend. Centrífuga</t>
  </si>
  <si>
    <t>Microalgas (mg/L)</t>
  </si>
  <si>
    <t>DATOS JAVIERA</t>
  </si>
  <si>
    <t>Área thin layer</t>
  </si>
  <si>
    <t>Proteinas (g/d)</t>
  </si>
  <si>
    <t>Carbohidratos (g/d)</t>
  </si>
  <si>
    <t>Lipidos (g/d)</t>
  </si>
  <si>
    <t>m</t>
  </si>
  <si>
    <t>%</t>
  </si>
  <si>
    <t>d</t>
  </si>
  <si>
    <t>Velocidad dilución</t>
  </si>
  <si>
    <t>1/d</t>
  </si>
  <si>
    <t>Valores sin diluir</t>
  </si>
  <si>
    <t>Arsénico (mg/L)</t>
  </si>
  <si>
    <t>Arsénico (g/d)</t>
  </si>
  <si>
    <t>Q1 (Purín)</t>
  </si>
  <si>
    <t>Q2 (Agua fresca)</t>
  </si>
  <si>
    <t>Microalgas (g/d)</t>
  </si>
  <si>
    <t>Agua (kg/d)</t>
  </si>
  <si>
    <t>Q3 (entrada)</t>
  </si>
  <si>
    <r>
      <t>kg/m</t>
    </r>
    <r>
      <rPr>
        <sz val="11"/>
        <color theme="1"/>
        <rFont val="Calibri"/>
        <family val="2"/>
      </rPr>
      <t>³</t>
    </r>
  </si>
  <si>
    <t>%C biomasa</t>
  </si>
  <si>
    <t>Coef transferencia metal a líquido</t>
  </si>
  <si>
    <t>TRH</t>
  </si>
  <si>
    <r>
      <t>N-NH</t>
    </r>
    <r>
      <rPr>
        <b/>
        <sz val="11"/>
        <color theme="1"/>
        <rFont val="Calibri"/>
        <family val="2"/>
      </rPr>
      <t>₄</t>
    </r>
    <r>
      <rPr>
        <b/>
        <sz val="11"/>
        <color theme="1"/>
        <rFont val="Calibri"/>
        <family val="2"/>
        <scheme val="minor"/>
      </rPr>
      <t xml:space="preserve"> (g/d)</t>
    </r>
  </si>
  <si>
    <r>
      <t>Q (m</t>
    </r>
    <r>
      <rPr>
        <b/>
        <sz val="11"/>
        <color theme="1"/>
        <rFont val="Calibri"/>
        <family val="2"/>
      </rPr>
      <t>³</t>
    </r>
    <r>
      <rPr>
        <b/>
        <sz val="11"/>
        <color theme="1"/>
        <rFont val="Calibri"/>
        <family val="2"/>
        <scheme val="minor"/>
      </rPr>
      <t>/d)</t>
    </r>
  </si>
  <si>
    <r>
      <t>m</t>
    </r>
    <r>
      <rPr>
        <sz val="11"/>
        <color theme="1"/>
        <rFont val="Calibri"/>
        <family val="2"/>
      </rPr>
      <t>³</t>
    </r>
  </si>
  <si>
    <r>
      <t>m</t>
    </r>
    <r>
      <rPr>
        <sz val="11"/>
        <color theme="1"/>
        <rFont val="Calibri"/>
        <family val="2"/>
      </rPr>
      <t>²</t>
    </r>
  </si>
  <si>
    <r>
      <t>m</t>
    </r>
    <r>
      <rPr>
        <sz val="11"/>
        <color theme="1"/>
        <rFont val="Calibri"/>
        <family val="2"/>
      </rPr>
      <t>³</t>
    </r>
    <r>
      <rPr>
        <sz val="11"/>
        <color theme="1"/>
        <rFont val="Calibri"/>
        <family val="2"/>
        <scheme val="minor"/>
      </rPr>
      <t>/d</t>
    </r>
  </si>
  <si>
    <t>m³/d</t>
  </si>
  <si>
    <r>
      <t>N-NH</t>
    </r>
    <r>
      <rPr>
        <b/>
        <sz val="11"/>
        <color theme="1"/>
        <rFont val="Calibri"/>
        <family val="2"/>
      </rPr>
      <t>₄</t>
    </r>
    <r>
      <rPr>
        <b/>
        <sz val="11"/>
        <color theme="1"/>
        <rFont val="Calibri"/>
        <family val="2"/>
        <scheme val="minor"/>
      </rPr>
      <t xml:space="preserve"> (mg/L)</t>
    </r>
  </si>
  <si>
    <t>Valores al 5%</t>
  </si>
  <si>
    <t>Profundidad Thin Layer</t>
  </si>
  <si>
    <t>Volumen Thin Layer</t>
  </si>
  <si>
    <t>Dilución Hidrólisis Enzimática</t>
  </si>
  <si>
    <t>% Fracción sólida 2ª centrifug</t>
  </si>
  <si>
    <t>Factor proteinas/NT</t>
  </si>
  <si>
    <t>Dilución al 5%</t>
  </si>
  <si>
    <t>%N biomasa</t>
  </si>
  <si>
    <t>Q7</t>
  </si>
  <si>
    <t>Comprobación BM:</t>
  </si>
  <si>
    <t>Entrada</t>
  </si>
  <si>
    <t>Salida</t>
  </si>
  <si>
    <t>N-NH4</t>
  </si>
  <si>
    <t>Se transforma en biomasa</t>
  </si>
  <si>
    <t>[1]</t>
  </si>
  <si>
    <t>[2]</t>
  </si>
  <si>
    <t>[1]+[2]</t>
  </si>
  <si>
    <t>TET (ug/L)</t>
  </si>
  <si>
    <t>CIP (ug/L)</t>
  </si>
  <si>
    <t>SDZ (ug/L)</t>
  </si>
  <si>
    <t>Q6 (fracción líquida)</t>
  </si>
  <si>
    <t>Q6 (fracción sólida)</t>
  </si>
  <si>
    <t>PT (g/d)</t>
  </si>
  <si>
    <t>N-NH4 (g/d)</t>
  </si>
  <si>
    <t>Q (m3/d)</t>
  </si>
  <si>
    <t>Transformación N-NH4 en N-biomasa</t>
  </si>
  <si>
    <t>Densidad de todas las corrientes</t>
  </si>
  <si>
    <t>Q6 (Salida Thin Layer)</t>
  </si>
  <si>
    <t>Q4 (agua reposicion)</t>
  </si>
  <si>
    <t>Q5 (Emisión)</t>
  </si>
  <si>
    <t>Q7 (Salida efluente)</t>
  </si>
  <si>
    <t>Q7 (fracción líquida)</t>
  </si>
  <si>
    <t>Q7 (fracción sólida)</t>
  </si>
  <si>
    <t>Q8 (concentrado biomasa)</t>
  </si>
  <si>
    <t>Q8 (fracción líquida)</t>
  </si>
  <si>
    <t>Q8 (fracción sólida)</t>
  </si>
  <si>
    <t>[SST]8=</t>
  </si>
  <si>
    <t>%N de las algas</t>
  </si>
  <si>
    <t>N asimilado (g/d)</t>
  </si>
  <si>
    <t>NT eliminado biológicamente</t>
  </si>
  <si>
    <t>Relación SSV/SST en las Corrientes 7 y 8=</t>
  </si>
  <si>
    <r>
      <t xml:space="preserve">Q6 (fracción sólida) </t>
    </r>
    <r>
      <rPr>
        <b/>
        <sz val="11"/>
        <color rgb="FFFF0000"/>
        <rFont val="Calibri"/>
        <family val="2"/>
        <scheme val="minor"/>
      </rPr>
      <t>(ug/mg)</t>
    </r>
  </si>
  <si>
    <t>TET (mg/d)</t>
  </si>
  <si>
    <t>CIP (mg/d)</t>
  </si>
  <si>
    <t>SDZ (mg/d)</t>
  </si>
  <si>
    <t>ADSORCIÓN</t>
  </si>
  <si>
    <t>TET</t>
  </si>
  <si>
    <t>CIP</t>
  </si>
  <si>
    <t>SDZ</t>
  </si>
  <si>
    <t>HIDRÓLISIS+FOTÓLISIS+BIODEGRADACIÓN=DESAPARICIÓN</t>
  </si>
  <si>
    <t>En el equilibrio:</t>
  </si>
  <si>
    <r>
      <t>K</t>
    </r>
    <r>
      <rPr>
        <vertAlign val="subscript"/>
        <sz val="14"/>
        <color theme="1"/>
        <rFont val="Calibri"/>
        <family val="2"/>
        <scheme val="minor"/>
      </rPr>
      <t xml:space="preserve">DES </t>
    </r>
    <r>
      <rPr>
        <sz val="14"/>
        <color theme="1"/>
        <rFont val="Calibri"/>
        <family val="2"/>
        <scheme val="minor"/>
      </rPr>
      <t>(h</t>
    </r>
    <r>
      <rPr>
        <vertAlign val="superscript"/>
        <sz val="14"/>
        <color theme="1"/>
        <rFont val="Calibri"/>
        <family val="2"/>
        <scheme val="minor"/>
      </rPr>
      <t>-1</t>
    </r>
    <r>
      <rPr>
        <sz val="14"/>
        <color theme="1"/>
        <rFont val="Calibri"/>
        <family val="2"/>
        <scheme val="minor"/>
      </rPr>
      <t>)</t>
    </r>
  </si>
  <si>
    <r>
      <t>q</t>
    </r>
    <r>
      <rPr>
        <vertAlign val="subscript"/>
        <sz val="14"/>
        <color theme="1"/>
        <rFont val="Calibri"/>
        <family val="2"/>
        <scheme val="minor"/>
      </rPr>
      <t>m</t>
    </r>
    <r>
      <rPr>
        <sz val="14"/>
        <color theme="1"/>
        <rFont val="Calibri"/>
        <family val="2"/>
        <scheme val="minor"/>
      </rPr>
      <t xml:space="preserve"> (mg/g)</t>
    </r>
  </si>
  <si>
    <r>
      <t>K</t>
    </r>
    <r>
      <rPr>
        <vertAlign val="subscript"/>
        <sz val="14"/>
        <color theme="1"/>
        <rFont val="Calibri"/>
        <family val="2"/>
        <scheme val="minor"/>
      </rPr>
      <t>L</t>
    </r>
    <r>
      <rPr>
        <sz val="14"/>
        <color theme="1"/>
        <rFont val="Calibri"/>
        <family val="2"/>
        <scheme val="minor"/>
      </rPr>
      <t xml:space="preserve"> (m</t>
    </r>
    <r>
      <rPr>
        <vertAlign val="superscript"/>
        <sz val="14"/>
        <color theme="1"/>
        <rFont val="Calibri"/>
        <family val="2"/>
        <scheme val="minor"/>
      </rPr>
      <t>3</t>
    </r>
    <r>
      <rPr>
        <sz val="14"/>
        <color theme="1"/>
        <rFont val="Calibri"/>
        <family val="2"/>
        <scheme val="minor"/>
      </rPr>
      <t>/mg)</t>
    </r>
  </si>
  <si>
    <t>Balance de materia a los antibióticos:</t>
  </si>
  <si>
    <t>qe</t>
  </si>
  <si>
    <t>Cierra para Ce=</t>
  </si>
  <si>
    <t>mg/m3</t>
  </si>
  <si>
    <t>Ce (mg/m3)</t>
  </si>
  <si>
    <t>qe (mg/g)</t>
  </si>
  <si>
    <r>
      <t xml:space="preserve">Q7 (fracción sólida) </t>
    </r>
    <r>
      <rPr>
        <b/>
        <sz val="11"/>
        <color rgb="FFFF0000"/>
        <rFont val="Calibri"/>
        <family val="2"/>
        <scheme val="minor"/>
      </rPr>
      <t>(ug/mg)</t>
    </r>
  </si>
  <si>
    <r>
      <t xml:space="preserve">Q8 (fracción sólida) </t>
    </r>
    <r>
      <rPr>
        <b/>
        <sz val="11"/>
        <color rgb="FFFF0000"/>
        <rFont val="Calibri"/>
        <family val="2"/>
        <scheme val="minor"/>
      </rPr>
      <t>(ug/mg)</t>
    </r>
  </si>
  <si>
    <t>Valores experimentales</t>
  </si>
  <si>
    <t>Valores teóricos</t>
  </si>
  <si>
    <t>mg/g</t>
  </si>
  <si>
    <t>Causa</t>
  </si>
  <si>
    <t>BALANCE DE MATERIA A LOS VAs</t>
  </si>
  <si>
    <t>Valores de Ce que cierran el BM:</t>
  </si>
  <si>
    <t>Suponiendo una cinética de pseudo orden 2:</t>
  </si>
  <si>
    <r>
      <t>q</t>
    </r>
    <r>
      <rPr>
        <vertAlign val="subscript"/>
        <sz val="14"/>
        <color theme="1"/>
        <rFont val="Calibri"/>
        <family val="2"/>
        <scheme val="minor"/>
      </rPr>
      <t>e</t>
    </r>
    <r>
      <rPr>
        <sz val="14"/>
        <color theme="1"/>
        <rFont val="Calibri"/>
        <family val="2"/>
        <scheme val="minor"/>
      </rPr>
      <t xml:space="preserve"> (mg/g)</t>
    </r>
  </si>
  <si>
    <r>
      <t>K</t>
    </r>
    <r>
      <rPr>
        <vertAlign val="subscript"/>
        <sz val="14"/>
        <color theme="1"/>
        <rFont val="Calibri"/>
        <family val="2"/>
        <scheme val="minor"/>
      </rPr>
      <t>2</t>
    </r>
    <r>
      <rPr>
        <sz val="14"/>
        <color theme="1"/>
        <rFont val="Calibri"/>
        <family val="2"/>
        <scheme val="minor"/>
      </rPr>
      <t xml:space="preserve"> (g/mg/h)</t>
    </r>
  </si>
  <si>
    <t>Cierra para C6=</t>
  </si>
  <si>
    <t>C6</t>
  </si>
  <si>
    <t>qt</t>
  </si>
  <si>
    <t>C6 (mg/m3)</t>
  </si>
  <si>
    <r>
      <t>q</t>
    </r>
    <r>
      <rPr>
        <vertAlign val="subscript"/>
        <sz val="14"/>
        <color theme="1"/>
        <rFont val="Calibri"/>
        <family val="2"/>
        <scheme val="minor"/>
      </rPr>
      <t>t</t>
    </r>
    <r>
      <rPr>
        <sz val="14"/>
        <color theme="1"/>
        <rFont val="Calibri"/>
        <family val="2"/>
        <scheme val="minor"/>
      </rPr>
      <t xml:space="preserve"> (mg/g)</t>
    </r>
  </si>
  <si>
    <t>Constantes para C0=100 ug/L</t>
  </si>
  <si>
    <t>Constantes para C0=20 ug/L</t>
  </si>
  <si>
    <t>Ce=C6</t>
  </si>
  <si>
    <t>mg/d</t>
  </si>
  <si>
    <t>DES</t>
  </si>
  <si>
    <t>ADS</t>
  </si>
  <si>
    <t>SALIDA</t>
  </si>
  <si>
    <t>(Si no se alcanzara el equilibrio de adsorción)</t>
  </si>
  <si>
    <t>(Si se alcanzara el equilibrio de adsorción)</t>
  </si>
  <si>
    <t>Estas constantes cinéticas sacadas del Artículo de Mecanismos de biodegradación</t>
  </si>
  <si>
    <t>Con estas constantes cinéticas para DES=H+F+B cerraría bien el BM con los datos experimentales</t>
  </si>
  <si>
    <r>
      <t>1) Constantes cinéticasm k</t>
    </r>
    <r>
      <rPr>
        <vertAlign val="subscript"/>
        <sz val="11"/>
        <color theme="1"/>
        <rFont val="Calibri"/>
        <family val="2"/>
        <scheme val="minor"/>
      </rPr>
      <t>DES</t>
    </r>
    <r>
      <rPr>
        <sz val="11"/>
        <color theme="1"/>
        <rFont val="Calibri"/>
        <family val="2"/>
        <scheme val="minor"/>
      </rPr>
      <t xml:space="preserve"> demasiado bajas</t>
    </r>
  </si>
  <si>
    <t>No se ha llegado a alcanzar el equilibrio  2) Podríamos haber cometido un error en el estudio teórico</t>
  </si>
  <si>
    <t>No se ha llegado a alcanzar el equilibrio</t>
  </si>
  <si>
    <t>Eliminación por adsorción demasiado elevada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</si>
</sst>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0.00000000"/>
    <numFmt numFmtId="167" formatCode="0.0%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9"/>
      <name val="Calibri"/>
      <family val="2"/>
      <scheme val="minor"/>
    </font>
    <font>
      <sz val="12"/>
      <color rgb="FF000000"/>
      <name val="Times New Roman"/>
      <family val="1"/>
    </font>
    <font>
      <b/>
      <sz val="11"/>
      <color theme="0" tint="-4.9989318521683403E-2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trike/>
      <sz val="11"/>
      <color theme="0" tint="-0.249977111117893"/>
      <name val="Calibri"/>
      <family val="2"/>
      <scheme val="minor"/>
    </font>
    <font>
      <sz val="11"/>
      <color rgb="FF0061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bscript"/>
      <sz val="14"/>
      <color theme="1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rgb="FF006100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000"/>
        <bgColor indexed="64"/>
      </patternFill>
    </fill>
    <fill>
      <patternFill patternType="solid">
        <fgColor rgb="FFFF434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9" fontId="1" fillId="0" borderId="0" applyFont="0" applyFill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8" fillId="9" borderId="0" applyNumberFormat="0" applyBorder="0" applyAlignment="0" applyProtection="0"/>
  </cellStyleXfs>
  <cellXfs count="261">
    <xf numFmtId="0" fontId="0" fillId="0" borderId="0" xfId="0"/>
    <xf numFmtId="0" fontId="0" fillId="0" borderId="2" xfId="0" applyBorder="1"/>
    <xf numFmtId="2" fontId="0" fillId="0" borderId="2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/>
    <xf numFmtId="2" fontId="5" fillId="0" borderId="2" xfId="0" applyNumberFormat="1" applyFont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/>
    <xf numFmtId="164" fontId="0" fillId="0" borderId="2" xfId="0" applyNumberForma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0" borderId="2" xfId="0" applyFont="1" applyBorder="1"/>
    <xf numFmtId="9" fontId="0" fillId="0" borderId="0" xfId="2" applyFont="1" applyAlignment="1">
      <alignment horizontal="center"/>
    </xf>
    <xf numFmtId="165" fontId="0" fillId="0" borderId="2" xfId="0" applyNumberForma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11" fontId="0" fillId="0" borderId="2" xfId="0" applyNumberFormat="1" applyBorder="1" applyAlignment="1">
      <alignment horizontal="center"/>
    </xf>
    <xf numFmtId="2" fontId="0" fillId="0" borderId="0" xfId="0" applyNumberFormat="1"/>
    <xf numFmtId="165" fontId="0" fillId="0" borderId="0" xfId="0" applyNumberFormat="1" applyAlignment="1">
      <alignment horizontal="center"/>
    </xf>
    <xf numFmtId="0" fontId="5" fillId="0" borderId="0" xfId="0" applyFont="1"/>
    <xf numFmtId="2" fontId="2" fillId="0" borderId="0" xfId="0" applyNumberFormat="1" applyFont="1" applyAlignment="1">
      <alignment horizontal="center"/>
    </xf>
    <xf numFmtId="10" fontId="0" fillId="0" borderId="0" xfId="0" applyNumberFormat="1"/>
    <xf numFmtId="0" fontId="2" fillId="4" borderId="7" xfId="0" applyFont="1" applyFill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7" fontId="0" fillId="0" borderId="0" xfId="2" applyNumberFormat="1" applyFont="1"/>
    <xf numFmtId="10" fontId="0" fillId="0" borderId="0" xfId="2" applyNumberFormat="1" applyFont="1"/>
    <xf numFmtId="167" fontId="5" fillId="0" borderId="0" xfId="2" applyNumberFormat="1" applyFont="1"/>
    <xf numFmtId="0" fontId="9" fillId="0" borderId="0" xfId="0" applyFont="1" applyAlignment="1">
      <alignment horizontal="right" indent="1"/>
    </xf>
    <xf numFmtId="9" fontId="9" fillId="0" borderId="0" xfId="2" applyFont="1" applyAlignment="1">
      <alignment horizontal="left"/>
    </xf>
    <xf numFmtId="165" fontId="0" fillId="0" borderId="0" xfId="0" applyNumberFormat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8" fillId="0" borderId="2" xfId="0" applyFont="1" applyBorder="1"/>
    <xf numFmtId="0" fontId="9" fillId="0" borderId="0" xfId="0" applyFont="1" applyAlignment="1">
      <alignment horizontal="left" indent="1"/>
    </xf>
    <xf numFmtId="0" fontId="0" fillId="0" borderId="2" xfId="0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2" fontId="0" fillId="0" borderId="2" xfId="0" applyNumberFormat="1" applyBorder="1"/>
    <xf numFmtId="164" fontId="0" fillId="0" borderId="2" xfId="0" applyNumberFormat="1" applyBorder="1"/>
    <xf numFmtId="0" fontId="8" fillId="0" borderId="0" xfId="3" applyFont="1" applyFill="1" applyBorder="1" applyAlignment="1">
      <alignment horizontal="center"/>
    </xf>
    <xf numFmtId="0" fontId="9" fillId="0" borderId="2" xfId="0" applyFont="1" applyBorder="1"/>
    <xf numFmtId="0" fontId="11" fillId="5" borderId="2" xfId="3" applyBorder="1" applyAlignment="1">
      <alignment horizontal="center"/>
    </xf>
    <xf numFmtId="9" fontId="5" fillId="0" borderId="2" xfId="0" applyNumberFormat="1" applyFont="1" applyBorder="1" applyAlignment="1">
      <alignment horizontal="center"/>
    </xf>
    <xf numFmtId="2" fontId="17" fillId="0" borderId="2" xfId="0" applyNumberFormat="1" applyFont="1" applyBorder="1" applyAlignment="1">
      <alignment horizontal="center"/>
    </xf>
    <xf numFmtId="9" fontId="17" fillId="0" borderId="2" xfId="2" applyFont="1" applyBorder="1" applyAlignment="1">
      <alignment horizontal="center"/>
    </xf>
    <xf numFmtId="0" fontId="17" fillId="0" borderId="2" xfId="2" applyNumberFormat="1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9" fontId="17" fillId="0" borderId="2" xfId="0" applyNumberFormat="1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8" fillId="0" borderId="3" xfId="0" applyNumberFormat="1" applyFont="1" applyBorder="1" applyAlignment="1">
      <alignment horizontal="center"/>
    </xf>
    <xf numFmtId="11" fontId="0" fillId="0" borderId="3" xfId="0" applyNumberFormat="1" applyBorder="1" applyAlignment="1">
      <alignment horizontal="center"/>
    </xf>
    <xf numFmtId="0" fontId="2" fillId="3" borderId="4" xfId="0" applyFont="1" applyFill="1" applyBorder="1"/>
    <xf numFmtId="0" fontId="2" fillId="0" borderId="4" xfId="0" applyFont="1" applyBorder="1"/>
    <xf numFmtId="0" fontId="2" fillId="4" borderId="11" xfId="0" applyFont="1" applyFill="1" applyBorder="1"/>
    <xf numFmtId="2" fontId="8" fillId="0" borderId="0" xfId="3" applyNumberFormat="1" applyFont="1" applyFill="1" applyBorder="1" applyAlignment="1">
      <alignment horizontal="center"/>
    </xf>
    <xf numFmtId="0" fontId="11" fillId="0" borderId="0" xfId="3" applyFill="1" applyBorder="1" applyAlignment="1">
      <alignment horizontal="center"/>
    </xf>
    <xf numFmtId="2" fontId="11" fillId="0" borderId="0" xfId="3" applyNumberFormat="1" applyFill="1" applyBorder="1" applyAlignment="1">
      <alignment horizontal="center"/>
    </xf>
    <xf numFmtId="0" fontId="8" fillId="0" borderId="0" xfId="3" applyFont="1" applyFill="1" applyBorder="1"/>
    <xf numFmtId="0" fontId="11" fillId="0" borderId="0" xfId="3" applyFill="1" applyBorder="1"/>
    <xf numFmtId="1" fontId="8" fillId="0" borderId="0" xfId="3" applyNumberFormat="1" applyFont="1" applyFill="1" applyBorder="1" applyAlignment="1">
      <alignment horizontal="center"/>
    </xf>
    <xf numFmtId="0" fontId="8" fillId="0" borderId="0" xfId="0" applyFont="1"/>
    <xf numFmtId="2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66" fontId="11" fillId="0" borderId="0" xfId="3" applyNumberFormat="1" applyFill="1"/>
    <xf numFmtId="2" fontId="5" fillId="0" borderId="0" xfId="0" applyNumberFormat="1" applyFont="1" applyAlignment="1">
      <alignment horizontal="center"/>
    </xf>
    <xf numFmtId="0" fontId="13" fillId="0" borderId="0" xfId="0" applyFont="1" applyAlignment="1">
      <alignment horizontal="right" indent="1"/>
    </xf>
    <xf numFmtId="0" fontId="13" fillId="0" borderId="0" xfId="0" applyFont="1"/>
    <xf numFmtId="2" fontId="12" fillId="0" borderId="0" xfId="4" applyNumberFormat="1" applyFill="1"/>
    <xf numFmtId="2" fontId="5" fillId="5" borderId="0" xfId="3" applyNumberFormat="1" applyFont="1" applyAlignment="1">
      <alignment horizontal="center"/>
    </xf>
    <xf numFmtId="10" fontId="5" fillId="0" borderId="0" xfId="0" applyNumberFormat="1" applyFont="1"/>
    <xf numFmtId="10" fontId="5" fillId="0" borderId="2" xfId="0" applyNumberFormat="1" applyFont="1" applyBorder="1" applyAlignment="1">
      <alignment horizontal="center"/>
    </xf>
    <xf numFmtId="167" fontId="0" fillId="0" borderId="0" xfId="2" applyNumberFormat="1" applyFont="1" applyFill="1" applyBorder="1"/>
    <xf numFmtId="0" fontId="0" fillId="0" borderId="0" xfId="1" applyFont="1" applyFill="1" applyBorder="1" applyAlignment="1">
      <alignment vertical="center"/>
    </xf>
    <xf numFmtId="0" fontId="2" fillId="3" borderId="8" xfId="0" applyFont="1" applyFill="1" applyBorder="1" applyAlignment="1">
      <alignment horizontal="center"/>
    </xf>
    <xf numFmtId="0" fontId="2" fillId="8" borderId="12" xfId="0" applyFont="1" applyFill="1" applyBorder="1" applyAlignment="1">
      <alignment horizontal="center"/>
    </xf>
    <xf numFmtId="0" fontId="2" fillId="8" borderId="13" xfId="0" applyFont="1" applyFill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8" fillId="0" borderId="9" xfId="0" applyNumberFormat="1" applyFont="1" applyBorder="1" applyAlignment="1">
      <alignment horizontal="center"/>
    </xf>
    <xf numFmtId="2" fontId="8" fillId="0" borderId="14" xfId="0" applyNumberFormat="1" applyFont="1" applyBorder="1" applyAlignment="1">
      <alignment horizontal="center"/>
    </xf>
    <xf numFmtId="0" fontId="0" fillId="0" borderId="15" xfId="0" applyBorder="1"/>
    <xf numFmtId="2" fontId="0" fillId="0" borderId="16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5" fontId="0" fillId="0" borderId="18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10" fontId="0" fillId="0" borderId="0" xfId="2" applyNumberFormat="1" applyFont="1" applyFill="1" applyBorder="1" applyAlignment="1">
      <alignment horizontal="center"/>
    </xf>
    <xf numFmtId="10" fontId="0" fillId="0" borderId="0" xfId="0" applyNumberFormat="1" applyAlignment="1">
      <alignment horizontal="center"/>
    </xf>
    <xf numFmtId="10" fontId="5" fillId="4" borderId="2" xfId="4" applyNumberFormat="1" applyFont="1" applyFill="1" applyBorder="1" applyAlignment="1">
      <alignment horizontal="center"/>
    </xf>
    <xf numFmtId="10" fontId="5" fillId="4" borderId="2" xfId="0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14" xfId="0" applyBorder="1"/>
    <xf numFmtId="2" fontId="0" fillId="0" borderId="20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16" fillId="0" borderId="14" xfId="0" applyFont="1" applyBorder="1" applyAlignment="1">
      <alignment horizontal="center"/>
    </xf>
    <xf numFmtId="2" fontId="16" fillId="0" borderId="14" xfId="0" applyNumberFormat="1" applyFont="1" applyBorder="1" applyAlignment="1">
      <alignment horizontal="center"/>
    </xf>
    <xf numFmtId="10" fontId="5" fillId="0" borderId="0" xfId="2" applyNumberFormat="1" applyFont="1"/>
    <xf numFmtId="2" fontId="0" fillId="0" borderId="4" xfId="0" applyNumberFormat="1" applyBorder="1" applyAlignment="1">
      <alignment horizontal="center"/>
    </xf>
    <xf numFmtId="2" fontId="8" fillId="0" borderId="4" xfId="0" applyNumberFormat="1" applyFon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2" fontId="10" fillId="0" borderId="3" xfId="0" applyNumberFormat="1" applyFont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0" fontId="2" fillId="3" borderId="23" xfId="0" applyFont="1" applyFill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8" fillId="0" borderId="18" xfId="0" applyNumberFormat="1" applyFont="1" applyBorder="1" applyAlignment="1">
      <alignment horizontal="center"/>
    </xf>
    <xf numFmtId="2" fontId="8" fillId="0" borderId="18" xfId="4" applyNumberFormat="1" applyFont="1" applyFill="1" applyBorder="1" applyAlignment="1">
      <alignment horizontal="center"/>
    </xf>
    <xf numFmtId="0" fontId="0" fillId="0" borderId="24" xfId="0" applyBorder="1"/>
    <xf numFmtId="0" fontId="0" fillId="0" borderId="25" xfId="0" applyBorder="1"/>
    <xf numFmtId="0" fontId="2" fillId="8" borderId="26" xfId="0" applyFont="1" applyFill="1" applyBorder="1" applyAlignment="1">
      <alignment horizontal="center"/>
    </xf>
    <xf numFmtId="0" fontId="2" fillId="8" borderId="27" xfId="0" applyFont="1" applyFill="1" applyBorder="1" applyAlignment="1">
      <alignment horizontal="center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2" fillId="8" borderId="32" xfId="0" applyFont="1" applyFill="1" applyBorder="1" applyAlignment="1">
      <alignment horizontal="center"/>
    </xf>
    <xf numFmtId="0" fontId="0" fillId="0" borderId="10" xfId="0" applyBorder="1"/>
    <xf numFmtId="0" fontId="0" fillId="0" borderId="0" xfId="0" applyAlignment="1">
      <alignment horizontal="right"/>
    </xf>
    <xf numFmtId="0" fontId="20" fillId="0" borderId="2" xfId="0" applyFont="1" applyBorder="1" applyAlignment="1">
      <alignment horizontal="center"/>
    </xf>
    <xf numFmtId="0" fontId="20" fillId="0" borderId="2" xfId="0" applyFont="1" applyBorder="1"/>
    <xf numFmtId="0" fontId="0" fillId="0" borderId="6" xfId="0" applyBorder="1" applyAlignment="1">
      <alignment horizontal="center"/>
    </xf>
    <xf numFmtId="1" fontId="0" fillId="0" borderId="18" xfId="0" applyNumberFormat="1" applyBorder="1" applyAlignment="1">
      <alignment horizontal="center"/>
    </xf>
    <xf numFmtId="11" fontId="0" fillId="0" borderId="18" xfId="0" applyNumberFormat="1" applyBorder="1" applyAlignment="1">
      <alignment horizontal="center"/>
    </xf>
    <xf numFmtId="11" fontId="0" fillId="0" borderId="14" xfId="0" applyNumberFormat="1" applyBorder="1" applyAlignment="1">
      <alignment horizontal="center"/>
    </xf>
    <xf numFmtId="2" fontId="5" fillId="0" borderId="18" xfId="0" applyNumberFormat="1" applyFont="1" applyBorder="1" applyAlignment="1">
      <alignment horizontal="center"/>
    </xf>
    <xf numFmtId="2" fontId="5" fillId="0" borderId="34" xfId="0" applyNumberFormat="1" applyFont="1" applyBorder="1" applyAlignment="1">
      <alignment horizontal="center"/>
    </xf>
    <xf numFmtId="11" fontId="0" fillId="0" borderId="17" xfId="0" applyNumberFormat="1" applyBorder="1" applyAlignment="1">
      <alignment horizontal="center"/>
    </xf>
    <xf numFmtId="2" fontId="0" fillId="0" borderId="14" xfId="0" applyNumberFormat="1" applyBorder="1"/>
    <xf numFmtId="11" fontId="0" fillId="0" borderId="14" xfId="0" applyNumberFormat="1" applyBorder="1"/>
    <xf numFmtId="0" fontId="0" fillId="0" borderId="3" xfId="0" applyBorder="1"/>
    <xf numFmtId="11" fontId="0" fillId="0" borderId="35" xfId="0" applyNumberFormat="1" applyBorder="1" applyAlignment="1">
      <alignment horizontal="center"/>
    </xf>
    <xf numFmtId="11" fontId="16" fillId="0" borderId="2" xfId="0" applyNumberFormat="1" applyFon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11" fontId="0" fillId="0" borderId="9" xfId="0" applyNumberFormat="1" applyBorder="1" applyAlignment="1">
      <alignment horizontal="center"/>
    </xf>
    <xf numFmtId="0" fontId="2" fillId="3" borderId="32" xfId="0" applyFont="1" applyFill="1" applyBorder="1" applyAlignment="1">
      <alignment horizontal="center"/>
    </xf>
    <xf numFmtId="0" fontId="0" fillId="0" borderId="36" xfId="0" applyBorder="1"/>
    <xf numFmtId="11" fontId="16" fillId="0" borderId="3" xfId="0" applyNumberFormat="1" applyFont="1" applyBorder="1" applyAlignment="1">
      <alignment horizontal="center"/>
    </xf>
    <xf numFmtId="0" fontId="9" fillId="0" borderId="4" xfId="0" applyFont="1" applyBorder="1"/>
    <xf numFmtId="164" fontId="16" fillId="0" borderId="14" xfId="0" applyNumberFormat="1" applyFont="1" applyBorder="1" applyAlignment="1">
      <alignment horizontal="center"/>
    </xf>
    <xf numFmtId="11" fontId="16" fillId="0" borderId="9" xfId="0" applyNumberFormat="1" applyFont="1" applyBorder="1" applyAlignment="1">
      <alignment horizontal="center"/>
    </xf>
    <xf numFmtId="0" fontId="8" fillId="0" borderId="14" xfId="3" applyFont="1" applyFill="1" applyBorder="1" applyAlignment="1">
      <alignment horizontal="center"/>
    </xf>
    <xf numFmtId="0" fontId="16" fillId="0" borderId="10" xfId="0" applyFont="1" applyBorder="1"/>
    <xf numFmtId="0" fontId="2" fillId="0" borderId="2" xfId="0" applyFont="1" applyBorder="1" applyAlignment="1">
      <alignment horizontal="center"/>
    </xf>
    <xf numFmtId="2" fontId="11" fillId="5" borderId="2" xfId="3" applyNumberFormat="1" applyBorder="1" applyAlignment="1">
      <alignment horizontal="center"/>
    </xf>
    <xf numFmtId="2" fontId="18" fillId="9" borderId="2" xfId="5" applyNumberFormat="1" applyBorder="1" applyAlignment="1">
      <alignment horizontal="center"/>
    </xf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41" xfId="0" applyBorder="1"/>
    <xf numFmtId="2" fontId="0" fillId="0" borderId="42" xfId="0" applyNumberFormat="1" applyBorder="1"/>
    <xf numFmtId="0" fontId="0" fillId="0" borderId="43" xfId="0" applyBorder="1"/>
    <xf numFmtId="0" fontId="0" fillId="0" borderId="34" xfId="0" applyBorder="1"/>
    <xf numFmtId="2" fontId="0" fillId="0" borderId="45" xfId="0" applyNumberFormat="1" applyBorder="1"/>
    <xf numFmtId="0" fontId="0" fillId="0" borderId="46" xfId="0" applyBorder="1"/>
    <xf numFmtId="0" fontId="0" fillId="0" borderId="40" xfId="0" applyBorder="1" applyAlignment="1">
      <alignment horizontal="center"/>
    </xf>
    <xf numFmtId="0" fontId="0" fillId="0" borderId="44" xfId="0" applyBorder="1" applyAlignment="1">
      <alignment horizontal="center"/>
    </xf>
    <xf numFmtId="0" fontId="2" fillId="0" borderId="5" xfId="0" applyFont="1" applyBorder="1"/>
    <xf numFmtId="0" fontId="2" fillId="0" borderId="18" xfId="0" applyFont="1" applyBorder="1"/>
    <xf numFmtId="2" fontId="11" fillId="5" borderId="47" xfId="3" applyNumberFormat="1" applyBorder="1" applyAlignment="1">
      <alignment horizontal="center"/>
    </xf>
    <xf numFmtId="2" fontId="18" fillId="9" borderId="14" xfId="5" applyNumberFormat="1" applyBorder="1" applyAlignment="1">
      <alignment horizontal="center"/>
    </xf>
    <xf numFmtId="0" fontId="2" fillId="0" borderId="34" xfId="0" applyFont="1" applyBorder="1"/>
    <xf numFmtId="0" fontId="2" fillId="0" borderId="31" xfId="0" applyFont="1" applyBorder="1"/>
    <xf numFmtId="2" fontId="18" fillId="9" borderId="17" xfId="5" applyNumberFormat="1" applyBorder="1" applyAlignment="1">
      <alignment horizontal="center"/>
    </xf>
    <xf numFmtId="11" fontId="0" fillId="0" borderId="18" xfId="0" applyNumberFormat="1" applyBorder="1" applyAlignment="1">
      <alignment horizontal="right"/>
    </xf>
    <xf numFmtId="11" fontId="0" fillId="0" borderId="19" xfId="0" applyNumberFormat="1" applyBorder="1" applyAlignment="1">
      <alignment horizontal="right"/>
    </xf>
    <xf numFmtId="0" fontId="2" fillId="0" borderId="24" xfId="0" applyFont="1" applyBorder="1"/>
    <xf numFmtId="0" fontId="2" fillId="0" borderId="50" xfId="0" applyFont="1" applyBorder="1"/>
    <xf numFmtId="0" fontId="2" fillId="0" borderId="33" xfId="0" applyFont="1" applyBorder="1"/>
    <xf numFmtId="0" fontId="0" fillId="0" borderId="53" xfId="0" applyBorder="1"/>
    <xf numFmtId="11" fontId="0" fillId="0" borderId="50" xfId="0" applyNumberFormat="1" applyBorder="1" applyAlignment="1">
      <alignment horizontal="right"/>
    </xf>
    <xf numFmtId="0" fontId="2" fillId="0" borderId="54" xfId="0" applyFont="1" applyBorder="1"/>
    <xf numFmtId="11" fontId="11" fillId="5" borderId="47" xfId="3" applyNumberFormat="1" applyBorder="1" applyAlignment="1">
      <alignment horizontal="center"/>
    </xf>
    <xf numFmtId="11" fontId="11" fillId="5" borderId="49" xfId="3" applyNumberFormat="1" applyBorder="1" applyAlignment="1">
      <alignment horizontal="center"/>
    </xf>
    <xf numFmtId="0" fontId="23" fillId="0" borderId="0" xfId="0" applyFont="1"/>
    <xf numFmtId="0" fontId="24" fillId="0" borderId="0" xfId="0" applyFont="1"/>
    <xf numFmtId="0" fontId="0" fillId="0" borderId="43" xfId="0" applyBorder="1" applyAlignment="1">
      <alignment horizontal="center"/>
    </xf>
    <xf numFmtId="0" fontId="0" fillId="0" borderId="46" xfId="0" applyBorder="1" applyAlignment="1">
      <alignment horizontal="center"/>
    </xf>
    <xf numFmtId="0" fontId="2" fillId="0" borderId="55" xfId="0" applyFont="1" applyBorder="1" applyAlignment="1">
      <alignment horizontal="right"/>
    </xf>
    <xf numFmtId="0" fontId="2" fillId="0" borderId="48" xfId="0" applyFont="1" applyBorder="1" applyAlignment="1">
      <alignment horizontal="right"/>
    </xf>
    <xf numFmtId="0" fontId="2" fillId="0" borderId="44" xfId="0" applyFont="1" applyBorder="1" applyAlignment="1">
      <alignment horizontal="right"/>
    </xf>
    <xf numFmtId="0" fontId="0" fillId="0" borderId="8" xfId="0" applyBorder="1"/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/>
    <xf numFmtId="0" fontId="0" fillId="0" borderId="20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3" xfId="0" applyFont="1" applyBorder="1"/>
    <xf numFmtId="0" fontId="2" fillId="0" borderId="14" xfId="0" applyFont="1" applyBorder="1"/>
    <xf numFmtId="0" fontId="2" fillId="0" borderId="17" xfId="0" applyFont="1" applyBorder="1"/>
    <xf numFmtId="11" fontId="18" fillId="9" borderId="47" xfId="5" applyNumberFormat="1" applyBorder="1" applyAlignment="1">
      <alignment horizontal="center"/>
    </xf>
    <xf numFmtId="11" fontId="18" fillId="9" borderId="49" xfId="5" applyNumberFormat="1" applyBorder="1" applyAlignment="1">
      <alignment horizontal="center"/>
    </xf>
    <xf numFmtId="2" fontId="11" fillId="5" borderId="14" xfId="3" applyNumberFormat="1" applyBorder="1" applyAlignment="1">
      <alignment horizontal="center"/>
    </xf>
    <xf numFmtId="2" fontId="11" fillId="5" borderId="17" xfId="3" applyNumberFormat="1" applyBorder="1" applyAlignment="1">
      <alignment horizontal="center"/>
    </xf>
    <xf numFmtId="11" fontId="11" fillId="0" borderId="14" xfId="3" applyNumberFormat="1" applyFill="1" applyBorder="1" applyAlignment="1">
      <alignment horizontal="center"/>
    </xf>
    <xf numFmtId="0" fontId="18" fillId="9" borderId="2" xfId="5" applyBorder="1" applyAlignment="1">
      <alignment horizontal="center"/>
    </xf>
    <xf numFmtId="0" fontId="25" fillId="0" borderId="0" xfId="0" applyFont="1"/>
    <xf numFmtId="2" fontId="12" fillId="6" borderId="14" xfId="4" applyNumberFormat="1" applyBorder="1" applyAlignment="1">
      <alignment horizontal="center"/>
    </xf>
    <xf numFmtId="2" fontId="12" fillId="6" borderId="17" xfId="4" applyNumberFormat="1" applyBorder="1" applyAlignment="1">
      <alignment horizontal="center"/>
    </xf>
    <xf numFmtId="0" fontId="26" fillId="0" borderId="0" xfId="0" applyFont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2" fontId="0" fillId="0" borderId="41" xfId="0" applyNumberFormat="1" applyBorder="1"/>
    <xf numFmtId="0" fontId="0" fillId="0" borderId="37" xfId="0" applyBorder="1" applyAlignment="1">
      <alignment horizontal="center"/>
    </xf>
    <xf numFmtId="2" fontId="0" fillId="0" borderId="28" xfId="0" applyNumberFormat="1" applyBorder="1"/>
    <xf numFmtId="2" fontId="0" fillId="0" borderId="39" xfId="0" applyNumberFormat="1" applyBorder="1"/>
    <xf numFmtId="2" fontId="0" fillId="0" borderId="34" xfId="0" applyNumberFormat="1" applyBorder="1"/>
    <xf numFmtId="164" fontId="0" fillId="0" borderId="29" xfId="0" applyNumberFormat="1" applyBorder="1"/>
    <xf numFmtId="164" fontId="0" fillId="0" borderId="43" xfId="0" applyNumberFormat="1" applyBorder="1"/>
    <xf numFmtId="164" fontId="0" fillId="0" borderId="46" xfId="0" applyNumberFormat="1" applyBorder="1"/>
    <xf numFmtId="10" fontId="5" fillId="10" borderId="2" xfId="2" applyNumberFormat="1" applyFont="1" applyFill="1" applyBorder="1" applyAlignment="1">
      <alignment horizontal="center"/>
    </xf>
    <xf numFmtId="11" fontId="12" fillId="6" borderId="47" xfId="4" applyNumberFormat="1" applyBorder="1" applyAlignment="1">
      <alignment horizontal="center"/>
    </xf>
    <xf numFmtId="0" fontId="0" fillId="11" borderId="2" xfId="0" applyFill="1" applyBorder="1" applyAlignment="1">
      <alignment horizontal="center"/>
    </xf>
    <xf numFmtId="2" fontId="18" fillId="9" borderId="47" xfId="5" applyNumberFormat="1" applyBorder="1" applyAlignment="1">
      <alignment horizontal="center"/>
    </xf>
    <xf numFmtId="0" fontId="0" fillId="12" borderId="0" xfId="0" applyFill="1"/>
    <xf numFmtId="0" fontId="0" fillId="13" borderId="0" xfId="0" applyFill="1"/>
    <xf numFmtId="11" fontId="12" fillId="6" borderId="49" xfId="4" applyNumberFormat="1" applyBorder="1" applyAlignment="1">
      <alignment horizontal="center"/>
    </xf>
    <xf numFmtId="11" fontId="18" fillId="9" borderId="14" xfId="5" applyNumberFormat="1" applyBorder="1" applyAlignment="1">
      <alignment horizontal="center"/>
    </xf>
    <xf numFmtId="11" fontId="0" fillId="0" borderId="15" xfId="0" applyNumberFormat="1" applyBorder="1" applyAlignment="1">
      <alignment horizontal="center"/>
    </xf>
    <xf numFmtId="2" fontId="18" fillId="9" borderId="20" xfId="5" applyNumberFormat="1" applyBorder="1" applyAlignment="1">
      <alignment horizontal="center"/>
    </xf>
    <xf numFmtId="11" fontId="18" fillId="9" borderId="17" xfId="5" applyNumberFormat="1" applyBorder="1" applyAlignment="1">
      <alignment horizontal="center"/>
    </xf>
    <xf numFmtId="0" fontId="18" fillId="9" borderId="0" xfId="5"/>
    <xf numFmtId="0" fontId="18" fillId="9" borderId="55" xfId="5" applyBorder="1" applyAlignment="1">
      <alignment horizontal="right"/>
    </xf>
    <xf numFmtId="0" fontId="18" fillId="9" borderId="48" xfId="5" applyBorder="1" applyAlignment="1">
      <alignment horizontal="right"/>
    </xf>
    <xf numFmtId="0" fontId="18" fillId="9" borderId="44" xfId="5" applyBorder="1" applyAlignment="1">
      <alignment horizontal="right"/>
    </xf>
    <xf numFmtId="2" fontId="11" fillId="5" borderId="20" xfId="3" applyNumberFormat="1" applyBorder="1" applyAlignment="1">
      <alignment horizontal="center"/>
    </xf>
    <xf numFmtId="0" fontId="28" fillId="9" borderId="2" xfId="5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2" borderId="3" xfId="1" applyFont="1" applyBorder="1" applyAlignment="1">
      <alignment horizontal="center" vertical="center"/>
    </xf>
    <xf numFmtId="0" fontId="0" fillId="2" borderId="4" xfId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7" fillId="0" borderId="2" xfId="0" applyFont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27" fillId="7" borderId="60" xfId="0" applyFont="1" applyFill="1" applyBorder="1" applyAlignment="1">
      <alignment horizontal="center"/>
    </xf>
    <xf numFmtId="0" fontId="27" fillId="7" borderId="61" xfId="0" applyFont="1" applyFill="1" applyBorder="1" applyAlignment="1">
      <alignment horizontal="center"/>
    </xf>
    <xf numFmtId="0" fontId="27" fillId="7" borderId="62" xfId="0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59" xfId="0" applyBorder="1" applyAlignment="1">
      <alignment horizontal="center"/>
    </xf>
  </cellXfs>
  <cellStyles count="6">
    <cellStyle name="20% - Énfasis1" xfId="1" builtinId="30"/>
    <cellStyle name="Bueno" xfId="5" builtinId="26"/>
    <cellStyle name="Incorrecto" xfId="3" builtinId="27"/>
    <cellStyle name="Neutral" xfId="4" builtinId="28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F4347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182880</xdr:colOff>
      <xdr:row>32</xdr:row>
      <xdr:rowOff>30480</xdr:rowOff>
    </xdr:from>
    <xdr:to>
      <xdr:col>1</xdr:col>
      <xdr:colOff>350520</xdr:colOff>
      <xdr:row>34</xdr:row>
      <xdr:rowOff>129540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82880" y="5715000"/>
          <a:ext cx="960120" cy="46482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1 (Purín crudo)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708660</xdr:colOff>
      <xdr:row>30</xdr:row>
      <xdr:rowOff>15240</xdr:rowOff>
    </xdr:from>
    <xdr:to>
      <xdr:col>4</xdr:col>
      <xdr:colOff>769620</xdr:colOff>
      <xdr:row>33</xdr:row>
      <xdr:rowOff>114300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895600" y="5334000"/>
          <a:ext cx="2148840" cy="64770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THIN LAYER</a:t>
          </a:r>
        </a:p>
      </xdr:txBody>
    </xdr:sp>
    <xdr:clientData/>
  </xdr:twoCellAnchor>
  <xdr:twoCellAnchor>
    <xdr:from>
      <xdr:col>7</xdr:col>
      <xdr:colOff>533400</xdr:colOff>
      <xdr:row>30</xdr:row>
      <xdr:rowOff>60960</xdr:rowOff>
    </xdr:from>
    <xdr:to>
      <xdr:col>8</xdr:col>
      <xdr:colOff>472440</xdr:colOff>
      <xdr:row>33</xdr:row>
      <xdr:rowOff>30480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8816340" y="5379720"/>
          <a:ext cx="1600200" cy="51816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CENTRÍFUGA</a:t>
          </a:r>
        </a:p>
      </xdr:txBody>
    </xdr:sp>
    <xdr:clientData/>
  </xdr:twoCellAnchor>
  <xdr:twoCellAnchor>
    <xdr:from>
      <xdr:col>4</xdr:col>
      <xdr:colOff>769620</xdr:colOff>
      <xdr:row>31</xdr:row>
      <xdr:rowOff>137160</xdr:rowOff>
    </xdr:from>
    <xdr:to>
      <xdr:col>7</xdr:col>
      <xdr:colOff>533400</xdr:colOff>
      <xdr:row>31</xdr:row>
      <xdr:rowOff>156210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>
          <a:cxnSpLocks/>
          <a:stCxn id="3" idx="3"/>
          <a:endCxn id="4" idx="1"/>
        </xdr:cNvCxnSpPr>
      </xdr:nvCxnSpPr>
      <xdr:spPr>
        <a:xfrm flipV="1">
          <a:off x="5044440" y="5638800"/>
          <a:ext cx="3771900" cy="1905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678180</xdr:colOff>
      <xdr:row>31</xdr:row>
      <xdr:rowOff>152400</xdr:rowOff>
    </xdr:from>
    <xdr:to>
      <xdr:col>2</xdr:col>
      <xdr:colOff>708660</xdr:colOff>
      <xdr:row>31</xdr:row>
      <xdr:rowOff>156210</xdr:rowOff>
    </xdr:to>
    <xdr:cxnSp macro="">
      <xdr:nvCxnSpPr>
        <xdr:cNvPr id="6" name="Conector recto de flecha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>
          <a:cxnSpLocks/>
          <a:endCxn id="3" idx="1"/>
        </xdr:cNvCxnSpPr>
      </xdr:nvCxnSpPr>
      <xdr:spPr>
        <a:xfrm>
          <a:off x="678180" y="5654040"/>
          <a:ext cx="221742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716280</xdr:colOff>
      <xdr:row>29</xdr:row>
      <xdr:rowOff>91440</xdr:rowOff>
    </xdr:from>
    <xdr:to>
      <xdr:col>1</xdr:col>
      <xdr:colOff>716280</xdr:colOff>
      <xdr:row>31</xdr:row>
      <xdr:rowOff>121920</xdr:rowOff>
    </xdr:to>
    <xdr:cxnSp macro="">
      <xdr:nvCxnSpPr>
        <xdr:cNvPr id="7" name="Conector recto de flecha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>
          <a:cxnSpLocks/>
          <a:stCxn id="8" idx="2"/>
        </xdr:cNvCxnSpPr>
      </xdr:nvCxnSpPr>
      <xdr:spPr>
        <a:xfrm>
          <a:off x="1508760" y="5227320"/>
          <a:ext cx="0" cy="39624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167640</xdr:colOff>
      <xdr:row>27</xdr:row>
      <xdr:rowOff>0</xdr:rowOff>
    </xdr:from>
    <xdr:to>
      <xdr:col>2</xdr:col>
      <xdr:colOff>15240</xdr:colOff>
      <xdr:row>29</xdr:row>
      <xdr:rowOff>91440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960120" y="4770120"/>
          <a:ext cx="1242060" cy="45720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2 (Agua fresca)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876300</xdr:colOff>
      <xdr:row>24</xdr:row>
      <xdr:rowOff>152400</xdr:rowOff>
    </xdr:from>
    <xdr:to>
      <xdr:col>4</xdr:col>
      <xdr:colOff>822960</xdr:colOff>
      <xdr:row>27</xdr:row>
      <xdr:rowOff>45720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939540" y="4373880"/>
          <a:ext cx="11582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4 (Emisión)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186690</xdr:colOff>
      <xdr:row>27</xdr:row>
      <xdr:rowOff>45720</xdr:rowOff>
    </xdr:from>
    <xdr:to>
      <xdr:col>4</xdr:col>
      <xdr:colOff>190500</xdr:colOff>
      <xdr:row>30</xdr:row>
      <xdr:rowOff>0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>
          <a:cxnSpLocks/>
          <a:endCxn id="9" idx="2"/>
        </xdr:cNvCxnSpPr>
      </xdr:nvCxnSpPr>
      <xdr:spPr>
        <a:xfrm flipH="1" flipV="1">
          <a:off x="4461510" y="4815840"/>
          <a:ext cx="3810" cy="50292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236220</xdr:colOff>
      <xdr:row>29</xdr:row>
      <xdr:rowOff>15240</xdr:rowOff>
    </xdr:from>
    <xdr:to>
      <xdr:col>6</xdr:col>
      <xdr:colOff>464820</xdr:colOff>
      <xdr:row>31</xdr:row>
      <xdr:rowOff>91440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5707380" y="5151120"/>
          <a:ext cx="16535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5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(Salida Thin Layer)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472440</xdr:colOff>
      <xdr:row>31</xdr:row>
      <xdr:rowOff>129540</xdr:rowOff>
    </xdr:from>
    <xdr:to>
      <xdr:col>9</xdr:col>
      <xdr:colOff>697776</xdr:colOff>
      <xdr:row>31</xdr:row>
      <xdr:rowOff>138249</xdr:rowOff>
    </xdr:to>
    <xdr:cxnSp macro="">
      <xdr:nvCxnSpPr>
        <xdr:cNvPr id="12" name="Conector recto de flecha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>
          <a:cxnSpLocks/>
          <a:stCxn id="4" idx="3"/>
        </xdr:cNvCxnSpPr>
      </xdr:nvCxnSpPr>
      <xdr:spPr>
        <a:xfrm flipV="1">
          <a:off x="10416540" y="5631180"/>
          <a:ext cx="1673136" cy="8709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569321</xdr:colOff>
      <xdr:row>28</xdr:row>
      <xdr:rowOff>181790</xdr:rowOff>
    </xdr:from>
    <xdr:to>
      <xdr:col>9</xdr:col>
      <xdr:colOff>609599</xdr:colOff>
      <xdr:row>31</xdr:row>
      <xdr:rowOff>72933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0513421" y="5134790"/>
          <a:ext cx="1488078" cy="439783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9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(Biomasa)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182880</xdr:colOff>
      <xdr:row>32</xdr:row>
      <xdr:rowOff>30480</xdr:rowOff>
    </xdr:from>
    <xdr:to>
      <xdr:col>1</xdr:col>
      <xdr:colOff>350520</xdr:colOff>
      <xdr:row>34</xdr:row>
      <xdr:rowOff>129540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82880" y="5715000"/>
          <a:ext cx="960120" cy="46482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1 (Purín crudo)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708660</xdr:colOff>
      <xdr:row>30</xdr:row>
      <xdr:rowOff>15240</xdr:rowOff>
    </xdr:from>
    <xdr:to>
      <xdr:col>4</xdr:col>
      <xdr:colOff>769620</xdr:colOff>
      <xdr:row>33</xdr:row>
      <xdr:rowOff>114300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895600" y="5334000"/>
          <a:ext cx="2148840" cy="64770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THIN LAYER</a:t>
          </a:r>
        </a:p>
      </xdr:txBody>
    </xdr:sp>
    <xdr:clientData/>
  </xdr:twoCellAnchor>
  <xdr:twoCellAnchor>
    <xdr:from>
      <xdr:col>7</xdr:col>
      <xdr:colOff>533400</xdr:colOff>
      <xdr:row>30</xdr:row>
      <xdr:rowOff>60960</xdr:rowOff>
    </xdr:from>
    <xdr:to>
      <xdr:col>8</xdr:col>
      <xdr:colOff>472440</xdr:colOff>
      <xdr:row>33</xdr:row>
      <xdr:rowOff>30480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816340" y="5379720"/>
          <a:ext cx="1600200" cy="51816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CENTRÍFUGA</a:t>
          </a:r>
        </a:p>
      </xdr:txBody>
    </xdr:sp>
    <xdr:clientData/>
  </xdr:twoCellAnchor>
  <xdr:twoCellAnchor>
    <xdr:from>
      <xdr:col>4</xdr:col>
      <xdr:colOff>769620</xdr:colOff>
      <xdr:row>31</xdr:row>
      <xdr:rowOff>137160</xdr:rowOff>
    </xdr:from>
    <xdr:to>
      <xdr:col>7</xdr:col>
      <xdr:colOff>533400</xdr:colOff>
      <xdr:row>31</xdr:row>
      <xdr:rowOff>156210</xdr:rowOff>
    </xdr:to>
    <xdr:cxnSp macro="">
      <xdr:nvCxnSpPr>
        <xdr:cNvPr id="17" name="Conector recto de flecha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>
          <a:cxnSpLocks/>
          <a:stCxn id="15" idx="3"/>
          <a:endCxn id="16" idx="1"/>
        </xdr:cNvCxnSpPr>
      </xdr:nvCxnSpPr>
      <xdr:spPr>
        <a:xfrm flipV="1">
          <a:off x="5044440" y="5638800"/>
          <a:ext cx="3771900" cy="1905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678180</xdr:colOff>
      <xdr:row>31</xdr:row>
      <xdr:rowOff>152400</xdr:rowOff>
    </xdr:from>
    <xdr:to>
      <xdr:col>2</xdr:col>
      <xdr:colOff>708660</xdr:colOff>
      <xdr:row>31</xdr:row>
      <xdr:rowOff>156210</xdr:rowOff>
    </xdr:to>
    <xdr:cxnSp macro="">
      <xdr:nvCxnSpPr>
        <xdr:cNvPr id="18" name="Conector recto de flecha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>
          <a:cxnSpLocks/>
          <a:endCxn id="15" idx="1"/>
        </xdr:cNvCxnSpPr>
      </xdr:nvCxnSpPr>
      <xdr:spPr>
        <a:xfrm>
          <a:off x="678180" y="5654040"/>
          <a:ext cx="221742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716280</xdr:colOff>
      <xdr:row>29</xdr:row>
      <xdr:rowOff>91440</xdr:rowOff>
    </xdr:from>
    <xdr:to>
      <xdr:col>1</xdr:col>
      <xdr:colOff>716280</xdr:colOff>
      <xdr:row>31</xdr:row>
      <xdr:rowOff>121920</xdr:rowOff>
    </xdr:to>
    <xdr:cxnSp macro="">
      <xdr:nvCxnSpPr>
        <xdr:cNvPr id="19" name="Conector recto de flecha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>
          <a:cxnSpLocks/>
          <a:stCxn id="20" idx="2"/>
        </xdr:cNvCxnSpPr>
      </xdr:nvCxnSpPr>
      <xdr:spPr>
        <a:xfrm>
          <a:off x="1508760" y="5227320"/>
          <a:ext cx="0" cy="39624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167640</xdr:colOff>
      <xdr:row>27</xdr:row>
      <xdr:rowOff>0</xdr:rowOff>
    </xdr:from>
    <xdr:to>
      <xdr:col>2</xdr:col>
      <xdr:colOff>15240</xdr:colOff>
      <xdr:row>29</xdr:row>
      <xdr:rowOff>91440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960120" y="4770120"/>
          <a:ext cx="1242060" cy="45720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2 (Agua fresca)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876300</xdr:colOff>
      <xdr:row>24</xdr:row>
      <xdr:rowOff>152400</xdr:rowOff>
    </xdr:from>
    <xdr:to>
      <xdr:col>4</xdr:col>
      <xdr:colOff>822960</xdr:colOff>
      <xdr:row>27</xdr:row>
      <xdr:rowOff>45720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3939540" y="4373880"/>
          <a:ext cx="11582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4 (Emisión)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186690</xdr:colOff>
      <xdr:row>27</xdr:row>
      <xdr:rowOff>45720</xdr:rowOff>
    </xdr:from>
    <xdr:to>
      <xdr:col>4</xdr:col>
      <xdr:colOff>190500</xdr:colOff>
      <xdr:row>30</xdr:row>
      <xdr:rowOff>0</xdr:rowOff>
    </xdr:to>
    <xdr:cxnSp macro="">
      <xdr:nvCxnSpPr>
        <xdr:cNvPr id="22" name="Conector recto de flecha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CxnSpPr>
          <a:cxnSpLocks/>
          <a:endCxn id="21" idx="2"/>
        </xdr:cNvCxnSpPr>
      </xdr:nvCxnSpPr>
      <xdr:spPr>
        <a:xfrm flipH="1" flipV="1">
          <a:off x="4461510" y="4815840"/>
          <a:ext cx="3810" cy="50292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236220</xdr:colOff>
      <xdr:row>29</xdr:row>
      <xdr:rowOff>15240</xdr:rowOff>
    </xdr:from>
    <xdr:to>
      <xdr:col>6</xdr:col>
      <xdr:colOff>464820</xdr:colOff>
      <xdr:row>31</xdr:row>
      <xdr:rowOff>91440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5707380" y="5151120"/>
          <a:ext cx="16535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5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(Salida Thin Layer)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472440</xdr:colOff>
      <xdr:row>31</xdr:row>
      <xdr:rowOff>129540</xdr:rowOff>
    </xdr:from>
    <xdr:to>
      <xdr:col>9</xdr:col>
      <xdr:colOff>697776</xdr:colOff>
      <xdr:row>31</xdr:row>
      <xdr:rowOff>138249</xdr:rowOff>
    </xdr:to>
    <xdr:cxnSp macro="">
      <xdr:nvCxnSpPr>
        <xdr:cNvPr id="24" name="Conector recto de flecha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>
          <a:cxnSpLocks/>
          <a:stCxn id="16" idx="3"/>
        </xdr:cNvCxnSpPr>
      </xdr:nvCxnSpPr>
      <xdr:spPr>
        <a:xfrm flipV="1">
          <a:off x="10416540" y="5631180"/>
          <a:ext cx="1673136" cy="8709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569321</xdr:colOff>
      <xdr:row>27</xdr:row>
      <xdr:rowOff>119743</xdr:rowOff>
    </xdr:from>
    <xdr:to>
      <xdr:col>9</xdr:col>
      <xdr:colOff>674914</xdr:colOff>
      <xdr:row>31</xdr:row>
      <xdr:rowOff>72933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0513421" y="4889863"/>
          <a:ext cx="1553393" cy="68471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9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</a:t>
          </a:r>
          <a:r>
            <a:rPr lang="es-ES" sz="1100" b="0" baseline="0">
              <a:solidFill>
                <a:srgbClr val="FF0000"/>
              </a:solidFill>
            </a:rPr>
            <a:t>Suspensión con </a:t>
          </a:r>
          <a:r>
            <a:rPr lang="es-ES" sz="1100" b="0" baseline="0">
              <a:solidFill>
                <a:sysClr val="windowText" lastClr="000000"/>
              </a:solidFill>
            </a:rPr>
            <a:t>Biomasa)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828675</xdr:colOff>
      <xdr:row>32</xdr:row>
      <xdr:rowOff>30480</xdr:rowOff>
    </xdr:from>
    <xdr:to>
      <xdr:col>2</xdr:col>
      <xdr:colOff>680085</xdr:colOff>
      <xdr:row>34</xdr:row>
      <xdr:rowOff>106680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621155" y="5715000"/>
          <a:ext cx="124587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3 (Entrada)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182880</xdr:colOff>
      <xdr:row>32</xdr:row>
      <xdr:rowOff>30480</xdr:rowOff>
    </xdr:from>
    <xdr:to>
      <xdr:col>1</xdr:col>
      <xdr:colOff>350520</xdr:colOff>
      <xdr:row>34</xdr:row>
      <xdr:rowOff>129540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82880" y="5715000"/>
          <a:ext cx="960120" cy="46482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1 (Purín crudo)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708660</xdr:colOff>
      <xdr:row>30</xdr:row>
      <xdr:rowOff>15240</xdr:rowOff>
    </xdr:from>
    <xdr:to>
      <xdr:col>4</xdr:col>
      <xdr:colOff>769620</xdr:colOff>
      <xdr:row>33</xdr:row>
      <xdr:rowOff>114300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2895600" y="5334000"/>
          <a:ext cx="2148840" cy="64770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THIN LAYER</a:t>
          </a:r>
        </a:p>
      </xdr:txBody>
    </xdr:sp>
    <xdr:clientData/>
  </xdr:twoCellAnchor>
  <xdr:twoCellAnchor>
    <xdr:from>
      <xdr:col>7</xdr:col>
      <xdr:colOff>533400</xdr:colOff>
      <xdr:row>30</xdr:row>
      <xdr:rowOff>60960</xdr:rowOff>
    </xdr:from>
    <xdr:to>
      <xdr:col>8</xdr:col>
      <xdr:colOff>472440</xdr:colOff>
      <xdr:row>33</xdr:row>
      <xdr:rowOff>30480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8816340" y="5379720"/>
          <a:ext cx="1600200" cy="51816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CENTRÍFUGA</a:t>
          </a:r>
        </a:p>
      </xdr:txBody>
    </xdr:sp>
    <xdr:clientData/>
  </xdr:twoCellAnchor>
  <xdr:twoCellAnchor>
    <xdr:from>
      <xdr:col>4</xdr:col>
      <xdr:colOff>769620</xdr:colOff>
      <xdr:row>31</xdr:row>
      <xdr:rowOff>137160</xdr:rowOff>
    </xdr:from>
    <xdr:to>
      <xdr:col>7</xdr:col>
      <xdr:colOff>533400</xdr:colOff>
      <xdr:row>31</xdr:row>
      <xdr:rowOff>156210</xdr:rowOff>
    </xdr:to>
    <xdr:cxnSp macro="">
      <xdr:nvCxnSpPr>
        <xdr:cNvPr id="30" name="Conector recto de flecha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CxnSpPr>
          <a:cxnSpLocks/>
          <a:stCxn id="28" idx="3"/>
          <a:endCxn id="29" idx="1"/>
        </xdr:cNvCxnSpPr>
      </xdr:nvCxnSpPr>
      <xdr:spPr>
        <a:xfrm flipV="1">
          <a:off x="5044440" y="5638800"/>
          <a:ext cx="3771900" cy="1905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678180</xdr:colOff>
      <xdr:row>31</xdr:row>
      <xdr:rowOff>152400</xdr:rowOff>
    </xdr:from>
    <xdr:to>
      <xdr:col>2</xdr:col>
      <xdr:colOff>708660</xdr:colOff>
      <xdr:row>31</xdr:row>
      <xdr:rowOff>156210</xdr:rowOff>
    </xdr:to>
    <xdr:cxnSp macro="">
      <xdr:nvCxnSpPr>
        <xdr:cNvPr id="31" name="Conector recto de flecha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CxnSpPr>
          <a:cxnSpLocks/>
          <a:endCxn id="28" idx="1"/>
        </xdr:cNvCxnSpPr>
      </xdr:nvCxnSpPr>
      <xdr:spPr>
        <a:xfrm>
          <a:off x="678180" y="5654040"/>
          <a:ext cx="221742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716280</xdr:colOff>
      <xdr:row>29</xdr:row>
      <xdr:rowOff>91440</xdr:rowOff>
    </xdr:from>
    <xdr:to>
      <xdr:col>1</xdr:col>
      <xdr:colOff>716280</xdr:colOff>
      <xdr:row>31</xdr:row>
      <xdr:rowOff>121920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cxnSpLocks/>
          <a:stCxn id="33" idx="2"/>
        </xdr:cNvCxnSpPr>
      </xdr:nvCxnSpPr>
      <xdr:spPr>
        <a:xfrm>
          <a:off x="1508760" y="5227320"/>
          <a:ext cx="0" cy="39624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167640</xdr:colOff>
      <xdr:row>27</xdr:row>
      <xdr:rowOff>0</xdr:rowOff>
    </xdr:from>
    <xdr:to>
      <xdr:col>2</xdr:col>
      <xdr:colOff>15240</xdr:colOff>
      <xdr:row>29</xdr:row>
      <xdr:rowOff>91440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960120" y="4770120"/>
          <a:ext cx="1242060" cy="45720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2 (Agua fresca)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876300</xdr:colOff>
      <xdr:row>24</xdr:row>
      <xdr:rowOff>152400</xdr:rowOff>
    </xdr:from>
    <xdr:to>
      <xdr:col>4</xdr:col>
      <xdr:colOff>822960</xdr:colOff>
      <xdr:row>27</xdr:row>
      <xdr:rowOff>45720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3939540" y="4373880"/>
          <a:ext cx="11582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4 (Emisión)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186690</xdr:colOff>
      <xdr:row>27</xdr:row>
      <xdr:rowOff>45720</xdr:rowOff>
    </xdr:from>
    <xdr:to>
      <xdr:col>4</xdr:col>
      <xdr:colOff>190500</xdr:colOff>
      <xdr:row>30</xdr:row>
      <xdr:rowOff>0</xdr:rowOff>
    </xdr:to>
    <xdr:cxnSp macro="">
      <xdr:nvCxnSpPr>
        <xdr:cNvPr id="35" name="Conector recto de flecha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CxnSpPr>
          <a:cxnSpLocks/>
          <a:endCxn id="34" idx="2"/>
        </xdr:cNvCxnSpPr>
      </xdr:nvCxnSpPr>
      <xdr:spPr>
        <a:xfrm flipH="1" flipV="1">
          <a:off x="4461510" y="4815840"/>
          <a:ext cx="3810" cy="50292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236220</xdr:colOff>
      <xdr:row>29</xdr:row>
      <xdr:rowOff>15240</xdr:rowOff>
    </xdr:from>
    <xdr:to>
      <xdr:col>6</xdr:col>
      <xdr:colOff>464820</xdr:colOff>
      <xdr:row>31</xdr:row>
      <xdr:rowOff>91440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707380" y="5151120"/>
          <a:ext cx="16535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5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(Salida Thin Layer)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472440</xdr:colOff>
      <xdr:row>31</xdr:row>
      <xdr:rowOff>129540</xdr:rowOff>
    </xdr:from>
    <xdr:to>
      <xdr:col>9</xdr:col>
      <xdr:colOff>697776</xdr:colOff>
      <xdr:row>31</xdr:row>
      <xdr:rowOff>138249</xdr:rowOff>
    </xdr:to>
    <xdr:cxnSp macro="">
      <xdr:nvCxnSpPr>
        <xdr:cNvPr id="37" name="Conector recto de flecha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CxnSpPr>
          <a:cxnSpLocks/>
          <a:stCxn id="29" idx="3"/>
        </xdr:cNvCxnSpPr>
      </xdr:nvCxnSpPr>
      <xdr:spPr>
        <a:xfrm flipV="1">
          <a:off x="10416540" y="5631180"/>
          <a:ext cx="1673136" cy="8709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569321</xdr:colOff>
      <xdr:row>28</xdr:row>
      <xdr:rowOff>181790</xdr:rowOff>
    </xdr:from>
    <xdr:to>
      <xdr:col>9</xdr:col>
      <xdr:colOff>609599</xdr:colOff>
      <xdr:row>31</xdr:row>
      <xdr:rowOff>72933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10513421" y="5134790"/>
          <a:ext cx="1488078" cy="439783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9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(Biomasa)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676275</xdr:colOff>
      <xdr:row>37</xdr:row>
      <xdr:rowOff>106680</xdr:rowOff>
    </xdr:from>
    <xdr:to>
      <xdr:col>3</xdr:col>
      <xdr:colOff>1095375</xdr:colOff>
      <xdr:row>40</xdr:row>
      <xdr:rowOff>1905</xdr:rowOff>
    </xdr:to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2863215" y="6705600"/>
          <a:ext cx="1295400" cy="443865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4 (Agua de reposición)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182880</xdr:colOff>
      <xdr:row>32</xdr:row>
      <xdr:rowOff>30480</xdr:rowOff>
    </xdr:from>
    <xdr:to>
      <xdr:col>1</xdr:col>
      <xdr:colOff>350520</xdr:colOff>
      <xdr:row>34</xdr:row>
      <xdr:rowOff>129540</xdr:rowOff>
    </xdr:to>
    <xdr:sp macro="" textlink="">
      <xdr:nvSpPr>
        <xdr:cNvPr id="40" name="CuadroTexto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82880" y="5715000"/>
          <a:ext cx="960120" cy="46482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1 (Purín crudo)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708660</xdr:colOff>
      <xdr:row>30</xdr:row>
      <xdr:rowOff>15240</xdr:rowOff>
    </xdr:from>
    <xdr:to>
      <xdr:col>4</xdr:col>
      <xdr:colOff>769620</xdr:colOff>
      <xdr:row>33</xdr:row>
      <xdr:rowOff>114300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2895600" y="5334000"/>
          <a:ext cx="2148840" cy="64770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THIN LAYER</a:t>
          </a:r>
        </a:p>
      </xdr:txBody>
    </xdr:sp>
    <xdr:clientData/>
  </xdr:twoCellAnchor>
  <xdr:twoCellAnchor>
    <xdr:from>
      <xdr:col>7</xdr:col>
      <xdr:colOff>533400</xdr:colOff>
      <xdr:row>30</xdr:row>
      <xdr:rowOff>60960</xdr:rowOff>
    </xdr:from>
    <xdr:to>
      <xdr:col>8</xdr:col>
      <xdr:colOff>472440</xdr:colOff>
      <xdr:row>33</xdr:row>
      <xdr:rowOff>30480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8816340" y="5379720"/>
          <a:ext cx="1600200" cy="51816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CENTRÍFUGA</a:t>
          </a:r>
        </a:p>
      </xdr:txBody>
    </xdr:sp>
    <xdr:clientData/>
  </xdr:twoCellAnchor>
  <xdr:twoCellAnchor>
    <xdr:from>
      <xdr:col>4</xdr:col>
      <xdr:colOff>769620</xdr:colOff>
      <xdr:row>31</xdr:row>
      <xdr:rowOff>137160</xdr:rowOff>
    </xdr:from>
    <xdr:to>
      <xdr:col>7</xdr:col>
      <xdr:colOff>533400</xdr:colOff>
      <xdr:row>31</xdr:row>
      <xdr:rowOff>156210</xdr:rowOff>
    </xdr:to>
    <xdr:cxnSp macro="">
      <xdr:nvCxnSpPr>
        <xdr:cNvPr id="43" name="Conector recto de flecha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CxnSpPr>
          <a:cxnSpLocks/>
          <a:stCxn id="41" idx="3"/>
          <a:endCxn id="42" idx="1"/>
        </xdr:cNvCxnSpPr>
      </xdr:nvCxnSpPr>
      <xdr:spPr>
        <a:xfrm flipV="1">
          <a:off x="5044440" y="5638800"/>
          <a:ext cx="3771900" cy="1905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678180</xdr:colOff>
      <xdr:row>31</xdr:row>
      <xdr:rowOff>152400</xdr:rowOff>
    </xdr:from>
    <xdr:to>
      <xdr:col>2</xdr:col>
      <xdr:colOff>708660</xdr:colOff>
      <xdr:row>31</xdr:row>
      <xdr:rowOff>156210</xdr:rowOff>
    </xdr:to>
    <xdr:cxnSp macro="">
      <xdr:nvCxnSpPr>
        <xdr:cNvPr id="44" name="Conector recto de flecha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CxnSpPr>
          <a:cxnSpLocks/>
          <a:endCxn id="41" idx="1"/>
        </xdr:cNvCxnSpPr>
      </xdr:nvCxnSpPr>
      <xdr:spPr>
        <a:xfrm>
          <a:off x="678180" y="5654040"/>
          <a:ext cx="221742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716280</xdr:colOff>
      <xdr:row>29</xdr:row>
      <xdr:rowOff>91440</xdr:rowOff>
    </xdr:from>
    <xdr:to>
      <xdr:col>1</xdr:col>
      <xdr:colOff>716280</xdr:colOff>
      <xdr:row>31</xdr:row>
      <xdr:rowOff>121920</xdr:rowOff>
    </xdr:to>
    <xdr:cxnSp macro="">
      <xdr:nvCxnSpPr>
        <xdr:cNvPr id="45" name="Conector recto de flecha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CxnSpPr>
          <a:cxnSpLocks/>
          <a:stCxn id="46" idx="2"/>
        </xdr:cNvCxnSpPr>
      </xdr:nvCxnSpPr>
      <xdr:spPr>
        <a:xfrm>
          <a:off x="1508760" y="5227320"/>
          <a:ext cx="0" cy="39624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167640</xdr:colOff>
      <xdr:row>27</xdr:row>
      <xdr:rowOff>0</xdr:rowOff>
    </xdr:from>
    <xdr:to>
      <xdr:col>2</xdr:col>
      <xdr:colOff>15240</xdr:colOff>
      <xdr:row>29</xdr:row>
      <xdr:rowOff>91440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960120" y="4770120"/>
          <a:ext cx="1242060" cy="45720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2 (Agua fresca)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876300</xdr:colOff>
      <xdr:row>24</xdr:row>
      <xdr:rowOff>152400</xdr:rowOff>
    </xdr:from>
    <xdr:to>
      <xdr:col>4</xdr:col>
      <xdr:colOff>822960</xdr:colOff>
      <xdr:row>27</xdr:row>
      <xdr:rowOff>45720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3939540" y="4373880"/>
          <a:ext cx="11582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5 (Emisión)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186690</xdr:colOff>
      <xdr:row>27</xdr:row>
      <xdr:rowOff>45720</xdr:rowOff>
    </xdr:from>
    <xdr:to>
      <xdr:col>4</xdr:col>
      <xdr:colOff>190500</xdr:colOff>
      <xdr:row>30</xdr:row>
      <xdr:rowOff>0</xdr:rowOff>
    </xdr:to>
    <xdr:cxnSp macro="">
      <xdr:nvCxnSpPr>
        <xdr:cNvPr id="48" name="Conector recto de flecha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CxnSpPr>
          <a:cxnSpLocks/>
          <a:endCxn id="47" idx="2"/>
        </xdr:cNvCxnSpPr>
      </xdr:nvCxnSpPr>
      <xdr:spPr>
        <a:xfrm flipH="1" flipV="1">
          <a:off x="4461510" y="4815840"/>
          <a:ext cx="3810" cy="50292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236220</xdr:colOff>
      <xdr:row>29</xdr:row>
      <xdr:rowOff>15240</xdr:rowOff>
    </xdr:from>
    <xdr:to>
      <xdr:col>6</xdr:col>
      <xdr:colOff>464820</xdr:colOff>
      <xdr:row>31</xdr:row>
      <xdr:rowOff>91440</xdr:rowOff>
    </xdr:to>
    <xdr:sp macro="" textlink="">
      <xdr:nvSpPr>
        <xdr:cNvPr id="49" name="CuadroTexto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5707380" y="5151120"/>
          <a:ext cx="16535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6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(Salida Thin Layer)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472440</xdr:colOff>
      <xdr:row>31</xdr:row>
      <xdr:rowOff>129540</xdr:rowOff>
    </xdr:from>
    <xdr:to>
      <xdr:col>9</xdr:col>
      <xdr:colOff>697776</xdr:colOff>
      <xdr:row>31</xdr:row>
      <xdr:rowOff>138249</xdr:rowOff>
    </xdr:to>
    <xdr:cxnSp macro="">
      <xdr:nvCxnSpPr>
        <xdr:cNvPr id="50" name="Conector recto de flecha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CxnSpPr>
          <a:cxnSpLocks/>
          <a:stCxn id="42" idx="3"/>
        </xdr:cNvCxnSpPr>
      </xdr:nvCxnSpPr>
      <xdr:spPr>
        <a:xfrm flipV="1">
          <a:off x="10416540" y="5631180"/>
          <a:ext cx="1673136" cy="8709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569321</xdr:colOff>
      <xdr:row>27</xdr:row>
      <xdr:rowOff>119743</xdr:rowOff>
    </xdr:from>
    <xdr:to>
      <xdr:col>9</xdr:col>
      <xdr:colOff>674914</xdr:colOff>
      <xdr:row>31</xdr:row>
      <xdr:rowOff>72933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10513421" y="4889863"/>
          <a:ext cx="1553393" cy="68471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8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</a:t>
          </a:r>
          <a:r>
            <a:rPr lang="es-ES" sz="1100" b="0" baseline="0">
              <a:solidFill>
                <a:srgbClr val="FF0000"/>
              </a:solidFill>
            </a:rPr>
            <a:t>Suspensión con </a:t>
          </a:r>
          <a:r>
            <a:rPr lang="es-ES" sz="1100" b="0" baseline="0">
              <a:solidFill>
                <a:sysClr val="windowText" lastClr="000000"/>
              </a:solidFill>
            </a:rPr>
            <a:t>Biomasa)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828675</xdr:colOff>
      <xdr:row>32</xdr:row>
      <xdr:rowOff>30480</xdr:rowOff>
    </xdr:from>
    <xdr:to>
      <xdr:col>2</xdr:col>
      <xdr:colOff>680085</xdr:colOff>
      <xdr:row>34</xdr:row>
      <xdr:rowOff>106680</xdr:rowOff>
    </xdr:to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1621155" y="5715000"/>
          <a:ext cx="124587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3 (Entrada)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1107349</xdr:colOff>
      <xdr:row>36</xdr:row>
      <xdr:rowOff>143691</xdr:rowOff>
    </xdr:from>
    <xdr:to>
      <xdr:col>7</xdr:col>
      <xdr:colOff>1273901</xdr:colOff>
      <xdr:row>39</xdr:row>
      <xdr:rowOff>37011</xdr:rowOff>
    </xdr:to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003449" y="6559731"/>
          <a:ext cx="1553392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7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(Efluente)</a:t>
          </a:r>
        </a:p>
      </xdr:txBody>
    </xdr:sp>
    <xdr:clientData/>
  </xdr:twoCellAnchor>
  <xdr:twoCellAnchor>
    <xdr:from>
      <xdr:col>3</xdr:col>
      <xdr:colOff>390525</xdr:colOff>
      <xdr:row>33</xdr:row>
      <xdr:rowOff>123825</xdr:rowOff>
    </xdr:from>
    <xdr:to>
      <xdr:col>3</xdr:col>
      <xdr:colOff>400050</xdr:colOff>
      <xdr:row>37</xdr:row>
      <xdr:rowOff>114300</xdr:rowOff>
    </xdr:to>
    <xdr:cxnSp macro="">
      <xdr:nvCxnSpPr>
        <xdr:cNvPr id="54" name="Conector recto de flecha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CxnSpPr/>
      </xdr:nvCxnSpPr>
      <xdr:spPr>
        <a:xfrm flipV="1">
          <a:off x="3453765" y="5991225"/>
          <a:ext cx="9525" cy="72199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1362075</xdr:colOff>
      <xdr:row>33</xdr:row>
      <xdr:rowOff>45720</xdr:rowOff>
    </xdr:from>
    <xdr:to>
      <xdr:col>7</xdr:col>
      <xdr:colOff>1365885</xdr:colOff>
      <xdr:row>38</xdr:row>
      <xdr:rowOff>133350</xdr:rowOff>
    </xdr:to>
    <xdr:cxnSp macro="">
      <xdr:nvCxnSpPr>
        <xdr:cNvPr id="55" name="Conector recto de flecha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CxnSpPr>
          <a:cxnSpLocks/>
        </xdr:cNvCxnSpPr>
      </xdr:nvCxnSpPr>
      <xdr:spPr>
        <a:xfrm flipH="1">
          <a:off x="9645015" y="5913120"/>
          <a:ext cx="3810" cy="100203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241299</xdr:colOff>
      <xdr:row>94</xdr:row>
      <xdr:rowOff>82550</xdr:rowOff>
    </xdr:from>
    <xdr:ext cx="2044701" cy="5841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6" name="CuadroTexto 55">
              <a:extLst>
                <a:ext uri="{FF2B5EF4-FFF2-40B4-BE49-F238E27FC236}">
                  <a16:creationId xmlns:a16="http://schemas.microsoft.com/office/drawing/2014/main" id="{00000000-0008-0000-0000-000038000000}"/>
                </a:ext>
              </a:extLst>
            </xdr:cNvPr>
            <xdr:cNvSpPr txBox="1"/>
          </xdr:nvSpPr>
          <xdr:spPr>
            <a:xfrm>
              <a:off x="2428239" y="16069310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ES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sub>
                        </m:sSub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56" name="CuadroTexto 55"/>
            <xdr:cNvSpPr txBox="1"/>
          </xdr:nvSpPr>
          <xdr:spPr>
            <a:xfrm>
              <a:off x="2428239" y="16069310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ES" sz="1600" b="0" i="0">
                  <a:latin typeface="Cambria Math" panose="02040503050406030204" pitchFamily="18" charset="0"/>
                </a:rPr>
                <a:t>1/𝑞_𝑒 =1/(𝑞_𝑚·𝐾_𝐿·𝐶_𝑒 )+1/𝑞_𝑚 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6</xdr:col>
      <xdr:colOff>654050</xdr:colOff>
      <xdr:row>95</xdr:row>
      <xdr:rowOff>71967</xdr:rowOff>
    </xdr:from>
    <xdr:ext cx="2284921" cy="4090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7" name="CuadroTexto 56">
              <a:extLst>
                <a:ext uri="{FF2B5EF4-FFF2-40B4-BE49-F238E27FC236}">
                  <a16:creationId xmlns:a16="http://schemas.microsoft.com/office/drawing/2014/main" id="{00000000-0008-0000-0000-000039000000}"/>
                </a:ext>
              </a:extLst>
            </xdr:cNvPr>
            <xdr:cNvSpPr txBox="1"/>
          </xdr:nvSpPr>
          <xdr:spPr>
            <a:xfrm>
              <a:off x="7550150" y="16241607"/>
              <a:ext cx="2284921" cy="4090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=−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𝑉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𝑑𝐶</m:t>
                        </m:r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𝑑𝑡</m:t>
                        </m:r>
                      </m:den>
                    </m:f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𝐾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𝐶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𝑉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7" name="CuadroTexto 56"/>
            <xdr:cNvSpPr txBox="1"/>
          </xdr:nvSpPr>
          <xdr:spPr>
            <a:xfrm>
              <a:off x="7550150" y="16241607"/>
              <a:ext cx="2284921" cy="4090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400" b="0" i="0">
                  <a:latin typeface="Cambria Math" panose="02040503050406030204" pitchFamily="18" charset="0"/>
                </a:rPr>
                <a:t>𝑚 ̇_𝐷𝐸𝑆=−𝑉 𝑑𝐶/𝑑𝑡=𝐾_𝐷𝐸𝑆·𝐶·𝑉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99</xdr:row>
      <xdr:rowOff>0</xdr:rowOff>
    </xdr:from>
    <xdr:ext cx="2349041" cy="4090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8" name="CuadroTexto 57">
              <a:extLst>
                <a:ext uri="{FF2B5EF4-FFF2-40B4-BE49-F238E27FC236}">
                  <a16:creationId xmlns:a16="http://schemas.microsoft.com/office/drawing/2014/main" id="{00000000-0008-0000-0000-00003A000000}"/>
                </a:ext>
              </a:extLst>
            </xdr:cNvPr>
            <xdr:cNvSpPr txBox="1"/>
          </xdr:nvSpPr>
          <xdr:spPr>
            <a:xfrm>
              <a:off x="6896100" y="16901160"/>
              <a:ext cx="2349041" cy="4090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=−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𝑉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𝑑𝐶</m:t>
                        </m:r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𝑑𝑡</m:t>
                        </m:r>
                      </m:den>
                    </m:f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𝐾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·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𝑉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8" name="CuadroTexto 57"/>
            <xdr:cNvSpPr txBox="1"/>
          </xdr:nvSpPr>
          <xdr:spPr>
            <a:xfrm>
              <a:off x="6896100" y="16901160"/>
              <a:ext cx="2349041" cy="4090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400" b="0" i="0">
                  <a:latin typeface="Cambria Math" panose="02040503050406030204" pitchFamily="18" charset="0"/>
                </a:rPr>
                <a:t>𝑚 ̇_𝐷𝐸𝑆=−𝑉 𝑑𝐶/𝑑𝑡=𝐾_𝐷𝐸𝑆·𝐶_𝑒·𝑉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</xdr:col>
      <xdr:colOff>738716</xdr:colOff>
      <xdr:row>108</xdr:row>
      <xdr:rowOff>156633</xdr:rowOff>
    </xdr:from>
    <xdr:ext cx="2841162" cy="27065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9" name="CuadroTexto 58">
              <a:extLst>
                <a:ext uri="{FF2B5EF4-FFF2-40B4-BE49-F238E27FC236}">
                  <a16:creationId xmlns:a16="http://schemas.microsoft.com/office/drawing/2014/main" id="{00000000-0008-0000-0000-00003B000000}"/>
                </a:ext>
              </a:extLst>
            </xdr:cNvPr>
            <xdr:cNvSpPr txBox="1"/>
          </xdr:nvSpPr>
          <xdr:spPr>
            <a:xfrm>
              <a:off x="1531196" y="19054233"/>
              <a:ext cx="2841162" cy="27065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8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8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ES" sz="18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800" b="0" i="1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s-ES" sz="18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𝐸𝑉𝐴𝑃</m:t>
                        </m:r>
                      </m:sub>
                    </m:sSub>
                    <m:r>
                      <a:rPr lang="es-ES" sz="14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𝐴𝐷𝑆</m:t>
                        </m:r>
                      </m:sub>
                    </m:sSub>
                    <m:r>
                      <a:rPr lang="es-ES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400"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59" name="CuadroTexto 58"/>
            <xdr:cNvSpPr txBox="1"/>
          </xdr:nvSpPr>
          <xdr:spPr>
            <a:xfrm>
              <a:off x="1531196" y="19054233"/>
              <a:ext cx="2841162" cy="27065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800" b="0" i="0">
                  <a:latin typeface="Cambria Math" panose="02040503050406030204" pitchFamily="18" charset="0"/>
                </a:rPr>
                <a:t>𝑚 ̇_3=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𝑚 ̇_𝐸𝑉𝐴𝑃+𝑚 ̇_𝐷𝐸𝑆+𝑚 ̇_𝐴𝐷𝑆+𝑚 ̇_6</a:t>
              </a:r>
              <a:endParaRPr lang="es-ES" sz="1400"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1</xdr:col>
      <xdr:colOff>759883</xdr:colOff>
      <xdr:row>111</xdr:row>
      <xdr:rowOff>8466</xdr:rowOff>
    </xdr:from>
    <xdr:ext cx="986489" cy="2504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0" name="CuadroTexto 59">
              <a:extLst>
                <a:ext uri="{FF2B5EF4-FFF2-40B4-BE49-F238E27FC236}">
                  <a16:creationId xmlns:a16="http://schemas.microsoft.com/office/drawing/2014/main" id="{00000000-0008-0000-0000-00003C000000}"/>
                </a:ext>
              </a:extLst>
            </xdr:cNvPr>
            <xdr:cNvSpPr txBox="1"/>
          </xdr:nvSpPr>
          <xdr:spPr>
            <a:xfrm>
              <a:off x="1552363" y="19454706"/>
              <a:ext cx="986489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𝐸𝑉𝐴𝑃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60" name="CuadroTexto 59"/>
            <xdr:cNvSpPr txBox="1"/>
          </xdr:nvSpPr>
          <xdr:spPr>
            <a:xfrm>
              <a:off x="1552363" y="19454706"/>
              <a:ext cx="986489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𝑚 ̇_𝐸𝑉𝐴𝑃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=0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</xdr:col>
      <xdr:colOff>579966</xdr:colOff>
      <xdr:row>114</xdr:row>
      <xdr:rowOff>29632</xdr:rowOff>
    </xdr:from>
    <xdr:ext cx="4093300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1" name="CuadroTexto 60">
              <a:extLst>
                <a:ext uri="{FF2B5EF4-FFF2-40B4-BE49-F238E27FC236}">
                  <a16:creationId xmlns:a16="http://schemas.microsoft.com/office/drawing/2014/main" id="{00000000-0008-0000-0000-00003D000000}"/>
                </a:ext>
              </a:extLst>
            </xdr:cNvPr>
            <xdr:cNvSpPr txBox="1"/>
          </xdr:nvSpPr>
          <xdr:spPr>
            <a:xfrm>
              <a:off x="1372446" y="20032132"/>
              <a:ext cx="4093300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1" name="CuadroTexto 60"/>
            <xdr:cNvSpPr txBox="1"/>
          </xdr:nvSpPr>
          <xdr:spPr>
            <a:xfrm>
              <a:off x="1372446" y="20032132"/>
              <a:ext cx="4093300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𝐷𝐸𝑆·𝐶_𝑒·𝑉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̇_𝑎𝑙𝑔𝑎𝑠·𝑞_𝑒+𝑄_6·𝐶_𝑒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</xdr:col>
      <xdr:colOff>468157</xdr:colOff>
      <xdr:row>131</xdr:row>
      <xdr:rowOff>161863</xdr:rowOff>
    </xdr:from>
    <xdr:ext cx="3997954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2" name="CuadroTexto 61">
              <a:extLst>
                <a:ext uri="{FF2B5EF4-FFF2-40B4-BE49-F238E27FC236}">
                  <a16:creationId xmlns:a16="http://schemas.microsoft.com/office/drawing/2014/main" id="{00000000-0008-0000-0000-00003E000000}"/>
                </a:ext>
              </a:extLst>
            </xdr:cNvPr>
            <xdr:cNvSpPr txBox="1"/>
          </xdr:nvSpPr>
          <xdr:spPr>
            <a:xfrm>
              <a:off x="1263775" y="22954628"/>
              <a:ext cx="3997954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2" name="CuadroTexto 61"/>
            <xdr:cNvSpPr txBox="1"/>
          </xdr:nvSpPr>
          <xdr:spPr>
            <a:xfrm>
              <a:off x="1263775" y="22954628"/>
              <a:ext cx="3997954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̇_𝑎𝑙𝑔𝑎𝑠·𝑞_𝑡+𝑄_6·𝐶_6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11</xdr:col>
      <xdr:colOff>359835</xdr:colOff>
      <xdr:row>132</xdr:row>
      <xdr:rowOff>5928</xdr:rowOff>
    </xdr:from>
    <xdr:ext cx="2044701" cy="5841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3" name="CuadroTexto 62">
              <a:extLst>
                <a:ext uri="{FF2B5EF4-FFF2-40B4-BE49-F238E27FC236}">
                  <a16:creationId xmlns:a16="http://schemas.microsoft.com/office/drawing/2014/main" id="{00000000-0008-0000-0000-00003F000000}"/>
                </a:ext>
              </a:extLst>
            </xdr:cNvPr>
            <xdr:cNvSpPr txBox="1"/>
          </xdr:nvSpPr>
          <xdr:spPr>
            <a:xfrm>
              <a:off x="15096915" y="23437428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ES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·</m:t>
                        </m:r>
                        <m:sSup>
                          <m:sSup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  <m:t>𝑞</m:t>
                                </m:r>
                              </m:e>
                              <m:sub>
                                <m: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</m:sub>
                            </m:sSub>
                          </m:e>
                          <m:sup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3" name="CuadroTexto 62"/>
            <xdr:cNvSpPr txBox="1"/>
          </xdr:nvSpPr>
          <xdr:spPr>
            <a:xfrm>
              <a:off x="15096915" y="23437428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ES" sz="1600" b="0" i="0">
                  <a:latin typeface="Cambria Math" panose="02040503050406030204" pitchFamily="18" charset="0"/>
                </a:rPr>
                <a:t>1/𝑞_𝑡 =1/(𝑘_2·〖𝑞_𝑒〗^2 )+1/𝑞_𝑒 ·𝑡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</xdr:col>
      <xdr:colOff>529167</xdr:colOff>
      <xdr:row>134</xdr:row>
      <xdr:rowOff>95250</xdr:rowOff>
    </xdr:from>
    <xdr:ext cx="4021357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4" name="CuadroTexto 63">
              <a:extLst>
                <a:ext uri="{FF2B5EF4-FFF2-40B4-BE49-F238E27FC236}">
                  <a16:creationId xmlns:a16="http://schemas.microsoft.com/office/drawing/2014/main" id="{00000000-0008-0000-0000-000040000000}"/>
                </a:ext>
              </a:extLst>
            </xdr:cNvPr>
            <xdr:cNvSpPr txBox="1"/>
          </xdr:nvSpPr>
          <xdr:spPr>
            <a:xfrm>
              <a:off x="1324785" y="23605191"/>
              <a:ext cx="4021357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4" name="CuadroTexto 63"/>
            <xdr:cNvSpPr txBox="1"/>
          </xdr:nvSpPr>
          <xdr:spPr>
            <a:xfrm>
              <a:off x="1324785" y="23605191"/>
              <a:ext cx="4021357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̇_𝑎𝑙𝑔𝑎𝑠·𝑞_𝑡+𝑄_6·𝐶_6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11</xdr:col>
      <xdr:colOff>551680</xdr:colOff>
      <xdr:row>156</xdr:row>
      <xdr:rowOff>174016</xdr:rowOff>
    </xdr:from>
    <xdr:ext cx="2044701" cy="5841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6" name="CuadroTexto 85">
              <a:extLst>
                <a:ext uri="{FF2B5EF4-FFF2-40B4-BE49-F238E27FC236}">
                  <a16:creationId xmlns:a16="http://schemas.microsoft.com/office/drawing/2014/main" id="{00000000-0008-0000-0000-000056000000}"/>
                </a:ext>
              </a:extLst>
            </xdr:cNvPr>
            <xdr:cNvSpPr txBox="1"/>
          </xdr:nvSpPr>
          <xdr:spPr>
            <a:xfrm>
              <a:off x="15287415" y="28345604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ES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·</m:t>
                        </m:r>
                        <m:sSup>
                          <m:sSup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  <m:t>𝑞</m:t>
                                </m:r>
                              </m:e>
                              <m:sub>
                                <m: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</m:sub>
                            </m:sSub>
                          </m:e>
                          <m:sup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86" name="CuadroTexto 85"/>
            <xdr:cNvSpPr txBox="1"/>
          </xdr:nvSpPr>
          <xdr:spPr>
            <a:xfrm>
              <a:off x="15287415" y="28345604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ES" sz="1600" b="0" i="0">
                  <a:latin typeface="Cambria Math" panose="02040503050406030204" pitchFamily="18" charset="0"/>
                </a:rPr>
                <a:t>1/𝑞_𝑡 =1/(𝑘_2·〖𝑞_𝑒〗^2 )+1/𝑞_𝑒 ·𝑡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</xdr:col>
      <xdr:colOff>530910</xdr:colOff>
      <xdr:row>156</xdr:row>
      <xdr:rowOff>90146</xdr:rowOff>
    </xdr:from>
    <xdr:ext cx="3997954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7" name="CuadroTexto 86">
              <a:extLst>
                <a:ext uri="{FF2B5EF4-FFF2-40B4-BE49-F238E27FC236}">
                  <a16:creationId xmlns:a16="http://schemas.microsoft.com/office/drawing/2014/main" id="{00000000-0008-0000-0000-000057000000}"/>
                </a:ext>
              </a:extLst>
            </xdr:cNvPr>
            <xdr:cNvSpPr txBox="1"/>
          </xdr:nvSpPr>
          <xdr:spPr>
            <a:xfrm>
              <a:off x="1326528" y="28261734"/>
              <a:ext cx="3997954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87" name="CuadroTexto 86"/>
            <xdr:cNvSpPr txBox="1"/>
          </xdr:nvSpPr>
          <xdr:spPr>
            <a:xfrm>
              <a:off x="1326528" y="28261734"/>
              <a:ext cx="3997954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̇_𝑎𝑙𝑔𝑎𝑠·𝑞_𝑡+𝑄_6·𝐶_6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</xdr:col>
      <xdr:colOff>447588</xdr:colOff>
      <xdr:row>159</xdr:row>
      <xdr:rowOff>55805</xdr:rowOff>
    </xdr:from>
    <xdr:ext cx="4020909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8" name="CuadroTexto 87">
              <a:extLst>
                <a:ext uri="{FF2B5EF4-FFF2-40B4-BE49-F238E27FC236}">
                  <a16:creationId xmlns:a16="http://schemas.microsoft.com/office/drawing/2014/main" id="{00000000-0008-0000-0000-000058000000}"/>
                </a:ext>
              </a:extLst>
            </xdr:cNvPr>
            <xdr:cNvSpPr txBox="1"/>
          </xdr:nvSpPr>
          <xdr:spPr>
            <a:xfrm>
              <a:off x="1243206" y="28944570"/>
              <a:ext cx="4020909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88" name="CuadroTexto 87"/>
            <xdr:cNvSpPr txBox="1"/>
          </xdr:nvSpPr>
          <xdr:spPr>
            <a:xfrm>
              <a:off x="1243206" y="28944570"/>
              <a:ext cx="4020909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̇_𝑎𝑙𝑔𝑎𝑠·𝑞_𝑡+𝑄_6·𝐶_6</a:t>
              </a:r>
              <a:endParaRPr lang="es-ES" sz="1600"/>
            </a:p>
          </xdr:txBody>
        </xdr:sp>
      </mc:Fallback>
    </mc:AlternateContent>
    <xdr:clientData/>
  </xdr:oneCellAnchor>
  <xdr:twoCellAnchor>
    <xdr:from>
      <xdr:col>2</xdr:col>
      <xdr:colOff>571500</xdr:colOff>
      <xdr:row>115</xdr:row>
      <xdr:rowOff>100853</xdr:rowOff>
    </xdr:from>
    <xdr:to>
      <xdr:col>2</xdr:col>
      <xdr:colOff>593912</xdr:colOff>
      <xdr:row>119</xdr:row>
      <xdr:rowOff>145676</xdr:rowOff>
    </xdr:to>
    <xdr:cxnSp macro="">
      <xdr:nvCxnSpPr>
        <xdr:cNvPr id="90" name="Conector recto de flecha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CxnSpPr/>
      </xdr:nvCxnSpPr>
      <xdr:spPr>
        <a:xfrm flipV="1">
          <a:off x="2756647" y="19935265"/>
          <a:ext cx="22412" cy="795617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952500</xdr:colOff>
      <xdr:row>115</xdr:row>
      <xdr:rowOff>123264</xdr:rowOff>
    </xdr:from>
    <xdr:to>
      <xdr:col>3</xdr:col>
      <xdr:colOff>963706</xdr:colOff>
      <xdr:row>120</xdr:row>
      <xdr:rowOff>22412</xdr:rowOff>
    </xdr:to>
    <xdr:cxnSp macro="">
      <xdr:nvCxnSpPr>
        <xdr:cNvPr id="92" name="Conector recto de flecha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CxnSpPr/>
      </xdr:nvCxnSpPr>
      <xdr:spPr>
        <a:xfrm flipV="1">
          <a:off x="4011706" y="19957676"/>
          <a:ext cx="11206" cy="840442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762000</xdr:colOff>
      <xdr:row>115</xdr:row>
      <xdr:rowOff>134470</xdr:rowOff>
    </xdr:from>
    <xdr:to>
      <xdr:col>4</xdr:col>
      <xdr:colOff>773206</xdr:colOff>
      <xdr:row>119</xdr:row>
      <xdr:rowOff>168088</xdr:rowOff>
    </xdr:to>
    <xdr:cxnSp macro="">
      <xdr:nvCxnSpPr>
        <xdr:cNvPr id="94" name="Conector recto de flecha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CxnSpPr/>
      </xdr:nvCxnSpPr>
      <xdr:spPr>
        <a:xfrm flipV="1">
          <a:off x="5031441" y="19968882"/>
          <a:ext cx="11206" cy="784412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140</xdr:row>
      <xdr:rowOff>123264</xdr:rowOff>
    </xdr:from>
    <xdr:to>
      <xdr:col>4</xdr:col>
      <xdr:colOff>728383</xdr:colOff>
      <xdr:row>140</xdr:row>
      <xdr:rowOff>123265</xdr:rowOff>
    </xdr:to>
    <xdr:cxnSp macro="">
      <xdr:nvCxnSpPr>
        <xdr:cNvPr id="96" name="Conector recto de flecha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CxnSpPr/>
      </xdr:nvCxnSpPr>
      <xdr:spPr>
        <a:xfrm flipH="1" flipV="1">
          <a:off x="3059206" y="25751117"/>
          <a:ext cx="1938618" cy="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858371</xdr:colOff>
      <xdr:row>141</xdr:row>
      <xdr:rowOff>107575</xdr:rowOff>
    </xdr:from>
    <xdr:to>
      <xdr:col>4</xdr:col>
      <xdr:colOff>712695</xdr:colOff>
      <xdr:row>141</xdr:row>
      <xdr:rowOff>107576</xdr:rowOff>
    </xdr:to>
    <xdr:cxnSp macro="">
      <xdr:nvCxnSpPr>
        <xdr:cNvPr id="98" name="Conector recto de flecha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CxnSpPr/>
      </xdr:nvCxnSpPr>
      <xdr:spPr>
        <a:xfrm flipH="1" flipV="1">
          <a:off x="3043518" y="24995840"/>
          <a:ext cx="1938618" cy="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13447</xdr:colOff>
      <xdr:row>142</xdr:row>
      <xdr:rowOff>103093</xdr:rowOff>
    </xdr:from>
    <xdr:to>
      <xdr:col>4</xdr:col>
      <xdr:colOff>741830</xdr:colOff>
      <xdr:row>142</xdr:row>
      <xdr:rowOff>103094</xdr:rowOff>
    </xdr:to>
    <xdr:cxnSp macro="">
      <xdr:nvCxnSpPr>
        <xdr:cNvPr id="99" name="Conector recto de flecha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CxnSpPr/>
      </xdr:nvCxnSpPr>
      <xdr:spPr>
        <a:xfrm flipH="1" flipV="1">
          <a:off x="3072653" y="25170652"/>
          <a:ext cx="1938618" cy="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182880</xdr:colOff>
      <xdr:row>32</xdr:row>
      <xdr:rowOff>30480</xdr:rowOff>
    </xdr:from>
    <xdr:to>
      <xdr:col>1</xdr:col>
      <xdr:colOff>350520</xdr:colOff>
      <xdr:row>34</xdr:row>
      <xdr:rowOff>129540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82880" y="5715000"/>
          <a:ext cx="960120" cy="46482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1 (Purín crudo)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708660</xdr:colOff>
      <xdr:row>30</xdr:row>
      <xdr:rowOff>15240</xdr:rowOff>
    </xdr:from>
    <xdr:to>
      <xdr:col>4</xdr:col>
      <xdr:colOff>769620</xdr:colOff>
      <xdr:row>33</xdr:row>
      <xdr:rowOff>114300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895600" y="5334000"/>
          <a:ext cx="2148840" cy="64770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THIN LAYER</a:t>
          </a:r>
        </a:p>
      </xdr:txBody>
    </xdr:sp>
    <xdr:clientData/>
  </xdr:twoCellAnchor>
  <xdr:twoCellAnchor>
    <xdr:from>
      <xdr:col>7</xdr:col>
      <xdr:colOff>533400</xdr:colOff>
      <xdr:row>30</xdr:row>
      <xdr:rowOff>60960</xdr:rowOff>
    </xdr:from>
    <xdr:to>
      <xdr:col>8</xdr:col>
      <xdr:colOff>472440</xdr:colOff>
      <xdr:row>33</xdr:row>
      <xdr:rowOff>30480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816340" y="5379720"/>
          <a:ext cx="1600200" cy="51816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CENTRÍFUGA</a:t>
          </a:r>
        </a:p>
      </xdr:txBody>
    </xdr:sp>
    <xdr:clientData/>
  </xdr:twoCellAnchor>
  <xdr:twoCellAnchor>
    <xdr:from>
      <xdr:col>4</xdr:col>
      <xdr:colOff>769620</xdr:colOff>
      <xdr:row>31</xdr:row>
      <xdr:rowOff>137160</xdr:rowOff>
    </xdr:from>
    <xdr:to>
      <xdr:col>7</xdr:col>
      <xdr:colOff>533400</xdr:colOff>
      <xdr:row>31</xdr:row>
      <xdr:rowOff>156210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>
          <a:cxnSpLocks/>
          <a:stCxn id="3" idx="3"/>
          <a:endCxn id="4" idx="1"/>
        </xdr:cNvCxnSpPr>
      </xdr:nvCxnSpPr>
      <xdr:spPr>
        <a:xfrm flipV="1">
          <a:off x="5044440" y="5638800"/>
          <a:ext cx="3771900" cy="1905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678180</xdr:colOff>
      <xdr:row>31</xdr:row>
      <xdr:rowOff>152400</xdr:rowOff>
    </xdr:from>
    <xdr:to>
      <xdr:col>2</xdr:col>
      <xdr:colOff>708660</xdr:colOff>
      <xdr:row>31</xdr:row>
      <xdr:rowOff>156210</xdr:rowOff>
    </xdr:to>
    <xdr:cxnSp macro="">
      <xdr:nvCxnSpPr>
        <xdr:cNvPr id="6" name="Conector recto de flecha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>
          <a:cxnSpLocks/>
          <a:endCxn id="3" idx="1"/>
        </xdr:cNvCxnSpPr>
      </xdr:nvCxnSpPr>
      <xdr:spPr>
        <a:xfrm>
          <a:off x="678180" y="5654040"/>
          <a:ext cx="221742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716280</xdr:colOff>
      <xdr:row>29</xdr:row>
      <xdr:rowOff>91440</xdr:rowOff>
    </xdr:from>
    <xdr:to>
      <xdr:col>1</xdr:col>
      <xdr:colOff>716280</xdr:colOff>
      <xdr:row>31</xdr:row>
      <xdr:rowOff>121920</xdr:rowOff>
    </xdr:to>
    <xdr:cxnSp macro="">
      <xdr:nvCxnSpPr>
        <xdr:cNvPr id="7" name="Conector recto de flecha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>
          <a:cxnSpLocks/>
          <a:stCxn id="8" idx="2"/>
        </xdr:cNvCxnSpPr>
      </xdr:nvCxnSpPr>
      <xdr:spPr>
        <a:xfrm>
          <a:off x="1508760" y="5227320"/>
          <a:ext cx="0" cy="39624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167640</xdr:colOff>
      <xdr:row>27</xdr:row>
      <xdr:rowOff>0</xdr:rowOff>
    </xdr:from>
    <xdr:to>
      <xdr:col>2</xdr:col>
      <xdr:colOff>15240</xdr:colOff>
      <xdr:row>29</xdr:row>
      <xdr:rowOff>91440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960120" y="4770120"/>
          <a:ext cx="1242060" cy="45720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2 (Agua fresca)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876300</xdr:colOff>
      <xdr:row>24</xdr:row>
      <xdr:rowOff>152400</xdr:rowOff>
    </xdr:from>
    <xdr:to>
      <xdr:col>4</xdr:col>
      <xdr:colOff>822960</xdr:colOff>
      <xdr:row>27</xdr:row>
      <xdr:rowOff>45720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3939540" y="4373880"/>
          <a:ext cx="11582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4 (Emisión)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186690</xdr:colOff>
      <xdr:row>27</xdr:row>
      <xdr:rowOff>45720</xdr:rowOff>
    </xdr:from>
    <xdr:to>
      <xdr:col>4</xdr:col>
      <xdr:colOff>190500</xdr:colOff>
      <xdr:row>30</xdr:row>
      <xdr:rowOff>0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>
          <a:cxnSpLocks/>
          <a:endCxn id="9" idx="2"/>
        </xdr:cNvCxnSpPr>
      </xdr:nvCxnSpPr>
      <xdr:spPr>
        <a:xfrm flipH="1" flipV="1">
          <a:off x="4461510" y="4815840"/>
          <a:ext cx="3810" cy="50292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236220</xdr:colOff>
      <xdr:row>29</xdr:row>
      <xdr:rowOff>15240</xdr:rowOff>
    </xdr:from>
    <xdr:to>
      <xdr:col>6</xdr:col>
      <xdr:colOff>464820</xdr:colOff>
      <xdr:row>31</xdr:row>
      <xdr:rowOff>91440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707380" y="5151120"/>
          <a:ext cx="16535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5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(Salida Thin Layer)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472440</xdr:colOff>
      <xdr:row>31</xdr:row>
      <xdr:rowOff>129540</xdr:rowOff>
    </xdr:from>
    <xdr:to>
      <xdr:col>9</xdr:col>
      <xdr:colOff>697776</xdr:colOff>
      <xdr:row>31</xdr:row>
      <xdr:rowOff>138249</xdr:rowOff>
    </xdr:to>
    <xdr:cxnSp macro="">
      <xdr:nvCxnSpPr>
        <xdr:cNvPr id="12" name="Conector recto de flecha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>
          <a:cxnSpLocks/>
          <a:stCxn id="4" idx="3"/>
        </xdr:cNvCxnSpPr>
      </xdr:nvCxnSpPr>
      <xdr:spPr>
        <a:xfrm flipV="1">
          <a:off x="10416540" y="5631180"/>
          <a:ext cx="1673136" cy="8709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569321</xdr:colOff>
      <xdr:row>28</xdr:row>
      <xdr:rowOff>181790</xdr:rowOff>
    </xdr:from>
    <xdr:to>
      <xdr:col>9</xdr:col>
      <xdr:colOff>609599</xdr:colOff>
      <xdr:row>31</xdr:row>
      <xdr:rowOff>72933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513421" y="5134790"/>
          <a:ext cx="1488078" cy="439783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9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(Biomasa)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182880</xdr:colOff>
      <xdr:row>32</xdr:row>
      <xdr:rowOff>30480</xdr:rowOff>
    </xdr:from>
    <xdr:to>
      <xdr:col>1</xdr:col>
      <xdr:colOff>350520</xdr:colOff>
      <xdr:row>34</xdr:row>
      <xdr:rowOff>129540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82880" y="5715000"/>
          <a:ext cx="960120" cy="46482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1 (Purín crudo)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708660</xdr:colOff>
      <xdr:row>30</xdr:row>
      <xdr:rowOff>15240</xdr:rowOff>
    </xdr:from>
    <xdr:to>
      <xdr:col>4</xdr:col>
      <xdr:colOff>769620</xdr:colOff>
      <xdr:row>33</xdr:row>
      <xdr:rowOff>114300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2895600" y="5334000"/>
          <a:ext cx="2148840" cy="64770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THIN LAYER</a:t>
          </a:r>
        </a:p>
      </xdr:txBody>
    </xdr:sp>
    <xdr:clientData/>
  </xdr:twoCellAnchor>
  <xdr:twoCellAnchor>
    <xdr:from>
      <xdr:col>7</xdr:col>
      <xdr:colOff>533400</xdr:colOff>
      <xdr:row>30</xdr:row>
      <xdr:rowOff>60960</xdr:rowOff>
    </xdr:from>
    <xdr:to>
      <xdr:col>8</xdr:col>
      <xdr:colOff>472440</xdr:colOff>
      <xdr:row>33</xdr:row>
      <xdr:rowOff>30480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8816340" y="5379720"/>
          <a:ext cx="1600200" cy="51816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CENTRÍFUGA</a:t>
          </a:r>
        </a:p>
      </xdr:txBody>
    </xdr:sp>
    <xdr:clientData/>
  </xdr:twoCellAnchor>
  <xdr:twoCellAnchor>
    <xdr:from>
      <xdr:col>4</xdr:col>
      <xdr:colOff>769620</xdr:colOff>
      <xdr:row>31</xdr:row>
      <xdr:rowOff>137160</xdr:rowOff>
    </xdr:from>
    <xdr:to>
      <xdr:col>7</xdr:col>
      <xdr:colOff>533400</xdr:colOff>
      <xdr:row>31</xdr:row>
      <xdr:rowOff>156210</xdr:rowOff>
    </xdr:to>
    <xdr:cxnSp macro="">
      <xdr:nvCxnSpPr>
        <xdr:cNvPr id="17" name="Conector recto de flecha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>
          <a:cxnSpLocks/>
          <a:stCxn id="15" idx="3"/>
          <a:endCxn id="16" idx="1"/>
        </xdr:cNvCxnSpPr>
      </xdr:nvCxnSpPr>
      <xdr:spPr>
        <a:xfrm flipV="1">
          <a:off x="5044440" y="5638800"/>
          <a:ext cx="3771900" cy="1905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678180</xdr:colOff>
      <xdr:row>31</xdr:row>
      <xdr:rowOff>152400</xdr:rowOff>
    </xdr:from>
    <xdr:to>
      <xdr:col>2</xdr:col>
      <xdr:colOff>708660</xdr:colOff>
      <xdr:row>31</xdr:row>
      <xdr:rowOff>156210</xdr:rowOff>
    </xdr:to>
    <xdr:cxnSp macro="">
      <xdr:nvCxnSpPr>
        <xdr:cNvPr id="18" name="Conector recto de flecha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>
          <a:cxnSpLocks/>
          <a:endCxn id="15" idx="1"/>
        </xdr:cNvCxnSpPr>
      </xdr:nvCxnSpPr>
      <xdr:spPr>
        <a:xfrm>
          <a:off x="678180" y="5654040"/>
          <a:ext cx="221742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716280</xdr:colOff>
      <xdr:row>29</xdr:row>
      <xdr:rowOff>91440</xdr:rowOff>
    </xdr:from>
    <xdr:to>
      <xdr:col>1</xdr:col>
      <xdr:colOff>716280</xdr:colOff>
      <xdr:row>31</xdr:row>
      <xdr:rowOff>121920</xdr:rowOff>
    </xdr:to>
    <xdr:cxnSp macro="">
      <xdr:nvCxnSpPr>
        <xdr:cNvPr id="19" name="Conector recto de flecha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>
          <a:cxnSpLocks/>
          <a:stCxn id="20" idx="2"/>
        </xdr:cNvCxnSpPr>
      </xdr:nvCxnSpPr>
      <xdr:spPr>
        <a:xfrm>
          <a:off x="1508760" y="5227320"/>
          <a:ext cx="0" cy="39624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167640</xdr:colOff>
      <xdr:row>27</xdr:row>
      <xdr:rowOff>0</xdr:rowOff>
    </xdr:from>
    <xdr:to>
      <xdr:col>2</xdr:col>
      <xdr:colOff>15240</xdr:colOff>
      <xdr:row>29</xdr:row>
      <xdr:rowOff>91440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960120" y="4770120"/>
          <a:ext cx="1242060" cy="45720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2 (Agua fresca)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876300</xdr:colOff>
      <xdr:row>24</xdr:row>
      <xdr:rowOff>152400</xdr:rowOff>
    </xdr:from>
    <xdr:to>
      <xdr:col>4</xdr:col>
      <xdr:colOff>822960</xdr:colOff>
      <xdr:row>27</xdr:row>
      <xdr:rowOff>45720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/>
      </xdr:nvSpPr>
      <xdr:spPr>
        <a:xfrm>
          <a:off x="3939540" y="4373880"/>
          <a:ext cx="11582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4 (Emisión)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186690</xdr:colOff>
      <xdr:row>27</xdr:row>
      <xdr:rowOff>45720</xdr:rowOff>
    </xdr:from>
    <xdr:to>
      <xdr:col>4</xdr:col>
      <xdr:colOff>190500</xdr:colOff>
      <xdr:row>30</xdr:row>
      <xdr:rowOff>0</xdr:rowOff>
    </xdr:to>
    <xdr:cxnSp macro="">
      <xdr:nvCxnSpPr>
        <xdr:cNvPr id="22" name="Conector recto de flecha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>
          <a:cxnSpLocks/>
          <a:endCxn id="21" idx="2"/>
        </xdr:cNvCxnSpPr>
      </xdr:nvCxnSpPr>
      <xdr:spPr>
        <a:xfrm flipH="1" flipV="1">
          <a:off x="4461510" y="4815840"/>
          <a:ext cx="3810" cy="50292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236220</xdr:colOff>
      <xdr:row>29</xdr:row>
      <xdr:rowOff>15240</xdr:rowOff>
    </xdr:from>
    <xdr:to>
      <xdr:col>6</xdr:col>
      <xdr:colOff>464820</xdr:colOff>
      <xdr:row>31</xdr:row>
      <xdr:rowOff>91440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/>
      </xdr:nvSpPr>
      <xdr:spPr>
        <a:xfrm>
          <a:off x="5707380" y="5151120"/>
          <a:ext cx="16535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5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(Salida Thin Layer)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472440</xdr:colOff>
      <xdr:row>31</xdr:row>
      <xdr:rowOff>129540</xdr:rowOff>
    </xdr:from>
    <xdr:to>
      <xdr:col>9</xdr:col>
      <xdr:colOff>697776</xdr:colOff>
      <xdr:row>31</xdr:row>
      <xdr:rowOff>138249</xdr:rowOff>
    </xdr:to>
    <xdr:cxnSp macro="">
      <xdr:nvCxnSpPr>
        <xdr:cNvPr id="24" name="Conector recto de flecha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CxnSpPr>
          <a:cxnSpLocks/>
          <a:stCxn id="16" idx="3"/>
        </xdr:cNvCxnSpPr>
      </xdr:nvCxnSpPr>
      <xdr:spPr>
        <a:xfrm flipV="1">
          <a:off x="10416540" y="5631180"/>
          <a:ext cx="1673136" cy="8709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569321</xdr:colOff>
      <xdr:row>27</xdr:row>
      <xdr:rowOff>119743</xdr:rowOff>
    </xdr:from>
    <xdr:to>
      <xdr:col>9</xdr:col>
      <xdr:colOff>674914</xdr:colOff>
      <xdr:row>31</xdr:row>
      <xdr:rowOff>72933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>
        <a:xfrm>
          <a:off x="10513421" y="4889863"/>
          <a:ext cx="1553393" cy="68471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9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</a:t>
          </a:r>
          <a:r>
            <a:rPr lang="es-ES" sz="1100" b="0" baseline="0">
              <a:solidFill>
                <a:srgbClr val="FF0000"/>
              </a:solidFill>
            </a:rPr>
            <a:t>Suspensión con </a:t>
          </a:r>
          <a:r>
            <a:rPr lang="es-ES" sz="1100" b="0" baseline="0">
              <a:solidFill>
                <a:sysClr val="windowText" lastClr="000000"/>
              </a:solidFill>
            </a:rPr>
            <a:t>Biomasa)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828675</xdr:colOff>
      <xdr:row>32</xdr:row>
      <xdr:rowOff>30480</xdr:rowOff>
    </xdr:from>
    <xdr:to>
      <xdr:col>2</xdr:col>
      <xdr:colOff>680085</xdr:colOff>
      <xdr:row>34</xdr:row>
      <xdr:rowOff>106680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>
        <a:xfrm>
          <a:off x="1621155" y="5715000"/>
          <a:ext cx="124587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3 (Entrada)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182880</xdr:colOff>
      <xdr:row>32</xdr:row>
      <xdr:rowOff>30480</xdr:rowOff>
    </xdr:from>
    <xdr:to>
      <xdr:col>1</xdr:col>
      <xdr:colOff>350520</xdr:colOff>
      <xdr:row>34</xdr:row>
      <xdr:rowOff>129540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182880" y="5715000"/>
          <a:ext cx="960120" cy="46482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1 (Purín crudo)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708660</xdr:colOff>
      <xdr:row>30</xdr:row>
      <xdr:rowOff>15240</xdr:rowOff>
    </xdr:from>
    <xdr:to>
      <xdr:col>4</xdr:col>
      <xdr:colOff>769620</xdr:colOff>
      <xdr:row>33</xdr:row>
      <xdr:rowOff>114300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/>
      </xdr:nvSpPr>
      <xdr:spPr>
        <a:xfrm>
          <a:off x="2895600" y="5334000"/>
          <a:ext cx="2148840" cy="64770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THIN LAYER</a:t>
          </a:r>
        </a:p>
      </xdr:txBody>
    </xdr:sp>
    <xdr:clientData/>
  </xdr:twoCellAnchor>
  <xdr:twoCellAnchor>
    <xdr:from>
      <xdr:col>7</xdr:col>
      <xdr:colOff>533400</xdr:colOff>
      <xdr:row>30</xdr:row>
      <xdr:rowOff>60960</xdr:rowOff>
    </xdr:from>
    <xdr:to>
      <xdr:col>8</xdr:col>
      <xdr:colOff>472440</xdr:colOff>
      <xdr:row>33</xdr:row>
      <xdr:rowOff>30480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>
          <a:off x="8816340" y="5379720"/>
          <a:ext cx="1600200" cy="51816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CENTRÍFUGA</a:t>
          </a:r>
        </a:p>
      </xdr:txBody>
    </xdr:sp>
    <xdr:clientData/>
  </xdr:twoCellAnchor>
  <xdr:twoCellAnchor>
    <xdr:from>
      <xdr:col>4</xdr:col>
      <xdr:colOff>769620</xdr:colOff>
      <xdr:row>31</xdr:row>
      <xdr:rowOff>137160</xdr:rowOff>
    </xdr:from>
    <xdr:to>
      <xdr:col>7</xdr:col>
      <xdr:colOff>533400</xdr:colOff>
      <xdr:row>31</xdr:row>
      <xdr:rowOff>156210</xdr:rowOff>
    </xdr:to>
    <xdr:cxnSp macro="">
      <xdr:nvCxnSpPr>
        <xdr:cNvPr id="30" name="Conector recto de flecha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CxnSpPr>
          <a:cxnSpLocks/>
          <a:stCxn id="28" idx="3"/>
          <a:endCxn id="29" idx="1"/>
        </xdr:cNvCxnSpPr>
      </xdr:nvCxnSpPr>
      <xdr:spPr>
        <a:xfrm flipV="1">
          <a:off x="5044440" y="5638800"/>
          <a:ext cx="3771900" cy="1905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678180</xdr:colOff>
      <xdr:row>31</xdr:row>
      <xdr:rowOff>152400</xdr:rowOff>
    </xdr:from>
    <xdr:to>
      <xdr:col>2</xdr:col>
      <xdr:colOff>708660</xdr:colOff>
      <xdr:row>31</xdr:row>
      <xdr:rowOff>156210</xdr:rowOff>
    </xdr:to>
    <xdr:cxnSp macro="">
      <xdr:nvCxnSpPr>
        <xdr:cNvPr id="31" name="Conector recto de flecha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CxnSpPr>
          <a:cxnSpLocks/>
          <a:endCxn id="28" idx="1"/>
        </xdr:cNvCxnSpPr>
      </xdr:nvCxnSpPr>
      <xdr:spPr>
        <a:xfrm>
          <a:off x="678180" y="5654040"/>
          <a:ext cx="221742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716280</xdr:colOff>
      <xdr:row>29</xdr:row>
      <xdr:rowOff>91440</xdr:rowOff>
    </xdr:from>
    <xdr:to>
      <xdr:col>1</xdr:col>
      <xdr:colOff>716280</xdr:colOff>
      <xdr:row>31</xdr:row>
      <xdr:rowOff>121920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CxnSpPr>
          <a:cxnSpLocks/>
          <a:stCxn id="33" idx="2"/>
        </xdr:cNvCxnSpPr>
      </xdr:nvCxnSpPr>
      <xdr:spPr>
        <a:xfrm>
          <a:off x="1508760" y="5227320"/>
          <a:ext cx="0" cy="39624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167640</xdr:colOff>
      <xdr:row>27</xdr:row>
      <xdr:rowOff>0</xdr:rowOff>
    </xdr:from>
    <xdr:to>
      <xdr:col>2</xdr:col>
      <xdr:colOff>15240</xdr:colOff>
      <xdr:row>29</xdr:row>
      <xdr:rowOff>91440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/>
      </xdr:nvSpPr>
      <xdr:spPr>
        <a:xfrm>
          <a:off x="960120" y="4770120"/>
          <a:ext cx="1242060" cy="45720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2 (Agua fresca)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876300</xdr:colOff>
      <xdr:row>24</xdr:row>
      <xdr:rowOff>152400</xdr:rowOff>
    </xdr:from>
    <xdr:to>
      <xdr:col>4</xdr:col>
      <xdr:colOff>822960</xdr:colOff>
      <xdr:row>27</xdr:row>
      <xdr:rowOff>45720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>
        <a:xfrm>
          <a:off x="3939540" y="4373880"/>
          <a:ext cx="11582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4 (Emisión)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186690</xdr:colOff>
      <xdr:row>27</xdr:row>
      <xdr:rowOff>45720</xdr:rowOff>
    </xdr:from>
    <xdr:to>
      <xdr:col>4</xdr:col>
      <xdr:colOff>190500</xdr:colOff>
      <xdr:row>30</xdr:row>
      <xdr:rowOff>0</xdr:rowOff>
    </xdr:to>
    <xdr:cxnSp macro="">
      <xdr:nvCxnSpPr>
        <xdr:cNvPr id="35" name="Conector recto de flecha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CxnSpPr>
          <a:cxnSpLocks/>
          <a:endCxn id="34" idx="2"/>
        </xdr:cNvCxnSpPr>
      </xdr:nvCxnSpPr>
      <xdr:spPr>
        <a:xfrm flipH="1" flipV="1">
          <a:off x="4461510" y="4815840"/>
          <a:ext cx="3810" cy="50292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236220</xdr:colOff>
      <xdr:row>29</xdr:row>
      <xdr:rowOff>15240</xdr:rowOff>
    </xdr:from>
    <xdr:to>
      <xdr:col>6</xdr:col>
      <xdr:colOff>464820</xdr:colOff>
      <xdr:row>31</xdr:row>
      <xdr:rowOff>91440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5707380" y="5151120"/>
          <a:ext cx="16535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5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(Salida Thin Layer)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472440</xdr:colOff>
      <xdr:row>31</xdr:row>
      <xdr:rowOff>129540</xdr:rowOff>
    </xdr:from>
    <xdr:to>
      <xdr:col>9</xdr:col>
      <xdr:colOff>697776</xdr:colOff>
      <xdr:row>31</xdr:row>
      <xdr:rowOff>138249</xdr:rowOff>
    </xdr:to>
    <xdr:cxnSp macro="">
      <xdr:nvCxnSpPr>
        <xdr:cNvPr id="37" name="Conector recto de flecha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CxnSpPr>
          <a:cxnSpLocks/>
          <a:stCxn id="29" idx="3"/>
        </xdr:cNvCxnSpPr>
      </xdr:nvCxnSpPr>
      <xdr:spPr>
        <a:xfrm flipV="1">
          <a:off x="10416540" y="5631180"/>
          <a:ext cx="1673136" cy="8709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569321</xdr:colOff>
      <xdr:row>28</xdr:row>
      <xdr:rowOff>181790</xdr:rowOff>
    </xdr:from>
    <xdr:to>
      <xdr:col>9</xdr:col>
      <xdr:colOff>609599</xdr:colOff>
      <xdr:row>31</xdr:row>
      <xdr:rowOff>72933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>
        <a:xfrm>
          <a:off x="10513421" y="5134790"/>
          <a:ext cx="1488078" cy="439783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9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(Biomasa)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676275</xdr:colOff>
      <xdr:row>37</xdr:row>
      <xdr:rowOff>106680</xdr:rowOff>
    </xdr:from>
    <xdr:to>
      <xdr:col>3</xdr:col>
      <xdr:colOff>1095375</xdr:colOff>
      <xdr:row>40</xdr:row>
      <xdr:rowOff>1905</xdr:rowOff>
    </xdr:to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>
        <a:xfrm>
          <a:off x="2863215" y="6705600"/>
          <a:ext cx="1295400" cy="443865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4 (Agua de reposición)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182880</xdr:colOff>
      <xdr:row>32</xdr:row>
      <xdr:rowOff>30480</xdr:rowOff>
    </xdr:from>
    <xdr:to>
      <xdr:col>1</xdr:col>
      <xdr:colOff>350520</xdr:colOff>
      <xdr:row>34</xdr:row>
      <xdr:rowOff>129540</xdr:rowOff>
    </xdr:to>
    <xdr:sp macro="" textlink="">
      <xdr:nvSpPr>
        <xdr:cNvPr id="40" name="CuadroTexto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>
        <a:xfrm>
          <a:off x="182880" y="5715000"/>
          <a:ext cx="960120" cy="46482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1 (Purín crudo)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708660</xdr:colOff>
      <xdr:row>30</xdr:row>
      <xdr:rowOff>15240</xdr:rowOff>
    </xdr:from>
    <xdr:to>
      <xdr:col>4</xdr:col>
      <xdr:colOff>769620</xdr:colOff>
      <xdr:row>33</xdr:row>
      <xdr:rowOff>114300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>
        <a:xfrm>
          <a:off x="2895600" y="5334000"/>
          <a:ext cx="2148840" cy="64770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THIN LAYER</a:t>
          </a:r>
        </a:p>
      </xdr:txBody>
    </xdr:sp>
    <xdr:clientData/>
  </xdr:twoCellAnchor>
  <xdr:twoCellAnchor>
    <xdr:from>
      <xdr:col>7</xdr:col>
      <xdr:colOff>533400</xdr:colOff>
      <xdr:row>30</xdr:row>
      <xdr:rowOff>60960</xdr:rowOff>
    </xdr:from>
    <xdr:to>
      <xdr:col>8</xdr:col>
      <xdr:colOff>472440</xdr:colOff>
      <xdr:row>33</xdr:row>
      <xdr:rowOff>30480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/>
      </xdr:nvSpPr>
      <xdr:spPr>
        <a:xfrm>
          <a:off x="8816340" y="5379720"/>
          <a:ext cx="1600200" cy="518160"/>
        </a:xfrm>
        <a:prstGeom prst="rect">
          <a:avLst/>
        </a:prstGeom>
        <a:solidFill>
          <a:schemeClr val="bg2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1">
              <a:solidFill>
                <a:sysClr val="windowText" lastClr="000000"/>
              </a:solidFill>
            </a:rPr>
            <a:t>CENTRÍFUGA</a:t>
          </a:r>
        </a:p>
      </xdr:txBody>
    </xdr:sp>
    <xdr:clientData/>
  </xdr:twoCellAnchor>
  <xdr:twoCellAnchor>
    <xdr:from>
      <xdr:col>4</xdr:col>
      <xdr:colOff>769620</xdr:colOff>
      <xdr:row>31</xdr:row>
      <xdr:rowOff>137160</xdr:rowOff>
    </xdr:from>
    <xdr:to>
      <xdr:col>7</xdr:col>
      <xdr:colOff>533400</xdr:colOff>
      <xdr:row>31</xdr:row>
      <xdr:rowOff>156210</xdr:rowOff>
    </xdr:to>
    <xdr:cxnSp macro="">
      <xdr:nvCxnSpPr>
        <xdr:cNvPr id="43" name="Conector recto de flecha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CxnSpPr>
          <a:cxnSpLocks/>
          <a:stCxn id="41" idx="3"/>
          <a:endCxn id="42" idx="1"/>
        </xdr:cNvCxnSpPr>
      </xdr:nvCxnSpPr>
      <xdr:spPr>
        <a:xfrm flipV="1">
          <a:off x="5044440" y="5638800"/>
          <a:ext cx="3771900" cy="1905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678180</xdr:colOff>
      <xdr:row>31</xdr:row>
      <xdr:rowOff>152400</xdr:rowOff>
    </xdr:from>
    <xdr:to>
      <xdr:col>2</xdr:col>
      <xdr:colOff>708660</xdr:colOff>
      <xdr:row>31</xdr:row>
      <xdr:rowOff>156210</xdr:rowOff>
    </xdr:to>
    <xdr:cxnSp macro="">
      <xdr:nvCxnSpPr>
        <xdr:cNvPr id="44" name="Conector recto de flecha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CxnSpPr>
          <a:cxnSpLocks/>
          <a:endCxn id="41" idx="1"/>
        </xdr:cNvCxnSpPr>
      </xdr:nvCxnSpPr>
      <xdr:spPr>
        <a:xfrm>
          <a:off x="678180" y="5654040"/>
          <a:ext cx="2217420" cy="381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716280</xdr:colOff>
      <xdr:row>29</xdr:row>
      <xdr:rowOff>91440</xdr:rowOff>
    </xdr:from>
    <xdr:to>
      <xdr:col>1</xdr:col>
      <xdr:colOff>716280</xdr:colOff>
      <xdr:row>31</xdr:row>
      <xdr:rowOff>121920</xdr:rowOff>
    </xdr:to>
    <xdr:cxnSp macro="">
      <xdr:nvCxnSpPr>
        <xdr:cNvPr id="45" name="Conector recto de flecha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CxnSpPr>
          <a:cxnSpLocks/>
          <a:stCxn id="46" idx="2"/>
        </xdr:cNvCxnSpPr>
      </xdr:nvCxnSpPr>
      <xdr:spPr>
        <a:xfrm>
          <a:off x="1508760" y="5227320"/>
          <a:ext cx="0" cy="39624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167640</xdr:colOff>
      <xdr:row>27</xdr:row>
      <xdr:rowOff>0</xdr:rowOff>
    </xdr:from>
    <xdr:to>
      <xdr:col>2</xdr:col>
      <xdr:colOff>15240</xdr:colOff>
      <xdr:row>29</xdr:row>
      <xdr:rowOff>91440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/>
      </xdr:nvSpPr>
      <xdr:spPr>
        <a:xfrm>
          <a:off x="960120" y="4770120"/>
          <a:ext cx="1242060" cy="45720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2 (Agua fresca)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876300</xdr:colOff>
      <xdr:row>24</xdr:row>
      <xdr:rowOff>152400</xdr:rowOff>
    </xdr:from>
    <xdr:to>
      <xdr:col>4</xdr:col>
      <xdr:colOff>822960</xdr:colOff>
      <xdr:row>27</xdr:row>
      <xdr:rowOff>45720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/>
      </xdr:nvSpPr>
      <xdr:spPr>
        <a:xfrm>
          <a:off x="3939540" y="4373880"/>
          <a:ext cx="11582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5 (Emisión)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186690</xdr:colOff>
      <xdr:row>27</xdr:row>
      <xdr:rowOff>45720</xdr:rowOff>
    </xdr:from>
    <xdr:to>
      <xdr:col>4</xdr:col>
      <xdr:colOff>190500</xdr:colOff>
      <xdr:row>30</xdr:row>
      <xdr:rowOff>0</xdr:rowOff>
    </xdr:to>
    <xdr:cxnSp macro="">
      <xdr:nvCxnSpPr>
        <xdr:cNvPr id="48" name="Conector recto de flecha 47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CxnSpPr>
          <a:cxnSpLocks/>
          <a:endCxn id="47" idx="2"/>
        </xdr:cNvCxnSpPr>
      </xdr:nvCxnSpPr>
      <xdr:spPr>
        <a:xfrm flipH="1" flipV="1">
          <a:off x="4461510" y="4815840"/>
          <a:ext cx="3810" cy="50292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236220</xdr:colOff>
      <xdr:row>29</xdr:row>
      <xdr:rowOff>15240</xdr:rowOff>
    </xdr:from>
    <xdr:to>
      <xdr:col>6</xdr:col>
      <xdr:colOff>464820</xdr:colOff>
      <xdr:row>31</xdr:row>
      <xdr:rowOff>91440</xdr:rowOff>
    </xdr:to>
    <xdr:sp macro="" textlink="">
      <xdr:nvSpPr>
        <xdr:cNvPr id="49" name="CuadroTexto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5707380" y="5151120"/>
          <a:ext cx="165354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6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(Salida Thin Layer)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472440</xdr:colOff>
      <xdr:row>31</xdr:row>
      <xdr:rowOff>129540</xdr:rowOff>
    </xdr:from>
    <xdr:to>
      <xdr:col>9</xdr:col>
      <xdr:colOff>697776</xdr:colOff>
      <xdr:row>31</xdr:row>
      <xdr:rowOff>138249</xdr:rowOff>
    </xdr:to>
    <xdr:cxnSp macro="">
      <xdr:nvCxnSpPr>
        <xdr:cNvPr id="50" name="Conector recto de flecha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CxnSpPr>
          <a:cxnSpLocks/>
          <a:stCxn id="42" idx="3"/>
        </xdr:cNvCxnSpPr>
      </xdr:nvCxnSpPr>
      <xdr:spPr>
        <a:xfrm flipV="1">
          <a:off x="10416540" y="5631180"/>
          <a:ext cx="1673136" cy="8709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569321</xdr:colOff>
      <xdr:row>27</xdr:row>
      <xdr:rowOff>119743</xdr:rowOff>
    </xdr:from>
    <xdr:to>
      <xdr:col>9</xdr:col>
      <xdr:colOff>674914</xdr:colOff>
      <xdr:row>31</xdr:row>
      <xdr:rowOff>72933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10513421" y="4889863"/>
          <a:ext cx="1553393" cy="68471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8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</a:t>
          </a:r>
          <a:r>
            <a:rPr lang="es-ES" sz="1100" b="0" baseline="0">
              <a:solidFill>
                <a:srgbClr val="FF0000"/>
              </a:solidFill>
            </a:rPr>
            <a:t>Suspensión con </a:t>
          </a:r>
          <a:r>
            <a:rPr lang="es-ES" sz="1100" b="0" baseline="0">
              <a:solidFill>
                <a:sysClr val="windowText" lastClr="000000"/>
              </a:solidFill>
            </a:rPr>
            <a:t>Biomasa)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828675</xdr:colOff>
      <xdr:row>32</xdr:row>
      <xdr:rowOff>30480</xdr:rowOff>
    </xdr:from>
    <xdr:to>
      <xdr:col>2</xdr:col>
      <xdr:colOff>680085</xdr:colOff>
      <xdr:row>34</xdr:row>
      <xdr:rowOff>106680</xdr:rowOff>
    </xdr:to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1621155" y="5715000"/>
          <a:ext cx="1245870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3 (Entrada)</a:t>
          </a:r>
          <a:endParaRPr lang="es-ES" sz="1100" b="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6</xdr:col>
      <xdr:colOff>1107349</xdr:colOff>
      <xdr:row>36</xdr:row>
      <xdr:rowOff>143691</xdr:rowOff>
    </xdr:from>
    <xdr:to>
      <xdr:col>7</xdr:col>
      <xdr:colOff>1273901</xdr:colOff>
      <xdr:row>39</xdr:row>
      <xdr:rowOff>37011</xdr:rowOff>
    </xdr:to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8003449" y="6559731"/>
          <a:ext cx="1553392" cy="441960"/>
        </a:xfrm>
        <a:prstGeom prst="rect">
          <a:avLst/>
        </a:prstGeom>
        <a:solidFill>
          <a:schemeClr val="bg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Corriente 7</a:t>
          </a:r>
        </a:p>
        <a:p>
          <a:pPr algn="ctr"/>
          <a:r>
            <a:rPr lang="es-ES" sz="1100" b="0" baseline="0">
              <a:solidFill>
                <a:sysClr val="windowText" lastClr="000000"/>
              </a:solidFill>
            </a:rPr>
            <a:t>(Efluente)</a:t>
          </a:r>
        </a:p>
      </xdr:txBody>
    </xdr:sp>
    <xdr:clientData/>
  </xdr:twoCellAnchor>
  <xdr:twoCellAnchor>
    <xdr:from>
      <xdr:col>3</xdr:col>
      <xdr:colOff>390525</xdr:colOff>
      <xdr:row>33</xdr:row>
      <xdr:rowOff>123825</xdr:rowOff>
    </xdr:from>
    <xdr:to>
      <xdr:col>3</xdr:col>
      <xdr:colOff>400050</xdr:colOff>
      <xdr:row>37</xdr:row>
      <xdr:rowOff>114300</xdr:rowOff>
    </xdr:to>
    <xdr:cxnSp macro="">
      <xdr:nvCxnSpPr>
        <xdr:cNvPr id="54" name="Conector recto de flecha 53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CxnSpPr/>
      </xdr:nvCxnSpPr>
      <xdr:spPr>
        <a:xfrm flipV="1">
          <a:off x="3453765" y="5991225"/>
          <a:ext cx="9525" cy="72199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1362075</xdr:colOff>
      <xdr:row>33</xdr:row>
      <xdr:rowOff>45720</xdr:rowOff>
    </xdr:from>
    <xdr:to>
      <xdr:col>7</xdr:col>
      <xdr:colOff>1365885</xdr:colOff>
      <xdr:row>38</xdr:row>
      <xdr:rowOff>133350</xdr:rowOff>
    </xdr:to>
    <xdr:cxnSp macro="">
      <xdr:nvCxnSpPr>
        <xdr:cNvPr id="55" name="Conector recto de flecha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CxnSpPr>
          <a:cxnSpLocks/>
        </xdr:cNvCxnSpPr>
      </xdr:nvCxnSpPr>
      <xdr:spPr>
        <a:xfrm flipH="1">
          <a:off x="9645015" y="5913120"/>
          <a:ext cx="3810" cy="1002030"/>
        </a:xfrm>
        <a:prstGeom prst="straightConnector1">
          <a:avLst/>
        </a:prstGeom>
        <a:ln w="1270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241299</xdr:colOff>
      <xdr:row>94</xdr:row>
      <xdr:rowOff>82550</xdr:rowOff>
    </xdr:from>
    <xdr:ext cx="2044701" cy="5841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6" name="CuadroTexto 55">
              <a:extLst>
                <a:ext uri="{FF2B5EF4-FFF2-40B4-BE49-F238E27FC236}">
                  <a16:creationId xmlns:a16="http://schemas.microsoft.com/office/drawing/2014/main" id="{00000000-0008-0000-0100-000038000000}"/>
                </a:ext>
              </a:extLst>
            </xdr:cNvPr>
            <xdr:cNvSpPr txBox="1"/>
          </xdr:nvSpPr>
          <xdr:spPr>
            <a:xfrm>
              <a:off x="2428239" y="16892270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ES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sub>
                        </m:sSub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𝐾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</m:sub>
                        </m:sSub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56" name="CuadroTexto 55"/>
            <xdr:cNvSpPr txBox="1"/>
          </xdr:nvSpPr>
          <xdr:spPr>
            <a:xfrm>
              <a:off x="2428239" y="16892270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ES" sz="1600" b="0" i="0">
                  <a:latin typeface="Cambria Math" panose="02040503050406030204" pitchFamily="18" charset="0"/>
                </a:rPr>
                <a:t>1/𝑞_𝑒 =1/(𝑞_𝑚·𝐾_𝐿·𝐶_𝑒 )+1/𝑞_𝑚 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6</xdr:col>
      <xdr:colOff>654050</xdr:colOff>
      <xdr:row>95</xdr:row>
      <xdr:rowOff>71967</xdr:rowOff>
    </xdr:from>
    <xdr:ext cx="2284921" cy="4090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7" name="CuadroTexto 56">
              <a:extLst>
                <a:ext uri="{FF2B5EF4-FFF2-40B4-BE49-F238E27FC236}">
                  <a16:creationId xmlns:a16="http://schemas.microsoft.com/office/drawing/2014/main" id="{00000000-0008-0000-0100-000039000000}"/>
                </a:ext>
              </a:extLst>
            </xdr:cNvPr>
            <xdr:cNvSpPr txBox="1"/>
          </xdr:nvSpPr>
          <xdr:spPr>
            <a:xfrm>
              <a:off x="7550150" y="17064567"/>
              <a:ext cx="2284921" cy="4090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=−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𝑉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𝑑𝐶</m:t>
                        </m:r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𝑑𝑡</m:t>
                        </m:r>
                      </m:den>
                    </m:f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𝐾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𝐶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𝑉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7" name="CuadroTexto 56"/>
            <xdr:cNvSpPr txBox="1"/>
          </xdr:nvSpPr>
          <xdr:spPr>
            <a:xfrm>
              <a:off x="7550150" y="17064567"/>
              <a:ext cx="2284921" cy="4090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400" b="0" i="0">
                  <a:latin typeface="Cambria Math" panose="02040503050406030204" pitchFamily="18" charset="0"/>
                </a:rPr>
                <a:t>𝑚 ̇_𝐷𝐸𝑆=−𝑉 𝑑𝐶/𝑑𝑡=𝐾_𝐷𝐸𝑆·𝐶·𝑉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6</xdr:col>
      <xdr:colOff>0</xdr:colOff>
      <xdr:row>99</xdr:row>
      <xdr:rowOff>0</xdr:rowOff>
    </xdr:from>
    <xdr:ext cx="2349041" cy="40902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8" name="CuadroTexto 57">
              <a:extLst>
                <a:ext uri="{FF2B5EF4-FFF2-40B4-BE49-F238E27FC236}">
                  <a16:creationId xmlns:a16="http://schemas.microsoft.com/office/drawing/2014/main" id="{00000000-0008-0000-0100-00003A000000}"/>
                </a:ext>
              </a:extLst>
            </xdr:cNvPr>
            <xdr:cNvSpPr txBox="1"/>
          </xdr:nvSpPr>
          <xdr:spPr>
            <a:xfrm>
              <a:off x="6896100" y="17724120"/>
              <a:ext cx="2349041" cy="4090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=−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𝑉</m:t>
                    </m:r>
                    <m:f>
                      <m:f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𝑑𝐶</m:t>
                        </m:r>
                      </m:num>
                      <m:den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𝑑𝑡</m:t>
                        </m:r>
                      </m:den>
                    </m:f>
                    <m:r>
                      <a:rPr lang="es-ES" sz="14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𝐾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·</m:t>
                    </m:r>
                    <m:sSub>
                      <m:sSubPr>
                        <m:ctrlPr>
                          <a:rPr lang="es-E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𝐶</m:t>
                        </m:r>
                      </m:e>
                      <m:sub>
                        <m:r>
                          <a:rPr lang="es-ES" sz="1400" b="0" i="1">
                            <a:latin typeface="Cambria Math" panose="02040503050406030204" pitchFamily="18" charset="0"/>
                          </a:rPr>
                          <m:t>𝑒</m:t>
                        </m:r>
                      </m:sub>
                    </m:sSub>
                    <m:r>
                      <a:rPr lang="es-ES" sz="14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400" b="0" i="1">
                        <a:latin typeface="Cambria Math" panose="02040503050406030204" pitchFamily="18" charset="0"/>
                      </a:rPr>
                      <m:t>𝑉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58" name="CuadroTexto 57"/>
            <xdr:cNvSpPr txBox="1"/>
          </xdr:nvSpPr>
          <xdr:spPr>
            <a:xfrm>
              <a:off x="6896100" y="17724120"/>
              <a:ext cx="2349041" cy="40902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400" b="0" i="0">
                  <a:latin typeface="Cambria Math" panose="02040503050406030204" pitchFamily="18" charset="0"/>
                </a:rPr>
                <a:t>𝑚 ̇_𝐷𝐸𝑆=−𝑉 𝑑𝐶/𝑑𝑡=𝐾_𝐷𝐸𝑆·𝐶_𝑒·𝑉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</xdr:col>
      <xdr:colOff>738716</xdr:colOff>
      <xdr:row>108</xdr:row>
      <xdr:rowOff>156633</xdr:rowOff>
    </xdr:from>
    <xdr:ext cx="2841162" cy="27065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9" name="CuadroTexto 58">
              <a:extLst>
                <a:ext uri="{FF2B5EF4-FFF2-40B4-BE49-F238E27FC236}">
                  <a16:creationId xmlns:a16="http://schemas.microsoft.com/office/drawing/2014/main" id="{00000000-0008-0000-0100-00003B000000}"/>
                </a:ext>
              </a:extLst>
            </xdr:cNvPr>
            <xdr:cNvSpPr txBox="1"/>
          </xdr:nvSpPr>
          <xdr:spPr>
            <a:xfrm>
              <a:off x="1531196" y="19877193"/>
              <a:ext cx="2841162" cy="27065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8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8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ES" sz="18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800" b="0" i="1"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s-ES" sz="18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E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𝐸𝑉𝐴𝑃</m:t>
                        </m:r>
                      </m:sub>
                    </m:sSub>
                    <m:r>
                      <a:rPr lang="es-ES" sz="1400" b="0" i="0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𝐴𝐷𝑆</m:t>
                        </m:r>
                      </m:sub>
                    </m:sSub>
                    <m:r>
                      <a:rPr lang="es-ES" sz="14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Cambria Math" panose="02040503050406030204" pitchFamily="18" charset="0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4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4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4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4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Cambria Math" panose="02040503050406030204" pitchFamily="18" charset="0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400"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59" name="CuadroTexto 58"/>
            <xdr:cNvSpPr txBox="1"/>
          </xdr:nvSpPr>
          <xdr:spPr>
            <a:xfrm>
              <a:off x="1531196" y="19877193"/>
              <a:ext cx="2841162" cy="27065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800" b="0" i="0">
                  <a:latin typeface="Cambria Math" panose="02040503050406030204" pitchFamily="18" charset="0"/>
                </a:rPr>
                <a:t>𝑚 ̇_3=</a:t>
              </a:r>
              <a:r>
                <a:rPr lang="es-ES" sz="14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𝑚 ̇_𝐸𝑉𝐴𝑃+𝑚 ̇_𝐷𝐸𝑆+𝑚 ̇_𝐴𝐷𝑆+𝑚 ̇_6</a:t>
              </a:r>
              <a:endParaRPr lang="es-ES" sz="1400">
                <a:latin typeface="Cambria Math" panose="02040503050406030204" pitchFamily="18" charset="0"/>
                <a:ea typeface="Cambria Math" panose="02040503050406030204" pitchFamily="18" charset="0"/>
              </a:endParaRPr>
            </a:p>
          </xdr:txBody>
        </xdr:sp>
      </mc:Fallback>
    </mc:AlternateContent>
    <xdr:clientData/>
  </xdr:oneCellAnchor>
  <xdr:oneCellAnchor>
    <xdr:from>
      <xdr:col>1</xdr:col>
      <xdr:colOff>759883</xdr:colOff>
      <xdr:row>111</xdr:row>
      <xdr:rowOff>8466</xdr:rowOff>
    </xdr:from>
    <xdr:ext cx="986489" cy="2504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0" name="CuadroTexto 59">
              <a:extLst>
                <a:ext uri="{FF2B5EF4-FFF2-40B4-BE49-F238E27FC236}">
                  <a16:creationId xmlns:a16="http://schemas.microsoft.com/office/drawing/2014/main" id="{00000000-0008-0000-0100-00003C000000}"/>
                </a:ext>
              </a:extLst>
            </xdr:cNvPr>
            <xdr:cNvSpPr txBox="1"/>
          </xdr:nvSpPr>
          <xdr:spPr>
            <a:xfrm>
              <a:off x="1552363" y="20277666"/>
              <a:ext cx="986489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𝑚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𝐸𝑉𝐴𝑃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</m:t>
                    </m:r>
                  </m:oMath>
                </m:oMathPara>
              </a14:m>
              <a:endParaRPr lang="es-ES" sz="1100"/>
            </a:p>
          </xdr:txBody>
        </xdr:sp>
      </mc:Choice>
      <mc:Fallback xmlns="">
        <xdr:sp macro="" textlink="">
          <xdr:nvSpPr>
            <xdr:cNvPr id="60" name="CuadroTexto 59"/>
            <xdr:cNvSpPr txBox="1"/>
          </xdr:nvSpPr>
          <xdr:spPr>
            <a:xfrm>
              <a:off x="1552363" y="20277666"/>
              <a:ext cx="986489" cy="250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𝑚 ̇_𝐸𝑉𝐴𝑃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=0</a:t>
              </a:r>
              <a:endParaRPr lang="es-ES" sz="1100"/>
            </a:p>
          </xdr:txBody>
        </xdr:sp>
      </mc:Fallback>
    </mc:AlternateContent>
    <xdr:clientData/>
  </xdr:oneCellAnchor>
  <xdr:oneCellAnchor>
    <xdr:from>
      <xdr:col>1</xdr:col>
      <xdr:colOff>579966</xdr:colOff>
      <xdr:row>114</xdr:row>
      <xdr:rowOff>29632</xdr:rowOff>
    </xdr:from>
    <xdr:ext cx="4093300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1" name="CuadroTexto 60">
              <a:extLst>
                <a:ext uri="{FF2B5EF4-FFF2-40B4-BE49-F238E27FC236}">
                  <a16:creationId xmlns:a16="http://schemas.microsoft.com/office/drawing/2014/main" id="{00000000-0008-0000-0100-00003D000000}"/>
                </a:ext>
              </a:extLst>
            </xdr:cNvPr>
            <xdr:cNvSpPr txBox="1"/>
          </xdr:nvSpPr>
          <xdr:spPr>
            <a:xfrm>
              <a:off x="1372446" y="20855092"/>
              <a:ext cx="4093300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1" name="CuadroTexto 60"/>
            <xdr:cNvSpPr txBox="1"/>
          </xdr:nvSpPr>
          <xdr:spPr>
            <a:xfrm>
              <a:off x="1372446" y="20855092"/>
              <a:ext cx="4093300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𝐷𝐸𝑆·𝐶_𝑒·𝑉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̇_𝑎𝑙𝑔𝑎𝑠·𝑞_𝑒+𝑄_6·𝐶_𝑒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</xdr:col>
      <xdr:colOff>468157</xdr:colOff>
      <xdr:row>131</xdr:row>
      <xdr:rowOff>161863</xdr:rowOff>
    </xdr:from>
    <xdr:ext cx="3997954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2" name="CuadroTexto 61">
              <a:extLst>
                <a:ext uri="{FF2B5EF4-FFF2-40B4-BE49-F238E27FC236}">
                  <a16:creationId xmlns:a16="http://schemas.microsoft.com/office/drawing/2014/main" id="{00000000-0008-0000-0100-00003E000000}"/>
                </a:ext>
              </a:extLst>
            </xdr:cNvPr>
            <xdr:cNvSpPr txBox="1"/>
          </xdr:nvSpPr>
          <xdr:spPr>
            <a:xfrm>
              <a:off x="1260637" y="24302023"/>
              <a:ext cx="3997954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2" name="CuadroTexto 61"/>
            <xdr:cNvSpPr txBox="1"/>
          </xdr:nvSpPr>
          <xdr:spPr>
            <a:xfrm>
              <a:off x="1260637" y="24302023"/>
              <a:ext cx="3997954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̇_𝑎𝑙𝑔𝑎𝑠·𝑞_𝑡+𝑄_6·𝐶_6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11</xdr:col>
      <xdr:colOff>359835</xdr:colOff>
      <xdr:row>132</xdr:row>
      <xdr:rowOff>5928</xdr:rowOff>
    </xdr:from>
    <xdr:ext cx="2044701" cy="5841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3" name="CuadroTexto 62">
              <a:extLst>
                <a:ext uri="{FF2B5EF4-FFF2-40B4-BE49-F238E27FC236}">
                  <a16:creationId xmlns:a16="http://schemas.microsoft.com/office/drawing/2014/main" id="{00000000-0008-0000-0100-00003F000000}"/>
                </a:ext>
              </a:extLst>
            </xdr:cNvPr>
            <xdr:cNvSpPr txBox="1"/>
          </xdr:nvSpPr>
          <xdr:spPr>
            <a:xfrm>
              <a:off x="15096915" y="24405168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ES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·</m:t>
                        </m:r>
                        <m:sSup>
                          <m:sSup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  <m:t>𝑞</m:t>
                                </m:r>
                              </m:e>
                              <m:sub>
                                <m: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</m:sub>
                            </m:sSub>
                          </m:e>
                          <m:sup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3" name="CuadroTexto 62"/>
            <xdr:cNvSpPr txBox="1"/>
          </xdr:nvSpPr>
          <xdr:spPr>
            <a:xfrm>
              <a:off x="15096915" y="24405168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ES" sz="1600" b="0" i="0">
                  <a:latin typeface="Cambria Math" panose="02040503050406030204" pitchFamily="18" charset="0"/>
                </a:rPr>
                <a:t>1/𝑞_𝑡 =1/(𝑘_2·〖𝑞_𝑒〗^2 )+1/𝑞_𝑒 ·𝑡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</xdr:col>
      <xdr:colOff>529167</xdr:colOff>
      <xdr:row>134</xdr:row>
      <xdr:rowOff>95250</xdr:rowOff>
    </xdr:from>
    <xdr:ext cx="4021357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4" name="CuadroTexto 63">
              <a:extLst>
                <a:ext uri="{FF2B5EF4-FFF2-40B4-BE49-F238E27FC236}">
                  <a16:creationId xmlns:a16="http://schemas.microsoft.com/office/drawing/2014/main" id="{00000000-0008-0000-0100-000040000000}"/>
                </a:ext>
              </a:extLst>
            </xdr:cNvPr>
            <xdr:cNvSpPr txBox="1"/>
          </xdr:nvSpPr>
          <xdr:spPr>
            <a:xfrm>
              <a:off x="1321647" y="24959310"/>
              <a:ext cx="4021357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4" name="CuadroTexto 63"/>
            <xdr:cNvSpPr txBox="1"/>
          </xdr:nvSpPr>
          <xdr:spPr>
            <a:xfrm>
              <a:off x="1321647" y="24959310"/>
              <a:ext cx="4021357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̇_𝑎𝑙𝑔𝑎𝑠·𝑞_𝑡+𝑄_6·𝐶_6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11</xdr:col>
      <xdr:colOff>551680</xdr:colOff>
      <xdr:row>156</xdr:row>
      <xdr:rowOff>174016</xdr:rowOff>
    </xdr:from>
    <xdr:ext cx="2044701" cy="58419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5" name="CuadroTexto 64">
              <a:extLst>
                <a:ext uri="{FF2B5EF4-FFF2-40B4-BE49-F238E27FC236}">
                  <a16:creationId xmlns:a16="http://schemas.microsoft.com/office/drawing/2014/main" id="{00000000-0008-0000-0100-000041000000}"/>
                </a:ext>
              </a:extLst>
            </xdr:cNvPr>
            <xdr:cNvSpPr txBox="1"/>
          </xdr:nvSpPr>
          <xdr:spPr>
            <a:xfrm>
              <a:off x="15288760" y="29175736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s-ES" sz="16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𝑘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·</m:t>
                        </m:r>
                        <m:sSup>
                          <m:sSup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sSub>
                              <m:sSubPr>
                                <m:ctrlP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  <m:t>𝑞</m:t>
                                </m:r>
                              </m:e>
                              <m:sub>
                                <m:r>
                                  <a:rPr lang="es-ES" sz="16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</m:sub>
                            </m:sSub>
                          </m:e>
                          <m:sup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s-ES" sz="16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ES" sz="16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sSub>
                          <m:sSubPr>
                            <m:ctrlPr>
                              <a:rPr lang="es-ES" sz="16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𝑞</m:t>
                            </m:r>
                          </m:e>
                          <m:sub>
                            <m:r>
                              <a:rPr lang="es-ES" sz="16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den>
                    </m:f>
                    <m:r>
                      <a:rPr lang="es-ES" sz="1600" b="0" i="1">
                        <a:latin typeface="Cambria Math" panose="02040503050406030204" pitchFamily="18" charset="0"/>
                      </a:rPr>
                      <m:t>·</m:t>
                    </m:r>
                    <m:r>
                      <a:rPr lang="es-E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5" name="CuadroTexto 64"/>
            <xdr:cNvSpPr txBox="1"/>
          </xdr:nvSpPr>
          <xdr:spPr>
            <a:xfrm>
              <a:off x="15288760" y="29175736"/>
              <a:ext cx="2044701" cy="58419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ES" sz="1600" b="0" i="0">
                  <a:latin typeface="Cambria Math" panose="02040503050406030204" pitchFamily="18" charset="0"/>
                </a:rPr>
                <a:t>1/𝑞_𝑡 =1/(𝑘_2·〖𝑞_𝑒〗^2 )+1/𝑞_𝑒 ·𝑡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</xdr:col>
      <xdr:colOff>530910</xdr:colOff>
      <xdr:row>156</xdr:row>
      <xdr:rowOff>90146</xdr:rowOff>
    </xdr:from>
    <xdr:ext cx="3997954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6" name="CuadroTexto 65">
              <a:extLst>
                <a:ext uri="{FF2B5EF4-FFF2-40B4-BE49-F238E27FC236}">
                  <a16:creationId xmlns:a16="http://schemas.microsoft.com/office/drawing/2014/main" id="{00000000-0008-0000-0100-000042000000}"/>
                </a:ext>
              </a:extLst>
            </xdr:cNvPr>
            <xdr:cNvSpPr txBox="1"/>
          </xdr:nvSpPr>
          <xdr:spPr>
            <a:xfrm>
              <a:off x="1323390" y="29091866"/>
              <a:ext cx="3997954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6" name="CuadroTexto 65"/>
            <xdr:cNvSpPr txBox="1"/>
          </xdr:nvSpPr>
          <xdr:spPr>
            <a:xfrm>
              <a:off x="1323390" y="29091866"/>
              <a:ext cx="3997954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̇_𝑎𝑙𝑔𝑎𝑠·𝑞_𝑡+𝑄_6·𝐶_6</a:t>
              </a:r>
              <a:endParaRPr lang="es-ES" sz="1600"/>
            </a:p>
          </xdr:txBody>
        </xdr:sp>
      </mc:Fallback>
    </mc:AlternateContent>
    <xdr:clientData/>
  </xdr:oneCellAnchor>
  <xdr:oneCellAnchor>
    <xdr:from>
      <xdr:col>1</xdr:col>
      <xdr:colOff>447588</xdr:colOff>
      <xdr:row>159</xdr:row>
      <xdr:rowOff>55805</xdr:rowOff>
    </xdr:from>
    <xdr:ext cx="4020909" cy="27962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7" name="CuadroTexto 66">
              <a:extLst>
                <a:ext uri="{FF2B5EF4-FFF2-40B4-BE49-F238E27FC236}">
                  <a16:creationId xmlns:a16="http://schemas.microsoft.com/office/drawing/2014/main" id="{00000000-0008-0000-0100-000043000000}"/>
                </a:ext>
              </a:extLst>
            </xdr:cNvPr>
            <xdr:cNvSpPr txBox="1"/>
          </xdr:nvSpPr>
          <xdr:spPr>
            <a:xfrm>
              <a:off x="1240068" y="29781425"/>
              <a:ext cx="4020909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sSub>
                          <m:sSubPr>
                            <m:ctrlPr>
                              <a:rPr lang="es-ES" sz="160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𝑄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·</m:t>
                        </m:r>
                        <m:sSub>
                          <m:sSubPr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e>
                          <m:sub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b>
                        </m:s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=</m:t>
                        </m:r>
                        <m:r>
                          <a:rPr lang="es-ES" sz="16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𝐾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𝐷𝐸𝑆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𝑉</m:t>
                    </m:r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acc>
                          <m:accPr>
                            <m:chr m:val="̇"/>
                            <m:ctrlP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accPr>
                          <m:e>
                            <m:r>
                              <a:rPr lang="es-ES" sz="16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𝑀</m:t>
                            </m:r>
                          </m:e>
                        </m:acc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𝑎𝑙𝑔𝑎𝑠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𝑄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  <m:r>
                      <a:rPr lang="es-ES" sz="1600" b="0" i="1">
                        <a:solidFill>
                          <a:schemeClr val="tx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·</m:t>
                    </m:r>
                    <m:sSub>
                      <m:sSubPr>
                        <m:ctrlP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e>
                      <m:sub>
                        <m:r>
                          <a:rPr lang="es-E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6</m:t>
                        </m:r>
                      </m:sub>
                    </m:sSub>
                  </m:oMath>
                </m:oMathPara>
              </a14:m>
              <a:endParaRPr lang="es-ES" sz="1600"/>
            </a:p>
          </xdr:txBody>
        </xdr:sp>
      </mc:Choice>
      <mc:Fallback xmlns="">
        <xdr:sp macro="" textlink="">
          <xdr:nvSpPr>
            <xdr:cNvPr id="67" name="CuadroTexto 66"/>
            <xdr:cNvSpPr txBox="1"/>
          </xdr:nvSpPr>
          <xdr:spPr>
            <a:xfrm>
              <a:off x="1240068" y="29781425"/>
              <a:ext cx="4020909" cy="27962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〖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𝑄_3·𝐶_3=</a:t>
              </a:r>
              <a:r>
                <a:rPr lang="es-ES" sz="160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𝐾〗_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𝐷𝐸𝑆·𝐶_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6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·𝑉</a:t>
              </a:r>
              <a:r>
                <a:rPr lang="es-E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+𝑀 ̇_𝑎𝑙𝑔𝑎𝑠·𝑞_𝑡+𝑄_6·𝐶_6</a:t>
              </a:r>
              <a:endParaRPr lang="es-ES" sz="1600"/>
            </a:p>
          </xdr:txBody>
        </xdr:sp>
      </mc:Fallback>
    </mc:AlternateContent>
    <xdr:clientData/>
  </xdr:oneCellAnchor>
  <xdr:twoCellAnchor>
    <xdr:from>
      <xdr:col>2</xdr:col>
      <xdr:colOff>571500</xdr:colOff>
      <xdr:row>115</xdr:row>
      <xdr:rowOff>100853</xdr:rowOff>
    </xdr:from>
    <xdr:to>
      <xdr:col>2</xdr:col>
      <xdr:colOff>593912</xdr:colOff>
      <xdr:row>119</xdr:row>
      <xdr:rowOff>145676</xdr:rowOff>
    </xdr:to>
    <xdr:cxnSp macro="">
      <xdr:nvCxnSpPr>
        <xdr:cNvPr id="68" name="Conector recto de flecha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CxnSpPr/>
      </xdr:nvCxnSpPr>
      <xdr:spPr>
        <a:xfrm flipV="1">
          <a:off x="2758440" y="21109193"/>
          <a:ext cx="22412" cy="799203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952500</xdr:colOff>
      <xdr:row>115</xdr:row>
      <xdr:rowOff>123264</xdr:rowOff>
    </xdr:from>
    <xdr:to>
      <xdr:col>3</xdr:col>
      <xdr:colOff>963706</xdr:colOff>
      <xdr:row>120</xdr:row>
      <xdr:rowOff>22412</xdr:rowOff>
    </xdr:to>
    <xdr:cxnSp macro="">
      <xdr:nvCxnSpPr>
        <xdr:cNvPr id="69" name="Conector recto de flecha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CxnSpPr/>
      </xdr:nvCxnSpPr>
      <xdr:spPr>
        <a:xfrm flipV="1">
          <a:off x="4015740" y="21131604"/>
          <a:ext cx="11206" cy="844028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762000</xdr:colOff>
      <xdr:row>115</xdr:row>
      <xdr:rowOff>134470</xdr:rowOff>
    </xdr:from>
    <xdr:to>
      <xdr:col>4</xdr:col>
      <xdr:colOff>773206</xdr:colOff>
      <xdr:row>119</xdr:row>
      <xdr:rowOff>168088</xdr:rowOff>
    </xdr:to>
    <xdr:cxnSp macro="">
      <xdr:nvCxnSpPr>
        <xdr:cNvPr id="70" name="Conector recto de flecha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CxnSpPr/>
      </xdr:nvCxnSpPr>
      <xdr:spPr>
        <a:xfrm flipV="1">
          <a:off x="5036820" y="21142810"/>
          <a:ext cx="11206" cy="787998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T177"/>
  <sheetViews>
    <sheetView tabSelected="1" topLeftCell="F159" zoomScale="110" zoomScaleNormal="110" workbookViewId="0">
      <selection activeCell="J175" sqref="J175:J177"/>
    </sheetView>
  </sheetViews>
  <sheetFormatPr baseColWidth="10" defaultRowHeight="15" x14ac:dyDescent="0.2"/>
  <cols>
    <col min="2" max="2" width="20.33203125" customWidth="1"/>
    <col min="3" max="3" width="12.83203125" customWidth="1"/>
    <col min="4" max="4" width="17.6640625" customWidth="1"/>
    <col min="5" max="5" width="17.5" customWidth="1"/>
    <col min="6" max="6" width="20.83203125" customWidth="1"/>
    <col min="7" max="7" width="20.1640625" customWidth="1"/>
    <col min="8" max="8" width="24.1640625" customWidth="1"/>
    <col min="9" max="9" width="21.83203125" customWidth="1"/>
    <col min="10" max="10" width="23.6640625" customWidth="1"/>
    <col min="11" max="11" width="25.1640625" customWidth="1"/>
    <col min="12" max="12" width="25.83203125" customWidth="1"/>
    <col min="13" max="13" width="24.1640625" customWidth="1"/>
    <col min="14" max="14" width="23.6640625" customWidth="1"/>
    <col min="15" max="15" width="25" bestFit="1" customWidth="1"/>
    <col min="16" max="16" width="24.5" customWidth="1"/>
    <col min="17" max="17" width="22.5" customWidth="1"/>
    <col min="18" max="18" width="20.83203125" customWidth="1"/>
    <col min="19" max="19" width="22.33203125" customWidth="1"/>
    <col min="20" max="20" width="19.33203125" customWidth="1"/>
  </cols>
  <sheetData>
    <row r="2" spans="1:12" x14ac:dyDescent="0.2">
      <c r="B2" s="234" t="s">
        <v>35</v>
      </c>
      <c r="C2" s="235"/>
      <c r="D2" s="235"/>
      <c r="E2" s="236"/>
      <c r="I2" t="s">
        <v>104</v>
      </c>
      <c r="K2" s="73">
        <f>SUM(K3:K5)</f>
        <v>0.874</v>
      </c>
    </row>
    <row r="3" spans="1:12" x14ac:dyDescent="0.2">
      <c r="B3" s="6" t="s">
        <v>0</v>
      </c>
      <c r="C3" s="6" t="s">
        <v>6</v>
      </c>
      <c r="D3" s="7" t="s">
        <v>64</v>
      </c>
      <c r="E3" s="7" t="s">
        <v>45</v>
      </c>
      <c r="I3" s="237" t="s">
        <v>14</v>
      </c>
      <c r="J3" s="238"/>
      <c r="K3" s="74">
        <v>0.51700000000000002</v>
      </c>
    </row>
    <row r="4" spans="1:12" x14ac:dyDescent="0.2">
      <c r="B4" s="1" t="s">
        <v>1</v>
      </c>
      <c r="C4" s="37" t="s">
        <v>2</v>
      </c>
      <c r="D4" s="44">
        <v>10</v>
      </c>
      <c r="E4" s="37">
        <f>D4/0.05</f>
        <v>200</v>
      </c>
      <c r="I4" s="237" t="s">
        <v>15</v>
      </c>
      <c r="J4" s="238"/>
      <c r="K4" s="74">
        <v>0.223</v>
      </c>
    </row>
    <row r="5" spans="1:12" x14ac:dyDescent="0.2">
      <c r="B5" s="1" t="s">
        <v>18</v>
      </c>
      <c r="C5" s="37" t="s">
        <v>2</v>
      </c>
      <c r="D5" s="11">
        <v>1445</v>
      </c>
      <c r="E5" s="37">
        <f>D5/0.05</f>
        <v>28900</v>
      </c>
      <c r="I5" s="237" t="s">
        <v>16</v>
      </c>
      <c r="J5" s="238"/>
      <c r="K5" s="74">
        <v>0.13400000000000001</v>
      </c>
      <c r="L5" s="21"/>
    </row>
    <row r="6" spans="1:12" x14ac:dyDescent="0.2">
      <c r="B6" s="1" t="s">
        <v>17</v>
      </c>
      <c r="C6" s="37" t="s">
        <v>2</v>
      </c>
      <c r="D6" s="11">
        <v>377</v>
      </c>
      <c r="E6" s="37">
        <f>D6/0.05</f>
        <v>7540</v>
      </c>
    </row>
    <row r="7" spans="1:12" x14ac:dyDescent="0.2">
      <c r="B7" s="1" t="s">
        <v>19</v>
      </c>
      <c r="C7" s="37" t="s">
        <v>2</v>
      </c>
      <c r="D7" s="11">
        <v>23.5</v>
      </c>
      <c r="E7" s="37">
        <f>D7/0.05</f>
        <v>470</v>
      </c>
      <c r="J7" s="234" t="s">
        <v>3</v>
      </c>
      <c r="K7" s="236"/>
    </row>
    <row r="8" spans="1:12" x14ac:dyDescent="0.2">
      <c r="B8" s="1" t="s">
        <v>20</v>
      </c>
      <c r="C8" s="37" t="s">
        <v>2</v>
      </c>
      <c r="D8" s="11">
        <v>7.35</v>
      </c>
      <c r="E8" s="37">
        <f>D8/0.05</f>
        <v>146.99999999999997</v>
      </c>
      <c r="J8" s="37" t="s">
        <v>18</v>
      </c>
      <c r="K8" s="74">
        <v>0.9</v>
      </c>
    </row>
    <row r="9" spans="1:12" x14ac:dyDescent="0.2">
      <c r="J9" s="37" t="s">
        <v>4</v>
      </c>
      <c r="K9" s="94">
        <v>0.6</v>
      </c>
      <c r="L9" s="4"/>
    </row>
    <row r="10" spans="1:12" x14ac:dyDescent="0.2">
      <c r="C10" s="10" t="s">
        <v>6</v>
      </c>
      <c r="D10" s="10" t="s">
        <v>7</v>
      </c>
      <c r="F10" s="4"/>
      <c r="G10" s="24"/>
      <c r="H10" s="24"/>
      <c r="J10" s="37" t="s">
        <v>5</v>
      </c>
      <c r="K10" s="74">
        <v>0.6</v>
      </c>
      <c r="L10" s="24"/>
    </row>
    <row r="11" spans="1:12" x14ac:dyDescent="0.2">
      <c r="A11" s="239" t="s">
        <v>8</v>
      </c>
      <c r="B11" s="240"/>
      <c r="C11" s="37" t="s">
        <v>62</v>
      </c>
      <c r="D11" s="9">
        <f>0.24/20</f>
        <v>1.2E-2</v>
      </c>
      <c r="G11" s="95"/>
      <c r="H11" s="3"/>
      <c r="J11" s="23"/>
      <c r="K11" s="23"/>
      <c r="L11" s="3"/>
    </row>
    <row r="12" spans="1:12" x14ac:dyDescent="0.2">
      <c r="A12" s="232" t="s">
        <v>9</v>
      </c>
      <c r="B12" s="233"/>
      <c r="C12" s="37" t="s">
        <v>41</v>
      </c>
      <c r="D12" s="45">
        <v>0.05</v>
      </c>
      <c r="J12" s="234" t="s">
        <v>89</v>
      </c>
      <c r="K12" s="236"/>
      <c r="L12" s="3"/>
    </row>
    <row r="13" spans="1:12" x14ac:dyDescent="0.2">
      <c r="A13" s="232" t="s">
        <v>21</v>
      </c>
      <c r="B13" s="233"/>
      <c r="C13" s="37" t="s">
        <v>61</v>
      </c>
      <c r="D13" s="9">
        <f>D11/D12</f>
        <v>0.24</v>
      </c>
      <c r="G13" s="23"/>
      <c r="H13" s="3"/>
      <c r="J13" s="37" t="s">
        <v>76</v>
      </c>
      <c r="K13" s="74">
        <v>0.6</v>
      </c>
      <c r="L13" s="3"/>
    </row>
    <row r="14" spans="1:12" x14ac:dyDescent="0.2">
      <c r="A14" s="232" t="s">
        <v>10</v>
      </c>
      <c r="B14" s="233"/>
      <c r="C14" s="37" t="s">
        <v>11</v>
      </c>
      <c r="D14" s="200">
        <v>17.600000000000001</v>
      </c>
      <c r="G14" s="23"/>
      <c r="H14" s="3"/>
      <c r="I14" s="76"/>
      <c r="J14" s="76"/>
      <c r="K14" s="75"/>
    </row>
    <row r="15" spans="1:12" x14ac:dyDescent="0.2">
      <c r="A15" s="232" t="s">
        <v>12</v>
      </c>
      <c r="B15" s="233"/>
      <c r="C15" s="37" t="s">
        <v>13</v>
      </c>
      <c r="D15" s="11">
        <v>2.5</v>
      </c>
      <c r="G15" s="23"/>
      <c r="H15" s="3"/>
      <c r="I15" s="76"/>
      <c r="J15" s="76"/>
      <c r="K15" s="75"/>
    </row>
    <row r="16" spans="1:12" x14ac:dyDescent="0.2">
      <c r="A16" s="232" t="s">
        <v>36</v>
      </c>
      <c r="B16" s="233"/>
      <c r="C16" s="37" t="s">
        <v>60</v>
      </c>
      <c r="D16" s="5">
        <f>(C47+D47)*D23/D18</f>
        <v>30</v>
      </c>
      <c r="G16" s="92"/>
      <c r="I16" s="76"/>
      <c r="J16" s="35" t="s">
        <v>54</v>
      </c>
      <c r="K16" s="215">
        <v>0.59119999999999995</v>
      </c>
    </row>
    <row r="17" spans="1:15" ht="16" x14ac:dyDescent="0.2">
      <c r="A17" s="232" t="s">
        <v>33</v>
      </c>
      <c r="B17" s="233"/>
      <c r="C17" s="37" t="s">
        <v>41</v>
      </c>
      <c r="D17" s="45">
        <v>0.9</v>
      </c>
      <c r="J17" s="35" t="s">
        <v>71</v>
      </c>
      <c r="K17" s="93">
        <v>9.9400000000000002E-2</v>
      </c>
      <c r="M17" s="31"/>
    </row>
    <row r="18" spans="1:15" x14ac:dyDescent="0.2">
      <c r="A18" s="232" t="s">
        <v>65</v>
      </c>
      <c r="B18" s="233"/>
      <c r="C18" s="37" t="s">
        <v>40</v>
      </c>
      <c r="D18" s="11">
        <v>0.04</v>
      </c>
    </row>
    <row r="19" spans="1:15" x14ac:dyDescent="0.2">
      <c r="A19" s="232" t="s">
        <v>66</v>
      </c>
      <c r="B19" s="233"/>
      <c r="C19" s="37" t="s">
        <v>59</v>
      </c>
      <c r="D19" s="2">
        <f>D18*D16</f>
        <v>1.2</v>
      </c>
      <c r="G19" s="244" t="s">
        <v>90</v>
      </c>
      <c r="H19" s="244"/>
      <c r="I19" s="37">
        <v>1000</v>
      </c>
      <c r="J19" s="2" t="s">
        <v>53</v>
      </c>
    </row>
    <row r="20" spans="1:15" x14ac:dyDescent="0.2">
      <c r="A20" s="232" t="s">
        <v>56</v>
      </c>
      <c r="B20" s="233"/>
      <c r="C20" s="37" t="s">
        <v>42</v>
      </c>
      <c r="D20" s="5">
        <f>D19/D13</f>
        <v>5</v>
      </c>
    </row>
    <row r="21" spans="1:15" x14ac:dyDescent="0.2">
      <c r="A21" s="245" t="s">
        <v>43</v>
      </c>
      <c r="B21" s="246"/>
      <c r="C21" s="49" t="s">
        <v>44</v>
      </c>
      <c r="D21" s="46">
        <f>1/D20</f>
        <v>0.2</v>
      </c>
    </row>
    <row r="22" spans="1:15" x14ac:dyDescent="0.2">
      <c r="A22" s="245" t="s">
        <v>55</v>
      </c>
      <c r="B22" s="246"/>
      <c r="C22" s="49" t="s">
        <v>41</v>
      </c>
      <c r="D22" s="47">
        <v>0.78</v>
      </c>
      <c r="F22" s="247"/>
      <c r="G22" s="247"/>
    </row>
    <row r="23" spans="1:15" ht="14.5" hidden="1" customHeight="1" x14ac:dyDescent="0.2">
      <c r="A23" s="49" t="s">
        <v>56</v>
      </c>
      <c r="B23" s="49"/>
      <c r="C23" s="49" t="s">
        <v>42</v>
      </c>
      <c r="D23" s="48">
        <v>5</v>
      </c>
    </row>
    <row r="24" spans="1:15" x14ac:dyDescent="0.2">
      <c r="A24" s="245" t="s">
        <v>67</v>
      </c>
      <c r="B24" s="246"/>
      <c r="C24" s="49" t="s">
        <v>41</v>
      </c>
      <c r="D24" s="47">
        <v>0.04</v>
      </c>
      <c r="F24" s="23"/>
      <c r="G24" s="91"/>
    </row>
    <row r="25" spans="1:15" x14ac:dyDescent="0.2">
      <c r="A25" s="248" t="s">
        <v>68</v>
      </c>
      <c r="B25" s="248"/>
      <c r="C25" s="49" t="s">
        <v>41</v>
      </c>
      <c r="D25" s="50">
        <v>0.9</v>
      </c>
      <c r="F25" s="23"/>
      <c r="G25" s="91"/>
      <c r="I25" s="17"/>
    </row>
    <row r="26" spans="1:15" x14ac:dyDescent="0.2">
      <c r="F26" s="23"/>
      <c r="G26" s="91"/>
    </row>
    <row r="28" spans="1:15" x14ac:dyDescent="0.2">
      <c r="N28" s="28"/>
      <c r="O28" s="36"/>
    </row>
    <row r="35" spans="2:20" x14ac:dyDescent="0.2">
      <c r="I35" s="28" t="s">
        <v>100</v>
      </c>
      <c r="J35" s="29">
        <v>0.1</v>
      </c>
    </row>
    <row r="36" spans="2:20" x14ac:dyDescent="0.2">
      <c r="O36" s="28"/>
      <c r="P36" s="29"/>
    </row>
    <row r="39" spans="2:20" x14ac:dyDescent="0.2">
      <c r="N39" s="13"/>
      <c r="Q39" s="17"/>
    </row>
    <row r="40" spans="2:20" x14ac:dyDescent="0.2">
      <c r="N40" s="3"/>
    </row>
    <row r="41" spans="2:20" x14ac:dyDescent="0.2">
      <c r="L41" s="3"/>
    </row>
    <row r="42" spans="2:20" x14ac:dyDescent="0.2">
      <c r="G42" s="69"/>
      <c r="H42" s="71"/>
      <c r="L42" s="18"/>
    </row>
    <row r="43" spans="2:20" x14ac:dyDescent="0.2">
      <c r="C43" s="30"/>
      <c r="F43" s="19"/>
      <c r="G43" s="70"/>
      <c r="H43" s="17"/>
      <c r="L43" s="18"/>
    </row>
    <row r="44" spans="2:20" x14ac:dyDescent="0.2">
      <c r="F44" s="27"/>
      <c r="G44" s="26"/>
      <c r="H44" s="26">
        <f>H50/1000/H49</f>
        <v>2.2048506714772501E-3</v>
      </c>
      <c r="K44" s="26">
        <f>K50/1000/K49</f>
        <v>2.2449437743627418E-4</v>
      </c>
      <c r="N44" s="25">
        <f>N50/1000/N48</f>
        <v>0.1</v>
      </c>
      <c r="R44" s="67"/>
    </row>
    <row r="45" spans="2:20" ht="16" thickBot="1" x14ac:dyDescent="0.25">
      <c r="C45" s="249" t="s">
        <v>70</v>
      </c>
      <c r="D45" s="250"/>
      <c r="N45" s="32" t="s">
        <v>72</v>
      </c>
      <c r="O45" s="33"/>
      <c r="P45" s="33"/>
    </row>
    <row r="46" spans="2:20" x14ac:dyDescent="0.2">
      <c r="B46" s="8" t="s">
        <v>22</v>
      </c>
      <c r="C46" s="10" t="s">
        <v>48</v>
      </c>
      <c r="D46" s="10" t="s">
        <v>49</v>
      </c>
      <c r="E46" s="10" t="s">
        <v>52</v>
      </c>
      <c r="F46" s="10" t="s">
        <v>92</v>
      </c>
      <c r="G46" s="38" t="s">
        <v>93</v>
      </c>
      <c r="H46" s="108" t="s">
        <v>91</v>
      </c>
      <c r="I46" s="78" t="s">
        <v>84</v>
      </c>
      <c r="J46" s="79" t="s">
        <v>85</v>
      </c>
      <c r="K46" s="106" t="s">
        <v>94</v>
      </c>
      <c r="L46" s="78" t="s">
        <v>95</v>
      </c>
      <c r="M46" s="79" t="s">
        <v>96</v>
      </c>
      <c r="N46" s="77" t="s">
        <v>97</v>
      </c>
      <c r="O46" s="78" t="s">
        <v>98</v>
      </c>
      <c r="P46" s="79" t="s">
        <v>99</v>
      </c>
      <c r="Q46" s="54" t="s">
        <v>22</v>
      </c>
      <c r="R46" s="24"/>
      <c r="S46" s="24"/>
      <c r="T46" s="24"/>
    </row>
    <row r="47" spans="2:20" x14ac:dyDescent="0.2">
      <c r="B47" s="12" t="s">
        <v>58</v>
      </c>
      <c r="C47" s="9">
        <f>D11</f>
        <v>1.2E-2</v>
      </c>
      <c r="D47" s="9">
        <f>C47/D12*(1-D12)</f>
        <v>0.22799999999999998</v>
      </c>
      <c r="E47" s="9">
        <f>(C47+D47)</f>
        <v>0.24</v>
      </c>
      <c r="F47" s="41">
        <f>G47</f>
        <v>7.4999999999999997E-2</v>
      </c>
      <c r="G47" s="104">
        <f>D15*D16/1000</f>
        <v>7.4999999999999997E-2</v>
      </c>
      <c r="H47" s="109">
        <f>E47+F47-G47</f>
        <v>0.24</v>
      </c>
      <c r="I47" s="1"/>
      <c r="J47" s="96"/>
      <c r="K47" s="102">
        <f>H47-N47</f>
        <v>0.23524799999999998</v>
      </c>
      <c r="L47" s="37"/>
      <c r="M47" s="81"/>
      <c r="N47" s="88">
        <f>D17/J35*10^-6*H47*H67</f>
        <v>4.7520000000000001E-3</v>
      </c>
      <c r="O47" s="37"/>
      <c r="P47" s="81"/>
      <c r="Q47" s="55" t="s">
        <v>58</v>
      </c>
      <c r="R47" s="63"/>
      <c r="S47" s="57"/>
      <c r="T47" s="57"/>
    </row>
    <row r="48" spans="2:20" x14ac:dyDescent="0.2">
      <c r="B48" s="12" t="s">
        <v>31</v>
      </c>
      <c r="C48" s="2">
        <f>C47*1000</f>
        <v>12</v>
      </c>
      <c r="D48" s="2">
        <f>D47*I19</f>
        <v>227.99999999999997</v>
      </c>
      <c r="E48" s="2">
        <f>E47*I19</f>
        <v>240</v>
      </c>
      <c r="F48" s="40">
        <f t="shared" ref="F48:F51" si="0">G48</f>
        <v>75</v>
      </c>
      <c r="G48" s="51">
        <f>G47*I19</f>
        <v>75</v>
      </c>
      <c r="H48" s="109">
        <f>H47*I19</f>
        <v>240</v>
      </c>
      <c r="I48" s="1"/>
      <c r="J48" s="96"/>
      <c r="K48" s="102">
        <f>K47*I19</f>
        <v>235.24799999999999</v>
      </c>
      <c r="L48" s="37"/>
      <c r="M48" s="81"/>
      <c r="N48" s="80">
        <f>N47*I19</f>
        <v>4.7519999999999998</v>
      </c>
      <c r="O48" s="37"/>
      <c r="P48" s="81"/>
      <c r="Q48" s="55" t="s">
        <v>31</v>
      </c>
      <c r="R48" s="63"/>
      <c r="S48" s="57"/>
      <c r="T48" s="57"/>
    </row>
    <row r="49" spans="2:20" x14ac:dyDescent="0.2">
      <c r="B49" s="12" t="s">
        <v>51</v>
      </c>
      <c r="C49" s="2">
        <f>C48-C51/1000</f>
        <v>11.9976</v>
      </c>
      <c r="D49" s="2">
        <f>D48</f>
        <v>227.99999999999997</v>
      </c>
      <c r="E49" s="2">
        <f>E48-E51/1000</f>
        <v>239.99760000000001</v>
      </c>
      <c r="F49" s="40">
        <f t="shared" si="0"/>
        <v>75</v>
      </c>
      <c r="G49" s="51">
        <f>G48</f>
        <v>75</v>
      </c>
      <c r="H49" s="109">
        <f>H48-H50/1000</f>
        <v>239.47200000000001</v>
      </c>
      <c r="I49" s="40">
        <f>H49</f>
        <v>239.47200000000001</v>
      </c>
      <c r="J49" s="96"/>
      <c r="K49" s="102">
        <f>K48-K51/1000</f>
        <v>235.1952</v>
      </c>
      <c r="L49" s="2">
        <f>K49</f>
        <v>235.1952</v>
      </c>
      <c r="M49" s="81">
        <v>0</v>
      </c>
      <c r="N49" s="80">
        <f>N48-N50/1000</f>
        <v>4.2767999999999997</v>
      </c>
      <c r="O49" s="2">
        <f>N49</f>
        <v>4.2767999999999997</v>
      </c>
      <c r="P49" s="81">
        <v>0</v>
      </c>
      <c r="Q49" s="55" t="s">
        <v>51</v>
      </c>
      <c r="R49" s="57"/>
      <c r="S49" s="57"/>
      <c r="T49" s="57"/>
    </row>
    <row r="50" spans="2:20" x14ac:dyDescent="0.2">
      <c r="B50" s="12" t="s">
        <v>50</v>
      </c>
      <c r="C50" s="2">
        <v>0</v>
      </c>
      <c r="D50" s="37">
        <v>0</v>
      </c>
      <c r="E50" s="2">
        <f>(C47*C50)</f>
        <v>0</v>
      </c>
      <c r="F50" s="40">
        <f t="shared" si="0"/>
        <v>0</v>
      </c>
      <c r="G50" s="51">
        <v>0</v>
      </c>
      <c r="H50" s="109">
        <f>K50+N50</f>
        <v>528</v>
      </c>
      <c r="I50" s="1"/>
      <c r="J50" s="131">
        <f>H50</f>
        <v>528</v>
      </c>
      <c r="K50" s="102">
        <f>D16*D14*(1-D17)</f>
        <v>52.79999999999999</v>
      </c>
      <c r="L50" s="37">
        <v>0</v>
      </c>
      <c r="M50" s="82">
        <f>K50-L50</f>
        <v>52.79999999999999</v>
      </c>
      <c r="N50" s="80">
        <f>D16*D14*D17</f>
        <v>475.2</v>
      </c>
      <c r="O50" s="37">
        <v>0</v>
      </c>
      <c r="P50" s="82">
        <f>N50-O50</f>
        <v>475.2</v>
      </c>
      <c r="Q50" s="55" t="s">
        <v>50</v>
      </c>
      <c r="R50" s="63"/>
      <c r="S50" s="58"/>
      <c r="T50" s="58"/>
    </row>
    <row r="51" spans="2:20" x14ac:dyDescent="0.2">
      <c r="B51" s="12" t="s">
        <v>29</v>
      </c>
      <c r="C51" s="2">
        <f>C47*E4</f>
        <v>2.4</v>
      </c>
      <c r="D51" s="37">
        <v>0</v>
      </c>
      <c r="E51" s="2">
        <f>C51</f>
        <v>2.4</v>
      </c>
      <c r="F51" s="40">
        <f t="shared" si="0"/>
        <v>0</v>
      </c>
      <c r="G51" s="51">
        <v>0</v>
      </c>
      <c r="H51" s="109">
        <f>K51+N51</f>
        <v>528</v>
      </c>
      <c r="I51" s="1"/>
      <c r="J51" s="96"/>
      <c r="K51" s="102">
        <f>D14*D16*(1-D17)</f>
        <v>52.79999999999999</v>
      </c>
      <c r="L51" s="37">
        <v>0</v>
      </c>
      <c r="M51" s="82">
        <f>K51-L51</f>
        <v>52.79999999999999</v>
      </c>
      <c r="N51" s="80">
        <f>D14*D16*D17</f>
        <v>475.2</v>
      </c>
      <c r="O51" s="37">
        <v>0</v>
      </c>
      <c r="P51" s="82">
        <f>N51-O51</f>
        <v>475.2</v>
      </c>
      <c r="Q51" s="55" t="s">
        <v>29</v>
      </c>
      <c r="R51" s="63"/>
      <c r="S51" s="57"/>
      <c r="T51" s="57"/>
    </row>
    <row r="52" spans="2:20" x14ac:dyDescent="0.2">
      <c r="B52" s="12" t="s">
        <v>23</v>
      </c>
      <c r="C52" s="2">
        <f>E5*$C$47</f>
        <v>346.8</v>
      </c>
      <c r="D52" s="37">
        <v>0</v>
      </c>
      <c r="E52" s="2">
        <f>C52</f>
        <v>346.8</v>
      </c>
      <c r="F52" s="40">
        <v>0</v>
      </c>
      <c r="G52" s="105">
        <f>E52-K52-N52</f>
        <v>-3.3599999999921693E-2</v>
      </c>
      <c r="H52" s="110">
        <f>E52-G52</f>
        <v>346.83359999999993</v>
      </c>
      <c r="I52" s="1"/>
      <c r="J52" s="96"/>
      <c r="K52" s="103">
        <f>K49/(K49+N49)*(1-K8)*C52+K51*K16</f>
        <v>65.275999807576653</v>
      </c>
      <c r="L52" s="15">
        <f>K49/(K49+N49)*(1-K8)*C52</f>
        <v>34.060639807576663</v>
      </c>
      <c r="M52" s="82">
        <f>K51*K16</f>
        <v>31.21535999999999</v>
      </c>
      <c r="N52" s="83">
        <f>N49/(N49+K49)*(1-K8)*C52+K16*N51</f>
        <v>281.55760019242331</v>
      </c>
      <c r="O52" s="15">
        <f>N49/(K49+N49)*(1-K8)*C52</f>
        <v>0.61936019242333118</v>
      </c>
      <c r="P52" s="82">
        <f>N51*K16</f>
        <v>280.93823999999995</v>
      </c>
      <c r="Q52" s="55" t="s">
        <v>23</v>
      </c>
      <c r="R52" s="64"/>
      <c r="S52" s="57"/>
      <c r="T52" s="57"/>
    </row>
    <row r="53" spans="2:20" x14ac:dyDescent="0.2">
      <c r="B53" s="12" t="s">
        <v>24</v>
      </c>
      <c r="C53" s="2">
        <f>E6*$C$47</f>
        <v>90.48</v>
      </c>
      <c r="D53" s="37">
        <v>0</v>
      </c>
      <c r="E53" s="2">
        <f>C53</f>
        <v>90.48</v>
      </c>
      <c r="F53" s="40">
        <v>0</v>
      </c>
      <c r="G53" s="52">
        <f>G54</f>
        <v>1.8096000000000001</v>
      </c>
      <c r="H53" s="111">
        <f>E53-G53</f>
        <v>88.670400000000001</v>
      </c>
      <c r="I53" s="1"/>
      <c r="J53" s="96"/>
      <c r="K53" s="103">
        <f>K49/(K49+N49)*(1-K9)*C53+K50*K17</f>
        <v>40.793956560432953</v>
      </c>
      <c r="L53" s="15">
        <f>K49/(K49+N49)*(1-K9)*C53</f>
        <v>35.545636560432953</v>
      </c>
      <c r="M53" s="81">
        <f>K50*K17</f>
        <v>5.2483199999999988</v>
      </c>
      <c r="N53" s="83">
        <f>N50*K17+N49/(N49+K49)*(1-K9)*C53</f>
        <v>47.881243439567044</v>
      </c>
      <c r="O53" s="15">
        <f>N49/(K49+N49)*(1-K9)*C53</f>
        <v>0.64636343956704745</v>
      </c>
      <c r="P53" s="82">
        <f>N50*K17</f>
        <v>47.234879999999997</v>
      </c>
      <c r="Q53" s="55" t="s">
        <v>24</v>
      </c>
      <c r="R53" s="65"/>
      <c r="S53" s="57"/>
      <c r="T53" s="57"/>
    </row>
    <row r="54" spans="2:20" x14ac:dyDescent="0.2">
      <c r="B54" s="12" t="s">
        <v>57</v>
      </c>
      <c r="C54" s="2">
        <f>E7*$C$47</f>
        <v>5.64</v>
      </c>
      <c r="D54" s="37">
        <v>0</v>
      </c>
      <c r="E54" s="15">
        <f>C54</f>
        <v>5.64</v>
      </c>
      <c r="F54" s="40">
        <v>0</v>
      </c>
      <c r="G54" s="52">
        <f>C53*0.02</f>
        <v>1.8096000000000001</v>
      </c>
      <c r="H54" s="110">
        <f>C54-G54-C54*K13</f>
        <v>0.44639999999999969</v>
      </c>
      <c r="I54" s="1"/>
      <c r="J54" s="96"/>
      <c r="K54" s="103">
        <f>K49/(K49+N49)*H54</f>
        <v>0.43842761274804537</v>
      </c>
      <c r="L54" s="2">
        <f>K54</f>
        <v>0.43842761274804537</v>
      </c>
      <c r="M54" s="81">
        <v>0</v>
      </c>
      <c r="N54" s="83">
        <f>N49/(K49+N49)*H54</f>
        <v>7.9723872519542917E-3</v>
      </c>
      <c r="O54" s="2">
        <f>N54</f>
        <v>7.9723872519542917E-3</v>
      </c>
      <c r="P54" s="81">
        <v>0</v>
      </c>
      <c r="Q54" s="55" t="s">
        <v>57</v>
      </c>
      <c r="R54" s="66"/>
      <c r="S54" s="58"/>
      <c r="T54" s="58"/>
    </row>
    <row r="55" spans="2:20" x14ac:dyDescent="0.2">
      <c r="B55" s="12" t="s">
        <v>25</v>
      </c>
      <c r="C55" s="2">
        <f>E8*$C$47</f>
        <v>1.7639999999999998</v>
      </c>
      <c r="D55" s="37">
        <v>0</v>
      </c>
      <c r="E55" s="2">
        <f>C55</f>
        <v>1.7639999999999998</v>
      </c>
      <c r="F55" s="40">
        <v>0</v>
      </c>
      <c r="G55" s="39">
        <v>0</v>
      </c>
      <c r="H55" s="111">
        <f>E55-G55</f>
        <v>1.7639999999999998</v>
      </c>
      <c r="I55" s="1"/>
      <c r="J55" s="96"/>
      <c r="K55" s="103">
        <f>K49/(K49+N49)*(1-K10)*C55+K50/(K50+N50)*K10*C55</f>
        <v>0.79883848466626572</v>
      </c>
      <c r="L55" s="15">
        <f>K49/(K49+N49)*(1-K10)*C55</f>
        <v>0.69299848466626579</v>
      </c>
      <c r="M55" s="84">
        <f>K50/(K50+N50)*K10*C55</f>
        <v>0.10583999999999996</v>
      </c>
      <c r="N55" s="83">
        <f>N49/(N49+K49)*(1-K10)*C55+N50/(N50+K50)*K10*C55</f>
        <v>0.96516151533373418</v>
      </c>
      <c r="O55" s="15">
        <f>N49/(K49+N49)*(1-K10)*C55</f>
        <v>1.2601515333734213E-2</v>
      </c>
      <c r="P55" s="84">
        <f>N50/(K50+N50)*K10*C55</f>
        <v>0.95255999999999996</v>
      </c>
      <c r="Q55" s="55" t="s">
        <v>25</v>
      </c>
      <c r="R55" s="66"/>
      <c r="S55" s="57"/>
      <c r="T55" s="57"/>
    </row>
    <row r="56" spans="2:20" x14ac:dyDescent="0.2">
      <c r="B56" s="43" t="s">
        <v>106</v>
      </c>
      <c r="C56" s="2"/>
      <c r="D56" s="37"/>
      <c r="E56" s="2">
        <f>E47*E73</f>
        <v>24</v>
      </c>
      <c r="F56" s="40">
        <v>0</v>
      </c>
      <c r="G56" s="39">
        <v>0</v>
      </c>
      <c r="H56" s="111" t="e">
        <f>I56+J56</f>
        <v>#NAME?</v>
      </c>
      <c r="I56" s="41" t="e">
        <f>$I$49*I73/1000</f>
        <v>#NAME?</v>
      </c>
      <c r="J56" s="132">
        <f>$J$50*J73/1000</f>
        <v>3.4687478159580658E-4</v>
      </c>
      <c r="K56" s="111" t="e">
        <f>L56+M56</f>
        <v>#NAME?</v>
      </c>
      <c r="L56" s="9" t="e">
        <f>$L$49*L73/1000</f>
        <v>#NAME?</v>
      </c>
      <c r="M56" s="127">
        <f>$M$50*M73/1000</f>
        <v>3.4687478159580658E-5</v>
      </c>
      <c r="N56" s="111" t="e">
        <f>O56+P56</f>
        <v>#NAME?</v>
      </c>
      <c r="O56" s="9" t="e">
        <f>$O$49*O73/1000</f>
        <v>#NAME?</v>
      </c>
      <c r="P56" s="127">
        <f>$P$50*P73/1000</f>
        <v>3.1218730343622597E-4</v>
      </c>
      <c r="Q56" s="43" t="s">
        <v>106</v>
      </c>
      <c r="R56" s="66"/>
      <c r="S56" s="57"/>
      <c r="T56" s="57"/>
    </row>
    <row r="57" spans="2:20" x14ac:dyDescent="0.2">
      <c r="B57" s="43" t="s">
        <v>107</v>
      </c>
      <c r="C57" s="2"/>
      <c r="D57" s="37"/>
      <c r="E57" s="2">
        <f>E47*E74</f>
        <v>24</v>
      </c>
      <c r="F57" s="40">
        <v>0</v>
      </c>
      <c r="G57" s="39">
        <v>0</v>
      </c>
      <c r="H57" s="111">
        <f t="shared" ref="H57:H58" si="1">I57+J57</f>
        <v>20.355407273216688</v>
      </c>
      <c r="I57" s="41">
        <f t="shared" ref="I57:I58" si="2">$I$49*I74/1000</f>
        <v>20.355119999999999</v>
      </c>
      <c r="J57" s="132">
        <f t="shared" ref="J57:J58" si="3">$J$50*J74/1000</f>
        <v>2.8727321668909825E-4</v>
      </c>
      <c r="K57" s="111">
        <f t="shared" ref="K57:K58" si="4">L57+M57</f>
        <v>19.991620727321671</v>
      </c>
      <c r="L57" s="9">
        <f t="shared" ref="L57:L58" si="5">$L$49*L74/1000</f>
        <v>19.991592000000001</v>
      </c>
      <c r="M57" s="127">
        <f t="shared" ref="M57:M58" si="6">$M$50*M74/1000</f>
        <v>2.8727321668909822E-5</v>
      </c>
      <c r="N57" s="111">
        <f t="shared" ref="N57:N58" si="7">O57+P57</f>
        <v>0.36378654589502013</v>
      </c>
      <c r="O57" s="9">
        <f t="shared" ref="O57:O58" si="8">$O$49*O74/1000</f>
        <v>0.36352799999999996</v>
      </c>
      <c r="P57" s="127">
        <f t="shared" ref="P57:P58" si="9">$P$50*P74/1000</f>
        <v>2.5854589502018844E-4</v>
      </c>
      <c r="Q57" s="43" t="s">
        <v>107</v>
      </c>
      <c r="R57" s="66"/>
      <c r="S57" s="57"/>
      <c r="T57" s="57"/>
    </row>
    <row r="58" spans="2:20" x14ac:dyDescent="0.2">
      <c r="B58" s="43" t="s">
        <v>108</v>
      </c>
      <c r="C58" s="2"/>
      <c r="D58" s="37"/>
      <c r="E58" s="2">
        <f>E47*E75</f>
        <v>24</v>
      </c>
      <c r="F58" s="40">
        <v>0</v>
      </c>
      <c r="G58" s="39">
        <v>0</v>
      </c>
      <c r="H58" s="111">
        <f t="shared" si="1"/>
        <v>18.918415633765548</v>
      </c>
      <c r="I58" s="41">
        <f t="shared" si="2"/>
        <v>18.918288</v>
      </c>
      <c r="J58" s="132">
        <f t="shared" si="3"/>
        <v>1.2763376554644087E-4</v>
      </c>
      <c r="K58" s="111">
        <f t="shared" si="4"/>
        <v>18.580433563376552</v>
      </c>
      <c r="L58" s="9">
        <f t="shared" si="5"/>
        <v>18.580420799999999</v>
      </c>
      <c r="M58" s="127">
        <f t="shared" si="6"/>
        <v>1.2763376554644084E-5</v>
      </c>
      <c r="N58" s="111">
        <f t="shared" si="7"/>
        <v>0.33798207038899175</v>
      </c>
      <c r="O58" s="9">
        <f t="shared" si="8"/>
        <v>0.33786719999999998</v>
      </c>
      <c r="P58" s="127">
        <f t="shared" si="9"/>
        <v>1.1487038899179677E-4</v>
      </c>
      <c r="Q58" s="43" t="s">
        <v>108</v>
      </c>
      <c r="R58" s="66"/>
      <c r="S58" s="57"/>
      <c r="T58" s="57"/>
    </row>
    <row r="59" spans="2:20" x14ac:dyDescent="0.2">
      <c r="B59" s="12" t="s">
        <v>37</v>
      </c>
      <c r="C59" s="2"/>
      <c r="D59" s="37">
        <v>0</v>
      </c>
      <c r="E59" s="2"/>
      <c r="F59" s="40">
        <v>0</v>
      </c>
      <c r="G59" s="39" t="s">
        <v>32</v>
      </c>
      <c r="H59" s="109">
        <f>K59+N59</f>
        <v>272.976</v>
      </c>
      <c r="I59" s="1"/>
      <c r="J59" s="96"/>
      <c r="K59" s="102">
        <f>$K$50*K3</f>
        <v>27.297599999999996</v>
      </c>
      <c r="L59" s="37">
        <v>0</v>
      </c>
      <c r="M59" s="82">
        <f>K59</f>
        <v>27.297599999999996</v>
      </c>
      <c r="N59" s="80">
        <f>$N$50*K3</f>
        <v>245.67840000000001</v>
      </c>
      <c r="O59" s="37">
        <v>0</v>
      </c>
      <c r="P59" s="82">
        <f>N59</f>
        <v>245.67840000000001</v>
      </c>
      <c r="Q59" s="55" t="s">
        <v>37</v>
      </c>
      <c r="R59" s="63"/>
      <c r="S59" s="59"/>
      <c r="T59" s="59"/>
    </row>
    <row r="60" spans="2:20" x14ac:dyDescent="0.2">
      <c r="B60" s="12" t="s">
        <v>38</v>
      </c>
      <c r="C60" s="2"/>
      <c r="D60" s="37">
        <v>0</v>
      </c>
      <c r="E60" s="2"/>
      <c r="F60" s="40">
        <v>0</v>
      </c>
      <c r="G60" s="39" t="s">
        <v>32</v>
      </c>
      <c r="H60" s="109">
        <f>K60+N60</f>
        <v>117.744</v>
      </c>
      <c r="I60" s="1"/>
      <c r="J60" s="96"/>
      <c r="K60" s="102">
        <f>$K$50*K4</f>
        <v>11.774399999999998</v>
      </c>
      <c r="L60" s="37">
        <v>0</v>
      </c>
      <c r="M60" s="82">
        <f t="shared" ref="M60:M61" si="10">K60</f>
        <v>11.774399999999998</v>
      </c>
      <c r="N60" s="80">
        <f>$N$50*K4</f>
        <v>105.9696</v>
      </c>
      <c r="O60" s="37">
        <v>0</v>
      </c>
      <c r="P60" s="82">
        <f t="shared" ref="P60:P61" si="11">N60</f>
        <v>105.9696</v>
      </c>
      <c r="Q60" s="55" t="s">
        <v>38</v>
      </c>
      <c r="R60" s="63"/>
      <c r="S60" s="59"/>
      <c r="T60" s="59"/>
    </row>
    <row r="61" spans="2:20" x14ac:dyDescent="0.2">
      <c r="B61" s="12" t="s">
        <v>39</v>
      </c>
      <c r="C61" s="2"/>
      <c r="D61" s="37">
        <v>0</v>
      </c>
      <c r="E61" s="2"/>
      <c r="F61" s="40">
        <v>0</v>
      </c>
      <c r="G61" s="39" t="s">
        <v>32</v>
      </c>
      <c r="H61" s="109">
        <f>K61+N61</f>
        <v>70.751999999999995</v>
      </c>
      <c r="I61" s="1"/>
      <c r="J61" s="96"/>
      <c r="K61" s="102">
        <f>$K$50*K5</f>
        <v>7.0751999999999988</v>
      </c>
      <c r="L61" s="37">
        <v>0</v>
      </c>
      <c r="M61" s="82">
        <f t="shared" si="10"/>
        <v>7.0751999999999988</v>
      </c>
      <c r="N61" s="80">
        <f>$N$50*K5</f>
        <v>63.6768</v>
      </c>
      <c r="O61" s="37">
        <v>0</v>
      </c>
      <c r="P61" s="82">
        <f t="shared" si="11"/>
        <v>63.6768</v>
      </c>
      <c r="Q61" s="55" t="s">
        <v>39</v>
      </c>
      <c r="R61" s="63"/>
      <c r="S61" s="59"/>
      <c r="T61" s="59"/>
    </row>
    <row r="62" spans="2:20" hidden="1" x14ac:dyDescent="0.2">
      <c r="B62" s="12" t="s">
        <v>47</v>
      </c>
      <c r="C62" s="14">
        <v>1.4800000000000001E-2</v>
      </c>
      <c r="D62" s="37" t="s">
        <v>32</v>
      </c>
      <c r="E62" s="2" t="e">
        <f>C62+#REF!</f>
        <v>#REF!</v>
      </c>
      <c r="G62" s="39" t="s">
        <v>32</v>
      </c>
      <c r="H62" s="109" t="e">
        <f>K62+N62</f>
        <v>#REF!</v>
      </c>
      <c r="J62" s="85"/>
      <c r="K62" s="102" t="e">
        <f>#REF!+#REF!</f>
        <v>#REF!</v>
      </c>
      <c r="M62" s="85"/>
      <c r="N62" s="89" t="e">
        <f>N50/(N50+#REF!)*(1-D22)*C62+N49/(N49+#REF!)*D22*C62</f>
        <v>#REF!</v>
      </c>
      <c r="P62" s="85"/>
      <c r="Q62" s="55" t="s">
        <v>47</v>
      </c>
      <c r="R62" s="63"/>
      <c r="S62" s="61"/>
      <c r="T62" s="61"/>
    </row>
    <row r="63" spans="2:20" ht="16" thickBot="1" x14ac:dyDescent="0.25">
      <c r="B63" s="22" t="s">
        <v>69</v>
      </c>
      <c r="H63" s="90">
        <f>H59/H53</f>
        <v>3.078547068694852</v>
      </c>
      <c r="I63" s="112"/>
      <c r="J63" s="113"/>
      <c r="K63" s="107"/>
      <c r="L63" s="86"/>
      <c r="M63" s="87">
        <f t="shared" ref="M63" si="12">M59/M53</f>
        <v>5.2012072434607646</v>
      </c>
      <c r="N63" s="90"/>
      <c r="O63" s="86"/>
      <c r="P63" s="87">
        <f>P59/P53</f>
        <v>5.2012072434607655</v>
      </c>
      <c r="Q63" s="56" t="s">
        <v>69</v>
      </c>
      <c r="R63" s="63"/>
      <c r="S63" s="59"/>
      <c r="T63" s="59"/>
    </row>
    <row r="64" spans="2:20" ht="16" thickBot="1" x14ac:dyDescent="0.25">
      <c r="P64" s="33"/>
      <c r="R64" s="63"/>
      <c r="S64" s="61"/>
      <c r="T64" s="61"/>
    </row>
    <row r="65" spans="2:20" ht="16" thickBot="1" x14ac:dyDescent="0.25">
      <c r="B65" s="8" t="s">
        <v>22</v>
      </c>
      <c r="C65" s="10" t="s">
        <v>48</v>
      </c>
      <c r="D65" s="10" t="s">
        <v>49</v>
      </c>
      <c r="E65" s="10" t="s">
        <v>52</v>
      </c>
      <c r="G65" s="24"/>
      <c r="H65" s="108" t="s">
        <v>91</v>
      </c>
      <c r="I65" s="119" t="s">
        <v>84</v>
      </c>
      <c r="J65" s="115" t="s">
        <v>105</v>
      </c>
      <c r="K65" s="139" t="s">
        <v>94</v>
      </c>
      <c r="L65" s="114" t="s">
        <v>95</v>
      </c>
      <c r="M65" s="115" t="s">
        <v>124</v>
      </c>
      <c r="N65" s="77" t="s">
        <v>97</v>
      </c>
      <c r="O65" s="78" t="s">
        <v>98</v>
      </c>
      <c r="P65" s="115" t="s">
        <v>125</v>
      </c>
      <c r="Q65" s="54" t="s">
        <v>22</v>
      </c>
      <c r="R65" s="24"/>
      <c r="S65" s="24"/>
      <c r="T65" s="24"/>
    </row>
    <row r="66" spans="2:20" ht="13" customHeight="1" x14ac:dyDescent="0.2">
      <c r="B66" s="12" t="s">
        <v>34</v>
      </c>
      <c r="C66" s="37">
        <v>0</v>
      </c>
      <c r="D66" s="37">
        <v>0</v>
      </c>
      <c r="E66" s="2">
        <f>E50/E47</f>
        <v>0</v>
      </c>
      <c r="G66" s="3"/>
      <c r="H66" s="125">
        <f>H50/H47</f>
        <v>2200</v>
      </c>
      <c r="I66" s="1"/>
      <c r="J66" s="96"/>
      <c r="K66" s="136">
        <f>K50/K47</f>
        <v>224.44399102224034</v>
      </c>
      <c r="L66" s="137"/>
      <c r="M66" s="140"/>
      <c r="N66" s="98">
        <f>N50/N47</f>
        <v>100000</v>
      </c>
      <c r="O66" s="1"/>
      <c r="P66" s="99"/>
      <c r="Q66" s="55" t="s">
        <v>34</v>
      </c>
      <c r="R66" s="63"/>
      <c r="S66" s="58"/>
      <c r="T66" s="58"/>
    </row>
    <row r="67" spans="2:20" x14ac:dyDescent="0.2">
      <c r="B67" s="12" t="s">
        <v>30</v>
      </c>
      <c r="C67" s="37">
        <f>E4</f>
        <v>200</v>
      </c>
      <c r="D67" s="37">
        <v>0</v>
      </c>
      <c r="E67" s="2">
        <f>E51/E47</f>
        <v>10</v>
      </c>
      <c r="G67" s="3"/>
      <c r="H67" s="125">
        <f>H51/H47</f>
        <v>2200</v>
      </c>
      <c r="I67" s="1"/>
      <c r="J67" s="96"/>
      <c r="K67" s="80">
        <f>K51/K47</f>
        <v>224.44399102224034</v>
      </c>
      <c r="L67" s="2"/>
      <c r="M67" s="133"/>
      <c r="N67" s="98">
        <f>N51/N47</f>
        <v>100000</v>
      </c>
      <c r="O67" s="1"/>
      <c r="P67" s="100"/>
      <c r="Q67" s="55" t="s">
        <v>30</v>
      </c>
      <c r="R67" s="63"/>
      <c r="S67" s="42"/>
      <c r="T67" s="57"/>
    </row>
    <row r="68" spans="2:20" x14ac:dyDescent="0.2">
      <c r="B68" s="12" t="s">
        <v>26</v>
      </c>
      <c r="C68" s="37">
        <f>E5</f>
        <v>28900</v>
      </c>
      <c r="D68" s="37">
        <v>0</v>
      </c>
      <c r="E68" s="2">
        <f>E52/E47</f>
        <v>1445</v>
      </c>
      <c r="G68" s="3"/>
      <c r="H68" s="109">
        <f>H52/H47</f>
        <v>1445.1399999999999</v>
      </c>
      <c r="I68" s="1"/>
      <c r="J68" s="96"/>
      <c r="K68" s="80">
        <f>K52/K47</f>
        <v>277.4773847496117</v>
      </c>
      <c r="L68" s="2">
        <f>L52/L49*I19</f>
        <v>144.81860092202845</v>
      </c>
      <c r="M68" s="51"/>
      <c r="N68" s="80">
        <f>N52/$N$47</f>
        <v>59250.336740829822</v>
      </c>
      <c r="O68" s="2">
        <f>O52/O49*I19</f>
        <v>144.81860092202845</v>
      </c>
      <c r="P68" s="100"/>
      <c r="Q68" s="55" t="s">
        <v>26</v>
      </c>
      <c r="R68" s="57"/>
      <c r="S68" s="62"/>
      <c r="T68" s="62"/>
    </row>
    <row r="69" spans="2:20" x14ac:dyDescent="0.2">
      <c r="B69" s="12" t="s">
        <v>27</v>
      </c>
      <c r="C69" s="37">
        <f>E6</f>
        <v>7540</v>
      </c>
      <c r="D69" s="37">
        <v>0</v>
      </c>
      <c r="E69" s="2">
        <f>E53/E47</f>
        <v>377.00000000000006</v>
      </c>
      <c r="G69" s="3"/>
      <c r="H69" s="109">
        <f>H53/H47</f>
        <v>369.46000000000004</v>
      </c>
      <c r="I69" s="1"/>
      <c r="J69" s="96"/>
      <c r="K69" s="83">
        <f>K53/K47</f>
        <v>173.40830340930827</v>
      </c>
      <c r="L69" s="15">
        <f>L53/L49*I19</f>
        <v>151.13249148125877</v>
      </c>
      <c r="M69" s="133"/>
      <c r="N69" s="83">
        <f>N53/$N$47</f>
        <v>10076.019242333132</v>
      </c>
      <c r="O69" s="15">
        <f>O53/O49*I19</f>
        <v>151.13249148125877</v>
      </c>
      <c r="P69" s="100"/>
      <c r="Q69" s="55" t="s">
        <v>27</v>
      </c>
      <c r="R69" s="57"/>
      <c r="S69" s="62"/>
      <c r="T69" s="62"/>
    </row>
    <row r="70" spans="2:20" x14ac:dyDescent="0.2">
      <c r="B70" s="12" t="s">
        <v>63</v>
      </c>
      <c r="C70" s="37">
        <f>E7</f>
        <v>470</v>
      </c>
      <c r="D70" s="37">
        <v>0</v>
      </c>
      <c r="E70" s="2">
        <f>E54/E47</f>
        <v>23.5</v>
      </c>
      <c r="G70" s="68"/>
      <c r="H70" s="110">
        <f>H54/H49*I19</f>
        <v>1.8641010222489462</v>
      </c>
      <c r="I70" s="1"/>
      <c r="J70" s="96"/>
      <c r="K70" s="83">
        <f>K54/K49*I19</f>
        <v>1.8641010222489462</v>
      </c>
      <c r="L70" s="15">
        <f>L54/L49*I19</f>
        <v>1.8641010222489462</v>
      </c>
      <c r="M70" s="39"/>
      <c r="N70" s="83">
        <f>N54/N49*1000</f>
        <v>1.8641010222489458</v>
      </c>
      <c r="O70" s="15">
        <f>O54/O49*I19</f>
        <v>1.8641010222489458</v>
      </c>
      <c r="P70" s="81"/>
      <c r="Q70" s="55" t="s">
        <v>63</v>
      </c>
      <c r="R70" s="63"/>
      <c r="S70" s="62"/>
      <c r="T70" s="58"/>
    </row>
    <row r="71" spans="2:20" x14ac:dyDescent="0.2">
      <c r="B71" s="12" t="s">
        <v>28</v>
      </c>
      <c r="C71" s="37">
        <f>E8</f>
        <v>146.99999999999997</v>
      </c>
      <c r="D71" s="37">
        <v>0</v>
      </c>
      <c r="E71" s="2">
        <f>E55/E47</f>
        <v>7.35</v>
      </c>
      <c r="G71" s="23"/>
      <c r="H71" s="109">
        <f>H55/H47</f>
        <v>7.35</v>
      </c>
      <c r="I71" s="1"/>
      <c r="J71" s="96"/>
      <c r="K71" s="80">
        <f>K55/K47</f>
        <v>3.3957291227396866</v>
      </c>
      <c r="L71" s="2">
        <f>L55/L49*I19</f>
        <v>2.9464822609741432</v>
      </c>
      <c r="M71" s="133"/>
      <c r="N71" s="80">
        <f>N55/$N$47</f>
        <v>203.10637948942218</v>
      </c>
      <c r="O71" s="2">
        <f>O55/O49*I19</f>
        <v>2.9464822609741428</v>
      </c>
      <c r="P71" s="143"/>
      <c r="Q71" s="55" t="s">
        <v>28</v>
      </c>
      <c r="R71" s="57"/>
      <c r="S71" s="62"/>
      <c r="T71" s="62"/>
    </row>
    <row r="72" spans="2:20" hidden="1" x14ac:dyDescent="0.2">
      <c r="B72" s="12" t="s">
        <v>46</v>
      </c>
      <c r="C72" s="37"/>
      <c r="D72" s="37" t="s">
        <v>32</v>
      </c>
      <c r="E72" s="16" t="e">
        <f>E62/E47</f>
        <v>#REF!</v>
      </c>
      <c r="G72" s="124" t="s">
        <v>32</v>
      </c>
      <c r="H72" s="126" t="e">
        <f>H62/H47</f>
        <v>#REF!</v>
      </c>
      <c r="I72" s="16" t="e">
        <f>J72</f>
        <v>#REF!</v>
      </c>
      <c r="J72" s="127" t="e">
        <f>K72</f>
        <v>#REF!</v>
      </c>
      <c r="K72" s="138" t="e">
        <f>#REF!/#REF!</f>
        <v>#REF!</v>
      </c>
      <c r="L72" s="2" t="e">
        <f>N62/N47</f>
        <v>#REF!</v>
      </c>
      <c r="M72" s="141"/>
      <c r="N72" s="144"/>
      <c r="O72" s="135"/>
      <c r="P72" s="145"/>
      <c r="Q72" s="60"/>
      <c r="S72" s="61"/>
      <c r="T72" s="61"/>
    </row>
    <row r="73" spans="2:20" x14ac:dyDescent="0.2">
      <c r="B73" s="43" t="s">
        <v>81</v>
      </c>
      <c r="C73" s="37"/>
      <c r="D73" s="37"/>
      <c r="E73" s="5">
        <v>100</v>
      </c>
      <c r="G73" s="23"/>
      <c r="H73" s="128"/>
      <c r="I73" s="148" t="e" cm="1">
        <f t="array" ref="I73">G144ç</f>
        <v>#NAME?</v>
      </c>
      <c r="J73" s="222">
        <f>G150</f>
        <v>6.5695981362842162E-4</v>
      </c>
      <c r="K73" s="138"/>
      <c r="L73" s="2" t="e">
        <f>I73</f>
        <v>#NAME?</v>
      </c>
      <c r="M73" s="53">
        <f>J73</f>
        <v>6.5695981362842162E-4</v>
      </c>
      <c r="N73" s="144"/>
      <c r="O73" s="2" t="e">
        <f>I73</f>
        <v>#NAME?</v>
      </c>
      <c r="P73" s="127">
        <f>M73</f>
        <v>6.5695981362842162E-4</v>
      </c>
      <c r="Q73" s="142" t="s">
        <v>81</v>
      </c>
      <c r="S73" s="61"/>
      <c r="T73" s="61"/>
    </row>
    <row r="74" spans="2:20" x14ac:dyDescent="0.2">
      <c r="B74" s="43" t="s">
        <v>82</v>
      </c>
      <c r="C74" s="37"/>
      <c r="D74" s="37"/>
      <c r="E74" s="5">
        <v>100</v>
      </c>
      <c r="G74" s="23"/>
      <c r="H74" s="128"/>
      <c r="I74" s="148">
        <f t="shared" ref="I74:I75" si="13">G145</f>
        <v>85</v>
      </c>
      <c r="J74" s="223">
        <f t="shared" ref="J74:J75" si="14">G151</f>
        <v>5.4407806191117099E-4</v>
      </c>
      <c r="K74" s="138"/>
      <c r="L74" s="2">
        <f t="shared" ref="L74:M75" si="15">I74</f>
        <v>85</v>
      </c>
      <c r="M74" s="53">
        <f t="shared" si="15"/>
        <v>5.4407806191117099E-4</v>
      </c>
      <c r="N74" s="144"/>
      <c r="O74" s="2">
        <f t="shared" ref="O74:O75" si="16">I74</f>
        <v>85</v>
      </c>
      <c r="P74" s="127">
        <f t="shared" ref="P74:P75" si="17">M74</f>
        <v>5.4407806191117099E-4</v>
      </c>
      <c r="Q74" s="142" t="s">
        <v>82</v>
      </c>
      <c r="S74" s="61"/>
      <c r="T74" s="61"/>
    </row>
    <row r="75" spans="2:20" ht="16" thickBot="1" x14ac:dyDescent="0.25">
      <c r="B75" s="43" t="s">
        <v>83</v>
      </c>
      <c r="C75" s="1"/>
      <c r="D75" s="1"/>
      <c r="E75" s="5">
        <v>100</v>
      </c>
      <c r="H75" s="129"/>
      <c r="I75" s="230">
        <f t="shared" si="13"/>
        <v>79</v>
      </c>
      <c r="J75" s="225">
        <f t="shared" si="14"/>
        <v>2.4173061656522892E-4</v>
      </c>
      <c r="K75" s="120"/>
      <c r="L75" s="97">
        <f t="shared" si="15"/>
        <v>79</v>
      </c>
      <c r="M75" s="134">
        <f t="shared" si="15"/>
        <v>2.4173061656522892E-4</v>
      </c>
      <c r="N75" s="146"/>
      <c r="O75" s="97">
        <f t="shared" si="16"/>
        <v>79</v>
      </c>
      <c r="P75" s="130">
        <f t="shared" si="17"/>
        <v>2.4173061656522892E-4</v>
      </c>
      <c r="Q75" s="142" t="s">
        <v>83</v>
      </c>
      <c r="S75" s="61"/>
      <c r="T75" s="61"/>
    </row>
    <row r="76" spans="2:20" x14ac:dyDescent="0.2">
      <c r="M76" s="33"/>
      <c r="N76" s="33"/>
      <c r="O76" s="33"/>
      <c r="P76" s="60"/>
      <c r="Q76" s="60"/>
      <c r="S76" s="61"/>
      <c r="T76" s="61"/>
    </row>
    <row r="77" spans="2:20" x14ac:dyDescent="0.2">
      <c r="C77" s="23"/>
      <c r="D77" s="23"/>
      <c r="E77" s="23"/>
      <c r="F77" s="23"/>
      <c r="G77" s="23"/>
      <c r="H77" s="23"/>
      <c r="I77" s="23"/>
      <c r="J77" s="23"/>
      <c r="K77" s="23"/>
      <c r="L77" s="34"/>
      <c r="M77" s="34"/>
      <c r="N77" s="34"/>
      <c r="O77" s="23"/>
    </row>
    <row r="78" spans="2:20" x14ac:dyDescent="0.2">
      <c r="F78" s="23" t="s">
        <v>78</v>
      </c>
      <c r="G78" s="23" t="s">
        <v>79</v>
      </c>
      <c r="H78" s="23" t="s">
        <v>80</v>
      </c>
      <c r="K78" s="17"/>
    </row>
    <row r="79" spans="2:20" x14ac:dyDescent="0.2">
      <c r="D79" t="s">
        <v>73</v>
      </c>
      <c r="E79" s="23" t="s">
        <v>74</v>
      </c>
      <c r="F79" s="23" t="s">
        <v>75</v>
      </c>
      <c r="G79" t="s">
        <v>77</v>
      </c>
      <c r="I79" s="17"/>
      <c r="J79" s="17"/>
      <c r="K79" s="121"/>
    </row>
    <row r="80" spans="2:20" x14ac:dyDescent="0.2">
      <c r="D80" t="s">
        <v>24</v>
      </c>
      <c r="E80" s="20">
        <f>C53</f>
        <v>90.48</v>
      </c>
      <c r="F80" s="20">
        <f>G53+K53+N53</f>
        <v>90.484800000000007</v>
      </c>
      <c r="G80" s="23"/>
      <c r="H80" s="23"/>
      <c r="K80" s="121"/>
    </row>
    <row r="81" spans="1:14" x14ac:dyDescent="0.2">
      <c r="D81" t="s">
        <v>86</v>
      </c>
      <c r="E81" s="20">
        <f>C55</f>
        <v>1.7639999999999998</v>
      </c>
      <c r="F81" s="20">
        <f>K55+N55</f>
        <v>1.7639999999999998</v>
      </c>
      <c r="G81" s="23"/>
      <c r="H81" s="23"/>
    </row>
    <row r="82" spans="1:14" x14ac:dyDescent="0.2">
      <c r="D82" t="s">
        <v>87</v>
      </c>
      <c r="E82" s="20">
        <f>C54</f>
        <v>5.64</v>
      </c>
      <c r="F82" s="3">
        <f>G54+K54+N54</f>
        <v>2.2559999999999998</v>
      </c>
      <c r="G82" s="72">
        <f>K9*E54</f>
        <v>3.3839999999999999</v>
      </c>
      <c r="H82" s="20">
        <f>F82+G82</f>
        <v>5.64</v>
      </c>
    </row>
    <row r="83" spans="1:14" x14ac:dyDescent="0.2">
      <c r="D83" t="s">
        <v>88</v>
      </c>
      <c r="E83" s="20">
        <f>C47+D47+F47</f>
        <v>0.315</v>
      </c>
      <c r="F83" s="20">
        <f>G47+K47+N47</f>
        <v>0.31499999999999995</v>
      </c>
    </row>
    <row r="85" spans="1:14" x14ac:dyDescent="0.2">
      <c r="D85" t="s">
        <v>101</v>
      </c>
      <c r="E85" s="101">
        <f>K3/5</f>
        <v>0.10340000000000001</v>
      </c>
      <c r="F85" s="73">
        <v>9.9400000000000002E-2</v>
      </c>
    </row>
    <row r="86" spans="1:14" x14ac:dyDescent="0.2">
      <c r="D86" t="s">
        <v>102</v>
      </c>
      <c r="E86">
        <f>E85*H50</f>
        <v>54.595200000000006</v>
      </c>
      <c r="F86" s="17">
        <f>F85*H50</f>
        <v>52.483200000000004</v>
      </c>
    </row>
    <row r="87" spans="1:14" x14ac:dyDescent="0.2">
      <c r="D87" t="s">
        <v>103</v>
      </c>
      <c r="E87" s="17">
        <f>H53-(L53+O53)</f>
        <v>52.478400000000001</v>
      </c>
      <c r="F87" s="17">
        <f>H53-(L53+O53)</f>
        <v>52.478400000000001</v>
      </c>
    </row>
    <row r="88" spans="1:14" x14ac:dyDescent="0.2">
      <c r="E88" s="17"/>
      <c r="F88" s="17"/>
    </row>
    <row r="89" spans="1:14" x14ac:dyDescent="0.2">
      <c r="E89" s="17"/>
      <c r="F89" s="17"/>
    </row>
    <row r="90" spans="1:14" x14ac:dyDescent="0.2">
      <c r="A90" s="219"/>
      <c r="B90" s="219"/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</row>
    <row r="91" spans="1:14" ht="19" x14ac:dyDescent="0.25">
      <c r="B91" s="178" t="s">
        <v>130</v>
      </c>
      <c r="C91" s="179"/>
      <c r="D91" s="179"/>
    </row>
    <row r="92" spans="1:14" ht="19" x14ac:dyDescent="0.25">
      <c r="B92" s="178"/>
      <c r="C92" s="179"/>
      <c r="D92" s="179"/>
    </row>
    <row r="93" spans="1:14" ht="19" x14ac:dyDescent="0.25">
      <c r="B93" s="178" t="s">
        <v>148</v>
      </c>
      <c r="C93" s="179"/>
      <c r="D93" s="179"/>
    </row>
    <row r="94" spans="1:14" x14ac:dyDescent="0.2">
      <c r="J94" t="s">
        <v>131</v>
      </c>
    </row>
    <row r="95" spans="1:14" x14ac:dyDescent="0.2">
      <c r="B95" s="4" t="s">
        <v>109</v>
      </c>
      <c r="G95" s="4" t="s">
        <v>113</v>
      </c>
      <c r="J95" s="147" t="s">
        <v>122</v>
      </c>
      <c r="K95" s="147" t="s">
        <v>123</v>
      </c>
      <c r="L95" s="12"/>
    </row>
    <row r="96" spans="1:14" x14ac:dyDescent="0.2">
      <c r="J96" s="37">
        <v>9.3000000000000007</v>
      </c>
      <c r="K96" s="16">
        <f>1/((1/(C101*D101*J96))+(1/C101))</f>
        <v>3.9899295477672993E-2</v>
      </c>
      <c r="L96" s="12" t="s">
        <v>110</v>
      </c>
    </row>
    <row r="97" spans="2:12" x14ac:dyDescent="0.2">
      <c r="J97" s="37">
        <v>19</v>
      </c>
      <c r="K97" s="16">
        <f>1/(1/(C102*D102*J97)+1/C102)</f>
        <v>3.5616703771669166E-2</v>
      </c>
      <c r="L97" s="12" t="s">
        <v>111</v>
      </c>
    </row>
    <row r="98" spans="2:12" x14ac:dyDescent="0.2">
      <c r="J98" s="37">
        <v>46</v>
      </c>
      <c r="K98" s="16">
        <f>1/(1/(C103*D103*J98)+1/C103)</f>
        <v>1.8960191348525023E-2</v>
      </c>
      <c r="L98" s="12" t="s">
        <v>112</v>
      </c>
    </row>
    <row r="99" spans="2:12" x14ac:dyDescent="0.2">
      <c r="G99" t="s">
        <v>114</v>
      </c>
    </row>
    <row r="100" spans="2:12" ht="22" x14ac:dyDescent="0.25">
      <c r="B100" s="1"/>
      <c r="C100" s="122" t="s">
        <v>116</v>
      </c>
      <c r="D100" s="122" t="s">
        <v>117</v>
      </c>
    </row>
    <row r="101" spans="2:12" ht="19" x14ac:dyDescent="0.25">
      <c r="B101" s="123" t="s">
        <v>110</v>
      </c>
      <c r="C101" s="37">
        <v>0.83</v>
      </c>
      <c r="D101" s="16">
        <v>5.4299999999999999E-3</v>
      </c>
    </row>
    <row r="102" spans="2:12" ht="22" x14ac:dyDescent="0.25">
      <c r="B102" s="123" t="s">
        <v>111</v>
      </c>
      <c r="C102" s="37">
        <v>0.52</v>
      </c>
      <c r="D102" s="16">
        <v>3.8700000000000002E-3</v>
      </c>
      <c r="G102" s="1"/>
      <c r="H102" s="122" t="s">
        <v>115</v>
      </c>
    </row>
    <row r="103" spans="2:12" ht="19" x14ac:dyDescent="0.25">
      <c r="B103" s="123" t="s">
        <v>112</v>
      </c>
      <c r="C103" s="37">
        <v>0.26</v>
      </c>
      <c r="D103" s="16">
        <v>1.7099999999999999E-3</v>
      </c>
      <c r="G103" s="123" t="s">
        <v>110</v>
      </c>
      <c r="H103" s="217">
        <v>3.0000000000000001E-3</v>
      </c>
      <c r="I103" t="s">
        <v>149</v>
      </c>
    </row>
    <row r="104" spans="2:12" ht="19" x14ac:dyDescent="0.25">
      <c r="G104" s="123" t="s">
        <v>111</v>
      </c>
      <c r="H104" s="217">
        <v>1.4E-3</v>
      </c>
    </row>
    <row r="105" spans="2:12" ht="19" x14ac:dyDescent="0.25">
      <c r="G105" s="123" t="s">
        <v>112</v>
      </c>
      <c r="H105" s="217">
        <v>2.2000000000000001E-3</v>
      </c>
    </row>
    <row r="107" spans="2:12" x14ac:dyDescent="0.2">
      <c r="B107" s="4" t="s">
        <v>118</v>
      </c>
    </row>
    <row r="114" spans="1:15" ht="16" thickBot="1" x14ac:dyDescent="0.25"/>
    <row r="115" spans="1:15" x14ac:dyDescent="0.2">
      <c r="B115" s="150"/>
      <c r="C115" s="116"/>
      <c r="D115" s="152"/>
      <c r="E115" s="117"/>
      <c r="G115" s="241" t="s">
        <v>142</v>
      </c>
      <c r="H115" s="242"/>
      <c r="I115" s="243"/>
    </row>
    <row r="116" spans="1:15" ht="16" thickBot="1" x14ac:dyDescent="0.25">
      <c r="B116" s="151"/>
      <c r="C116" s="118"/>
      <c r="E116" s="85"/>
      <c r="G116" s="251" t="s">
        <v>127</v>
      </c>
      <c r="H116" s="252"/>
      <c r="I116" s="173" t="s">
        <v>126</v>
      </c>
      <c r="J116" t="s">
        <v>129</v>
      </c>
    </row>
    <row r="117" spans="1:15" ht="16" thickTop="1" x14ac:dyDescent="0.2">
      <c r="A117" s="182" t="s">
        <v>110</v>
      </c>
      <c r="B117" s="180">
        <f>E47*E73</f>
        <v>24</v>
      </c>
      <c r="C117" s="153"/>
      <c r="D117" s="154">
        <f>H103*24*J96*D19+D14*D16*K96+H47*J96</f>
        <v>24.102348012211337</v>
      </c>
      <c r="E117" s="155"/>
      <c r="F117" t="s">
        <v>120</v>
      </c>
      <c r="G117" s="171">
        <f>J96</f>
        <v>9.3000000000000007</v>
      </c>
      <c r="H117" s="172" t="s">
        <v>121</v>
      </c>
      <c r="I117" s="163">
        <f>AVERAGE(28.98,20.77,19.29)</f>
        <v>23.013333333333332</v>
      </c>
      <c r="J117" t="s">
        <v>154</v>
      </c>
    </row>
    <row r="118" spans="1:15" x14ac:dyDescent="0.2">
      <c r="A118" s="183" t="s">
        <v>111</v>
      </c>
      <c r="B118" s="180">
        <f>E47*E74</f>
        <v>24</v>
      </c>
      <c r="C118" s="153"/>
      <c r="D118" s="154">
        <f>H104*24*J97*D19+D14*D16*K97+H47*J97</f>
        <v>24.131699591441318</v>
      </c>
      <c r="E118" s="155"/>
      <c r="F118" t="s">
        <v>120</v>
      </c>
      <c r="G118" s="162">
        <f t="shared" ref="G118:G119" si="18">J97</f>
        <v>19</v>
      </c>
      <c r="H118" s="55" t="s">
        <v>121</v>
      </c>
      <c r="I118" s="197">
        <f>AVERAGE(2.51,25.68,1.84)</f>
        <v>10.01</v>
      </c>
      <c r="J118" t="s">
        <v>152</v>
      </c>
    </row>
    <row r="119" spans="1:15" ht="16" thickBot="1" x14ac:dyDescent="0.25">
      <c r="A119" s="184" t="s">
        <v>112</v>
      </c>
      <c r="B119" s="181">
        <f>E47*E75</f>
        <v>24</v>
      </c>
      <c r="C119" s="156"/>
      <c r="D119" s="157">
        <f>H105*24*J98*D19+D14*D16*K98+H47*J98</f>
        <v>23.965541032021211</v>
      </c>
      <c r="E119" s="158"/>
      <c r="F119" t="s">
        <v>120</v>
      </c>
      <c r="G119" s="165">
        <f t="shared" si="18"/>
        <v>46</v>
      </c>
      <c r="H119" s="166" t="s">
        <v>121</v>
      </c>
      <c r="I119" s="167">
        <f>AVERAGE(25.44,23.57,71.54)</f>
        <v>40.183333333333337</v>
      </c>
      <c r="J119" t="s">
        <v>153</v>
      </c>
    </row>
    <row r="120" spans="1:15" ht="16" thickBot="1" x14ac:dyDescent="0.25">
      <c r="C120" s="23" t="s">
        <v>144</v>
      </c>
      <c r="D120" s="23" t="s">
        <v>145</v>
      </c>
      <c r="E120" s="23" t="s">
        <v>146</v>
      </c>
      <c r="J120" s="201"/>
    </row>
    <row r="121" spans="1:15" x14ac:dyDescent="0.2">
      <c r="A121" s="182" t="s">
        <v>110</v>
      </c>
      <c r="B121" s="208">
        <v>24</v>
      </c>
      <c r="C121" s="209">
        <f>H103*24*J96*$D$19</f>
        <v>0.80352000000000012</v>
      </c>
      <c r="D121" s="210">
        <f>$D$14*$D$16*K96</f>
        <v>21.066828012211339</v>
      </c>
      <c r="E121" s="212">
        <f>$H$47*J96</f>
        <v>2.2320000000000002</v>
      </c>
      <c r="G121" s="241" t="s">
        <v>119</v>
      </c>
      <c r="H121" s="242"/>
      <c r="I121" s="243"/>
      <c r="J121" s="201"/>
    </row>
    <row r="122" spans="1:15" ht="16" thickBot="1" x14ac:dyDescent="0.25">
      <c r="A122" s="183" t="s">
        <v>111</v>
      </c>
      <c r="B122" s="159">
        <v>24</v>
      </c>
      <c r="C122" s="207">
        <f>H104*24*J97*$D$19</f>
        <v>0.76607999999999998</v>
      </c>
      <c r="D122" s="154">
        <f>$D$14*$D$16*K97</f>
        <v>18.805619591441321</v>
      </c>
      <c r="E122" s="213">
        <f>$H$47*J97</f>
        <v>4.5599999999999996</v>
      </c>
      <c r="G122" s="251" t="s">
        <v>127</v>
      </c>
      <c r="H122" s="252"/>
      <c r="I122" s="173" t="s">
        <v>126</v>
      </c>
      <c r="J122" s="201"/>
    </row>
    <row r="123" spans="1:15" ht="17" thickTop="1" thickBot="1" x14ac:dyDescent="0.25">
      <c r="A123" s="184" t="s">
        <v>112</v>
      </c>
      <c r="B123" s="160">
        <v>24</v>
      </c>
      <c r="C123" s="211">
        <f>H105*24*J98*$D$19</f>
        <v>2.9145599999999998</v>
      </c>
      <c r="D123" s="157">
        <f>$D$14*$D$16*K98</f>
        <v>10.010981032021212</v>
      </c>
      <c r="E123" s="214">
        <f>$H$47*J98</f>
        <v>11.04</v>
      </c>
      <c r="G123" s="174">
        <f>K96</f>
        <v>3.9899295477672993E-2</v>
      </c>
      <c r="H123" s="175" t="s">
        <v>128</v>
      </c>
      <c r="I123" s="176">
        <f>AVERAGE(1383.9,624.85,928.6)/1000000</f>
        <v>9.7911666666666668E-4</v>
      </c>
      <c r="J123" t="s">
        <v>154</v>
      </c>
    </row>
    <row r="124" spans="1:15" x14ac:dyDescent="0.2">
      <c r="B124" s="23" t="s">
        <v>143</v>
      </c>
      <c r="D124" s="23" t="s">
        <v>143</v>
      </c>
      <c r="G124" s="168">
        <f t="shared" ref="G124:G125" si="19">K97</f>
        <v>3.5616703771669166E-2</v>
      </c>
      <c r="H124" s="161" t="s">
        <v>128</v>
      </c>
      <c r="I124" s="199" t="s">
        <v>32</v>
      </c>
      <c r="J124" t="s">
        <v>154</v>
      </c>
    </row>
    <row r="125" spans="1:15" ht="16" thickBot="1" x14ac:dyDescent="0.25">
      <c r="G125" s="169">
        <f t="shared" si="19"/>
        <v>1.8960191348525023E-2</v>
      </c>
      <c r="H125" s="170" t="s">
        <v>128</v>
      </c>
      <c r="I125" s="177">
        <f>AVERAGE(201.65,118.92,254.97)/1000000</f>
        <v>1.9184666666666666E-4</v>
      </c>
      <c r="J125" t="s">
        <v>154</v>
      </c>
    </row>
    <row r="127" spans="1:15" x14ac:dyDescent="0.2">
      <c r="A127" s="219"/>
      <c r="B127" s="219"/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</row>
    <row r="128" spans="1:15" x14ac:dyDescent="0.2">
      <c r="A128" s="226"/>
      <c r="B128" s="226"/>
      <c r="C128" s="226"/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</row>
    <row r="129" spans="1:13" ht="19" x14ac:dyDescent="0.25">
      <c r="A129" s="226"/>
      <c r="B129" s="178" t="s">
        <v>147</v>
      </c>
      <c r="M129" s="226"/>
    </row>
    <row r="130" spans="1:13" ht="16" thickBot="1" x14ac:dyDescent="0.25">
      <c r="A130" s="226"/>
      <c r="M130" s="226"/>
    </row>
    <row r="131" spans="1:13" ht="22" thickBot="1" x14ac:dyDescent="0.3">
      <c r="A131" s="226"/>
      <c r="B131" s="204" t="s">
        <v>132</v>
      </c>
      <c r="G131" s="255" t="s">
        <v>140</v>
      </c>
      <c r="H131" s="256"/>
      <c r="I131" s="257"/>
      <c r="M131" s="226"/>
    </row>
    <row r="132" spans="1:13" ht="19" x14ac:dyDescent="0.25">
      <c r="A132" s="226"/>
      <c r="G132" s="185"/>
      <c r="H132" s="186" t="s">
        <v>133</v>
      </c>
      <c r="I132" s="187" t="s">
        <v>134</v>
      </c>
      <c r="K132" s="122" t="s">
        <v>139</v>
      </c>
      <c r="M132" s="226"/>
    </row>
    <row r="133" spans="1:13" ht="19" x14ac:dyDescent="0.25">
      <c r="A133" s="226"/>
      <c r="G133" s="188" t="s">
        <v>110</v>
      </c>
      <c r="H133" s="37">
        <v>0.08</v>
      </c>
      <c r="I133" s="82">
        <v>7.05</v>
      </c>
      <c r="K133" s="16">
        <f>1/((1/I133/H133^2)+(1/H133*24*D20))</f>
        <v>6.5695981362842162E-4</v>
      </c>
      <c r="M133" s="226"/>
    </row>
    <row r="134" spans="1:13" ht="20" thickBot="1" x14ac:dyDescent="0.3">
      <c r="A134" s="226"/>
      <c r="G134" s="188" t="s">
        <v>111</v>
      </c>
      <c r="H134" s="37">
        <v>7.0000000000000007E-2</v>
      </c>
      <c r="I134" s="82">
        <v>1.65</v>
      </c>
      <c r="K134" s="16">
        <f>1/((1/I134/H134^2)+(1/H134*24*D20))</f>
        <v>5.4407806191117099E-4</v>
      </c>
      <c r="M134" s="226"/>
    </row>
    <row r="135" spans="1:13" ht="20" thickBot="1" x14ac:dyDescent="0.3">
      <c r="A135" s="226"/>
      <c r="B135" s="150"/>
      <c r="C135" s="116"/>
      <c r="D135" s="152"/>
      <c r="E135" s="117"/>
      <c r="G135" s="189" t="s">
        <v>112</v>
      </c>
      <c r="H135" s="190">
        <v>0.03</v>
      </c>
      <c r="I135" s="87">
        <v>8.1199999999999992</v>
      </c>
      <c r="K135" s="16">
        <f>1/((1/I135/H135^2)+(1/H135*24*D20))</f>
        <v>2.4173061656522892E-4</v>
      </c>
      <c r="M135" s="226"/>
    </row>
    <row r="136" spans="1:13" ht="16" thickBot="1" x14ac:dyDescent="0.25">
      <c r="A136" s="226"/>
      <c r="B136" s="151"/>
      <c r="C136" s="118"/>
      <c r="E136" s="85"/>
      <c r="G136" s="191" t="s">
        <v>138</v>
      </c>
      <c r="H136" s="192"/>
      <c r="M136" s="226"/>
    </row>
    <row r="137" spans="1:13" x14ac:dyDescent="0.2">
      <c r="A137" s="227" t="s">
        <v>110</v>
      </c>
      <c r="B137" s="180">
        <f>E47*E73</f>
        <v>24</v>
      </c>
      <c r="C137" s="153"/>
      <c r="D137" s="154">
        <f>H103*24*G137*$D$19+$D$14*$D$16*K133+H47*G137</f>
        <v>24.174074781595806</v>
      </c>
      <c r="E137" s="155"/>
      <c r="F137" t="s">
        <v>135</v>
      </c>
      <c r="G137" s="205">
        <v>73</v>
      </c>
      <c r="H137" s="193" t="s">
        <v>110</v>
      </c>
      <c r="M137" s="226"/>
    </row>
    <row r="138" spans="1:13" x14ac:dyDescent="0.2">
      <c r="A138" s="228" t="s">
        <v>111</v>
      </c>
      <c r="B138" s="180">
        <f>E47*E73</f>
        <v>24</v>
      </c>
      <c r="C138" s="153"/>
      <c r="D138" s="154">
        <f>H104*24*G138*D19+D14*D16*K134+H47*G138</f>
        <v>24.114473216689095</v>
      </c>
      <c r="E138" s="155"/>
      <c r="F138" t="s">
        <v>135</v>
      </c>
      <c r="G138" s="205">
        <v>85</v>
      </c>
      <c r="H138" s="193" t="s">
        <v>111</v>
      </c>
      <c r="M138" s="226"/>
    </row>
    <row r="139" spans="1:13" ht="16" thickBot="1" x14ac:dyDescent="0.25">
      <c r="A139" s="229" t="s">
        <v>112</v>
      </c>
      <c r="B139" s="181">
        <f>E47*E73</f>
        <v>24</v>
      </c>
      <c r="C139" s="156"/>
      <c r="D139" s="157">
        <f>H105*24*G139*D19+D14*D16*K135+H47*G139</f>
        <v>24.093073765546443</v>
      </c>
      <c r="E139" s="158"/>
      <c r="F139" t="s">
        <v>135</v>
      </c>
      <c r="G139" s="206">
        <v>79</v>
      </c>
      <c r="H139" s="194" t="s">
        <v>112</v>
      </c>
      <c r="M139" s="226"/>
    </row>
    <row r="140" spans="1:13" ht="16" thickBot="1" x14ac:dyDescent="0.25">
      <c r="A140" s="226"/>
      <c r="C140" s="23" t="s">
        <v>144</v>
      </c>
      <c r="D140" s="23" t="s">
        <v>145</v>
      </c>
      <c r="E140" s="23" t="s">
        <v>146</v>
      </c>
      <c r="M140" s="226"/>
    </row>
    <row r="141" spans="1:13" ht="16" thickBot="1" x14ac:dyDescent="0.25">
      <c r="A141" s="227" t="s">
        <v>110</v>
      </c>
      <c r="B141" s="208">
        <v>24</v>
      </c>
      <c r="C141" s="209">
        <f>H103*24*G137*$D$19</f>
        <v>6.3071999999999999</v>
      </c>
      <c r="D141" s="210">
        <f>$D$14*$D$16*K133</f>
        <v>0.34687478159580659</v>
      </c>
      <c r="E141" s="212">
        <f>H47*G137</f>
        <v>17.52</v>
      </c>
      <c r="M141" s="226"/>
    </row>
    <row r="142" spans="1:13" x14ac:dyDescent="0.2">
      <c r="A142" s="228" t="s">
        <v>111</v>
      </c>
      <c r="B142" s="159">
        <v>24</v>
      </c>
      <c r="C142" s="207">
        <f>H104*24*G138*D19</f>
        <v>3.4271999999999996</v>
      </c>
      <c r="D142" s="154">
        <f>D14*D16*K134</f>
        <v>0.28727321668909828</v>
      </c>
      <c r="E142" s="213">
        <f>H47*G138</f>
        <v>20.399999999999999</v>
      </c>
      <c r="G142" s="241" t="s">
        <v>136</v>
      </c>
      <c r="H142" s="242"/>
      <c r="I142" s="243"/>
      <c r="M142" s="226"/>
    </row>
    <row r="143" spans="1:13" ht="16" thickBot="1" x14ac:dyDescent="0.25">
      <c r="A143" s="229" t="s">
        <v>112</v>
      </c>
      <c r="B143" s="160">
        <v>24</v>
      </c>
      <c r="C143" s="211">
        <f>H105*24*G139*D19</f>
        <v>5.0054399999999992</v>
      </c>
      <c r="D143" s="157">
        <f>D14*D16*K135</f>
        <v>0.12763376554644087</v>
      </c>
      <c r="E143" s="214">
        <f>H47*G139</f>
        <v>18.96</v>
      </c>
      <c r="G143" s="251" t="s">
        <v>127</v>
      </c>
      <c r="H143" s="252"/>
      <c r="I143" s="173" t="s">
        <v>126</v>
      </c>
      <c r="J143" t="s">
        <v>129</v>
      </c>
      <c r="M143" s="226"/>
    </row>
    <row r="144" spans="1:13" ht="17" x14ac:dyDescent="0.25">
      <c r="A144" s="226"/>
      <c r="B144" s="23" t="s">
        <v>143</v>
      </c>
      <c r="D144" s="23" t="s">
        <v>143</v>
      </c>
      <c r="G144" s="171">
        <f>G137</f>
        <v>73</v>
      </c>
      <c r="H144" s="172" t="s">
        <v>121</v>
      </c>
      <c r="I144" s="163">
        <f>AVERAGE(28.98,20.77,19.29)</f>
        <v>23.013333333333332</v>
      </c>
      <c r="J144" t="s">
        <v>151</v>
      </c>
      <c r="M144" s="226"/>
    </row>
    <row r="145" spans="1:13" x14ac:dyDescent="0.2">
      <c r="A145" s="226"/>
      <c r="G145" s="162">
        <f>G138</f>
        <v>85</v>
      </c>
      <c r="H145" s="55" t="s">
        <v>121</v>
      </c>
      <c r="I145" s="197">
        <f>AVERAGE(2.51,25.68,1.84)</f>
        <v>10.01</v>
      </c>
      <c r="M145" s="226"/>
    </row>
    <row r="146" spans="1:13" ht="16" thickBot="1" x14ac:dyDescent="0.25">
      <c r="A146" s="226"/>
      <c r="G146" s="165">
        <f>G139</f>
        <v>79</v>
      </c>
      <c r="H146" s="166" t="s">
        <v>121</v>
      </c>
      <c r="I146" s="198">
        <f>AVERAGE(25.44,23.57,71.54)</f>
        <v>40.183333333333337</v>
      </c>
      <c r="M146" s="226"/>
    </row>
    <row r="147" spans="1:13" ht="16" thickBot="1" x14ac:dyDescent="0.25">
      <c r="A147" s="226"/>
      <c r="M147" s="226"/>
    </row>
    <row r="148" spans="1:13" x14ac:dyDescent="0.2">
      <c r="A148" s="226"/>
      <c r="G148" s="258" t="s">
        <v>137</v>
      </c>
      <c r="H148" s="259"/>
      <c r="I148" s="260"/>
      <c r="M148" s="226"/>
    </row>
    <row r="149" spans="1:13" ht="16" thickBot="1" x14ac:dyDescent="0.25">
      <c r="A149" s="226"/>
      <c r="G149" s="253" t="s">
        <v>127</v>
      </c>
      <c r="H149" s="254"/>
      <c r="I149" s="173" t="s">
        <v>126</v>
      </c>
      <c r="M149" s="226"/>
    </row>
    <row r="150" spans="1:13" ht="16" thickTop="1" x14ac:dyDescent="0.2">
      <c r="A150" s="226"/>
      <c r="G150" s="174">
        <f>K133</f>
        <v>6.5695981362842162E-4</v>
      </c>
      <c r="H150" s="175" t="s">
        <v>128</v>
      </c>
      <c r="I150" s="195">
        <f>AVERAGE(1383.9,624.85,928.6)/1000000</f>
        <v>9.7911666666666668E-4</v>
      </c>
      <c r="M150" s="226"/>
    </row>
    <row r="151" spans="1:13" x14ac:dyDescent="0.2">
      <c r="A151" s="226"/>
      <c r="G151" s="168">
        <f>K134</f>
        <v>5.4407806191117099E-4</v>
      </c>
      <c r="H151" s="161" t="s">
        <v>128</v>
      </c>
      <c r="I151" s="199" t="s">
        <v>32</v>
      </c>
      <c r="M151" s="226"/>
    </row>
    <row r="152" spans="1:13" ht="16" thickBot="1" x14ac:dyDescent="0.25">
      <c r="A152" s="226"/>
      <c r="G152" s="169">
        <f>K135</f>
        <v>2.4173061656522892E-4</v>
      </c>
      <c r="H152" s="170" t="s">
        <v>128</v>
      </c>
      <c r="I152" s="196">
        <f>AVERAGE(201.65,118.92,254.97)/1000000</f>
        <v>1.9184666666666666E-4</v>
      </c>
      <c r="M152" s="226"/>
    </row>
    <row r="153" spans="1:13" x14ac:dyDescent="0.2">
      <c r="A153" s="226"/>
      <c r="B153" s="226"/>
      <c r="C153" s="226"/>
      <c r="D153" s="226"/>
      <c r="E153" s="226"/>
      <c r="F153" s="226"/>
      <c r="G153" s="226"/>
      <c r="H153" s="226"/>
      <c r="I153" s="226"/>
      <c r="J153" s="226"/>
      <c r="K153" s="226"/>
      <c r="L153" s="226"/>
      <c r="M153" s="226"/>
    </row>
    <row r="154" spans="1:13" s="220" customFormat="1" ht="5.5" customHeight="1" x14ac:dyDescent="0.2"/>
    <row r="155" spans="1:13" ht="16" thickBot="1" x14ac:dyDescent="0.25"/>
    <row r="156" spans="1:13" ht="22" thickBot="1" x14ac:dyDescent="0.3">
      <c r="B156" s="204" t="s">
        <v>132</v>
      </c>
      <c r="G156" s="255" t="s">
        <v>141</v>
      </c>
      <c r="H156" s="256"/>
      <c r="I156" s="257"/>
    </row>
    <row r="157" spans="1:13" ht="19" x14ac:dyDescent="0.25">
      <c r="G157" s="185"/>
      <c r="H157" s="186" t="s">
        <v>133</v>
      </c>
      <c r="I157" s="187" t="s">
        <v>134</v>
      </c>
      <c r="K157" s="122" t="s">
        <v>139</v>
      </c>
    </row>
    <row r="158" spans="1:13" ht="19" x14ac:dyDescent="0.25">
      <c r="G158" s="188" t="s">
        <v>110</v>
      </c>
      <c r="H158" s="37">
        <v>0.02</v>
      </c>
      <c r="I158" s="82">
        <v>27.9</v>
      </c>
      <c r="K158" s="16">
        <f>1/((1/I158/H158^2)+(1/H158*24*$D$20))</f>
        <v>1.6421424367274868E-4</v>
      </c>
    </row>
    <row r="159" spans="1:13" ht="20" thickBot="1" x14ac:dyDescent="0.3">
      <c r="G159" s="188" t="s">
        <v>111</v>
      </c>
      <c r="H159" s="37">
        <v>0.02</v>
      </c>
      <c r="I159" s="82">
        <v>26.66</v>
      </c>
      <c r="K159" s="16">
        <f t="shared" ref="K159:K160" si="20">1/((1/I159/H159^2)+(1/H159*24*$D$20))</f>
        <v>1.6410193278345439E-4</v>
      </c>
    </row>
    <row r="160" spans="1:13" ht="20" thickBot="1" x14ac:dyDescent="0.3">
      <c r="B160" s="150"/>
      <c r="C160" s="116"/>
      <c r="D160" s="152"/>
      <c r="E160" s="117"/>
      <c r="G160" s="189" t="s">
        <v>112</v>
      </c>
      <c r="H160" s="190">
        <v>0.01</v>
      </c>
      <c r="I160" s="87">
        <v>8.49</v>
      </c>
      <c r="K160" s="16">
        <f t="shared" si="20"/>
        <v>7.5884876653557385E-5</v>
      </c>
    </row>
    <row r="161" spans="1:11" ht="16" thickBot="1" x14ac:dyDescent="0.25">
      <c r="B161" s="151"/>
      <c r="C161" s="118"/>
      <c r="E161" s="85"/>
      <c r="G161" s="191" t="s">
        <v>138</v>
      </c>
      <c r="H161" s="192"/>
    </row>
    <row r="162" spans="1:11" x14ac:dyDescent="0.2">
      <c r="A162" s="182" t="s">
        <v>110</v>
      </c>
      <c r="B162" s="180">
        <f>E47*E73</f>
        <v>24</v>
      </c>
      <c r="C162" s="153"/>
      <c r="D162" s="154">
        <f>H103*24*G162*$D$19+$D$14*$D$16*K158+$H$47*G162</f>
        <v>24.077105120659212</v>
      </c>
      <c r="E162" s="155"/>
      <c r="F162" t="s">
        <v>135</v>
      </c>
      <c r="G162" s="205">
        <v>73.5</v>
      </c>
      <c r="H162" s="193" t="s">
        <v>110</v>
      </c>
    </row>
    <row r="163" spans="1:11" x14ac:dyDescent="0.2">
      <c r="A163" s="183" t="s">
        <v>111</v>
      </c>
      <c r="B163" s="180">
        <f>E47*E73</f>
        <v>24</v>
      </c>
      <c r="C163" s="153"/>
      <c r="D163" s="154">
        <f>H104*24*G163*$D$19+$D$14*$D$16*K159+$H$47*G163</f>
        <v>23.997941820509663</v>
      </c>
      <c r="E163" s="155"/>
      <c r="F163" t="s">
        <v>135</v>
      </c>
      <c r="G163" s="205">
        <v>85.3</v>
      </c>
      <c r="H163" s="193" t="s">
        <v>111</v>
      </c>
    </row>
    <row r="164" spans="1:11" ht="16" thickBot="1" x14ac:dyDescent="0.25">
      <c r="A164" s="184" t="s">
        <v>112</v>
      </c>
      <c r="B164" s="181">
        <f>E47*E73</f>
        <v>24</v>
      </c>
      <c r="C164" s="156"/>
      <c r="D164" s="157">
        <f>H105*24*G164*$D$19+$D$14*$D$16*K160+$H$47*G164</f>
        <v>24.005507214873077</v>
      </c>
      <c r="E164" s="158"/>
      <c r="F164" t="s">
        <v>135</v>
      </c>
      <c r="G164" s="206">
        <v>79</v>
      </c>
      <c r="H164" s="194" t="s">
        <v>112</v>
      </c>
      <c r="K164" t="s">
        <v>131</v>
      </c>
    </row>
    <row r="165" spans="1:11" ht="16" thickBot="1" x14ac:dyDescent="0.25">
      <c r="C165" s="23" t="s">
        <v>144</v>
      </c>
      <c r="D165" s="23" t="s">
        <v>145</v>
      </c>
      <c r="E165" s="23" t="s">
        <v>146</v>
      </c>
    </row>
    <row r="166" spans="1:11" ht="16" thickBot="1" x14ac:dyDescent="0.25">
      <c r="A166" s="182" t="s">
        <v>110</v>
      </c>
      <c r="B166" s="208">
        <v>24</v>
      </c>
      <c r="C166" s="209">
        <f>H103*24*G162*$D$19</f>
        <v>6.3504000000000005</v>
      </c>
      <c r="D166" s="210">
        <f>$D$14*$D$16*K158</f>
        <v>8.6705120659211307E-2</v>
      </c>
      <c r="E166" s="212">
        <f>$H$47*G162</f>
        <v>17.64</v>
      </c>
    </row>
    <row r="167" spans="1:11" x14ac:dyDescent="0.2">
      <c r="A167" s="183" t="s">
        <v>111</v>
      </c>
      <c r="B167" s="159">
        <v>24</v>
      </c>
      <c r="C167" s="207">
        <f>H104*24*G163*$D$19</f>
        <v>3.4392959999999997</v>
      </c>
      <c r="D167" s="154">
        <f>$D$14*$D$16*K159</f>
        <v>8.6645820509663921E-2</v>
      </c>
      <c r="E167" s="213">
        <f>$H$47*G163</f>
        <v>20.471999999999998</v>
      </c>
      <c r="G167" s="241" t="s">
        <v>136</v>
      </c>
      <c r="H167" s="242"/>
      <c r="I167" s="243"/>
    </row>
    <row r="168" spans="1:11" ht="16" thickBot="1" x14ac:dyDescent="0.25">
      <c r="A168" s="184" t="s">
        <v>112</v>
      </c>
      <c r="B168" s="160">
        <v>24</v>
      </c>
      <c r="C168" s="211">
        <f>H105*24*G164*$D$19</f>
        <v>5.0054399999999992</v>
      </c>
      <c r="D168" s="157">
        <f>$D$14*$D$16*K160</f>
        <v>4.0067214873078301E-2</v>
      </c>
      <c r="E168" s="214">
        <f>$H$47*G164</f>
        <v>18.96</v>
      </c>
      <c r="G168" s="251" t="s">
        <v>127</v>
      </c>
      <c r="H168" s="252"/>
      <c r="I168" s="173" t="s">
        <v>126</v>
      </c>
    </row>
    <row r="169" spans="1:11" x14ac:dyDescent="0.2">
      <c r="B169" s="23" t="s">
        <v>143</v>
      </c>
      <c r="D169" s="23" t="s">
        <v>143</v>
      </c>
      <c r="G169" s="171">
        <f>G162</f>
        <v>73.5</v>
      </c>
      <c r="H169" s="172" t="s">
        <v>121</v>
      </c>
      <c r="I169" s="163">
        <f>AVERAGE(28.98,20.77,19.29)</f>
        <v>23.013333333333332</v>
      </c>
    </row>
    <row r="170" spans="1:11" x14ac:dyDescent="0.2">
      <c r="G170" s="162">
        <f>G163</f>
        <v>85.3</v>
      </c>
      <c r="H170" s="55" t="s">
        <v>121</v>
      </c>
      <c r="I170" s="197">
        <f>AVERAGE(2.51,25.68,1.84)</f>
        <v>10.01</v>
      </c>
    </row>
    <row r="171" spans="1:11" ht="16" thickBot="1" x14ac:dyDescent="0.25">
      <c r="G171" s="165">
        <f>G164</f>
        <v>79</v>
      </c>
      <c r="H171" s="166" t="s">
        <v>121</v>
      </c>
      <c r="I171" s="198">
        <f>AVERAGE(25.44,23.57,71.54)</f>
        <v>40.183333333333337</v>
      </c>
    </row>
    <row r="172" spans="1:11" ht="16" thickBot="1" x14ac:dyDescent="0.25"/>
    <row r="173" spans="1:11" x14ac:dyDescent="0.2">
      <c r="G173" s="258" t="s">
        <v>137</v>
      </c>
      <c r="H173" s="259"/>
      <c r="I173" s="260"/>
    </row>
    <row r="174" spans="1:11" ht="16" thickBot="1" x14ac:dyDescent="0.25">
      <c r="G174" s="253" t="s">
        <v>127</v>
      </c>
      <c r="H174" s="254"/>
      <c r="I174" s="173" t="s">
        <v>126</v>
      </c>
    </row>
    <row r="175" spans="1:11" ht="16" thickTop="1" x14ac:dyDescent="0.2">
      <c r="G175" s="174">
        <f>K158</f>
        <v>1.6421424367274868E-4</v>
      </c>
      <c r="H175" s="175" t="s">
        <v>128</v>
      </c>
      <c r="I175" s="216">
        <f>AVERAGE(1383.9,624.85,928.6)/1000000</f>
        <v>9.7911666666666668E-4</v>
      </c>
      <c r="J175" s="17">
        <f>G175*1000000</f>
        <v>164.21424367274869</v>
      </c>
    </row>
    <row r="176" spans="1:11" x14ac:dyDescent="0.2">
      <c r="G176" s="168">
        <f>K159</f>
        <v>1.6410193278345439E-4</v>
      </c>
      <c r="H176" s="161" t="s">
        <v>128</v>
      </c>
      <c r="I176" s="199" t="s">
        <v>32</v>
      </c>
      <c r="J176" s="17">
        <f>G176*1000000</f>
        <v>164.1019327834544</v>
      </c>
    </row>
    <row r="177" spans="7:10" ht="16" thickBot="1" x14ac:dyDescent="0.25">
      <c r="G177" s="169">
        <f>K160</f>
        <v>7.5884876653557385E-5</v>
      </c>
      <c r="H177" s="170" t="s">
        <v>128</v>
      </c>
      <c r="I177" s="196">
        <f>AVERAGE(201.65,118.92,254.97)/1000000</f>
        <v>1.9184666666666666E-4</v>
      </c>
      <c r="J177" s="17">
        <f>G177*1000000</f>
        <v>75.884876653557384</v>
      </c>
    </row>
  </sheetData>
  <mergeCells count="37">
    <mergeCell ref="G174:H174"/>
    <mergeCell ref="G149:H149"/>
    <mergeCell ref="G131:I131"/>
    <mergeCell ref="G156:I156"/>
    <mergeCell ref="G167:I167"/>
    <mergeCell ref="G168:H168"/>
    <mergeCell ref="G173:I173"/>
    <mergeCell ref="G148:I148"/>
    <mergeCell ref="G116:H116"/>
    <mergeCell ref="G121:I121"/>
    <mergeCell ref="G122:H122"/>
    <mergeCell ref="G142:I142"/>
    <mergeCell ref="G143:H143"/>
    <mergeCell ref="G115:I115"/>
    <mergeCell ref="A17:B17"/>
    <mergeCell ref="A18:B18"/>
    <mergeCell ref="A19:B19"/>
    <mergeCell ref="G19:H19"/>
    <mergeCell ref="A20:B20"/>
    <mergeCell ref="A21:B21"/>
    <mergeCell ref="A22:B22"/>
    <mergeCell ref="F22:G22"/>
    <mergeCell ref="A24:B24"/>
    <mergeCell ref="A25:B25"/>
    <mergeCell ref="C45:D45"/>
    <mergeCell ref="A16:B16"/>
    <mergeCell ref="B2:E2"/>
    <mergeCell ref="I3:J3"/>
    <mergeCell ref="I4:J4"/>
    <mergeCell ref="I5:J5"/>
    <mergeCell ref="J7:K7"/>
    <mergeCell ref="A11:B11"/>
    <mergeCell ref="A12:B12"/>
    <mergeCell ref="J12:K12"/>
    <mergeCell ref="A13:B13"/>
    <mergeCell ref="A14:B14"/>
    <mergeCell ref="A15:B15"/>
  </mergeCell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2:T177"/>
  <sheetViews>
    <sheetView topLeftCell="E134" zoomScaleNormal="100" workbookViewId="0">
      <selection activeCell="J35" sqref="J35"/>
    </sheetView>
  </sheetViews>
  <sheetFormatPr baseColWidth="10" defaultRowHeight="15" x14ac:dyDescent="0.2"/>
  <cols>
    <col min="2" max="2" width="20.33203125" customWidth="1"/>
    <col min="3" max="3" width="12.83203125" customWidth="1"/>
    <col min="4" max="4" width="17.6640625" customWidth="1"/>
    <col min="5" max="5" width="17.5" customWidth="1"/>
    <col min="6" max="6" width="20.83203125" customWidth="1"/>
    <col min="7" max="7" width="20.1640625" customWidth="1"/>
    <col min="8" max="8" width="24.1640625" customWidth="1"/>
    <col min="9" max="9" width="21.1640625" customWidth="1"/>
    <col min="10" max="10" width="23.6640625" customWidth="1"/>
    <col min="11" max="11" width="25.1640625" customWidth="1"/>
    <col min="12" max="12" width="25.83203125" customWidth="1"/>
    <col min="13" max="13" width="24.1640625" customWidth="1"/>
    <col min="14" max="14" width="23.6640625" customWidth="1"/>
    <col min="15" max="15" width="25" bestFit="1" customWidth="1"/>
    <col min="16" max="16" width="24.5" customWidth="1"/>
    <col min="17" max="17" width="22.5" customWidth="1"/>
    <col min="18" max="18" width="20.83203125" customWidth="1"/>
    <col min="19" max="19" width="22.33203125" customWidth="1"/>
    <col min="20" max="20" width="19.33203125" customWidth="1"/>
  </cols>
  <sheetData>
    <row r="2" spans="1:12" x14ac:dyDescent="0.2">
      <c r="B2" s="234" t="s">
        <v>35</v>
      </c>
      <c r="C2" s="235"/>
      <c r="D2" s="235"/>
      <c r="E2" s="236"/>
      <c r="I2" t="s">
        <v>104</v>
      </c>
      <c r="K2" s="73">
        <f>SUM(K3:K5)</f>
        <v>0.874</v>
      </c>
    </row>
    <row r="3" spans="1:12" x14ac:dyDescent="0.2">
      <c r="B3" s="6" t="s">
        <v>0</v>
      </c>
      <c r="C3" s="6" t="s">
        <v>6</v>
      </c>
      <c r="D3" s="7" t="s">
        <v>64</v>
      </c>
      <c r="E3" s="7" t="s">
        <v>45</v>
      </c>
      <c r="I3" s="237" t="s">
        <v>14</v>
      </c>
      <c r="J3" s="238"/>
      <c r="K3" s="74">
        <v>0.51700000000000002</v>
      </c>
    </row>
    <row r="4" spans="1:12" x14ac:dyDescent="0.2">
      <c r="B4" s="1" t="s">
        <v>1</v>
      </c>
      <c r="C4" s="37" t="s">
        <v>2</v>
      </c>
      <c r="D4" s="44">
        <v>10</v>
      </c>
      <c r="E4" s="37">
        <f>D4/0.05</f>
        <v>200</v>
      </c>
      <c r="I4" s="237" t="s">
        <v>15</v>
      </c>
      <c r="J4" s="238"/>
      <c r="K4" s="74">
        <v>0.223</v>
      </c>
    </row>
    <row r="5" spans="1:12" x14ac:dyDescent="0.2">
      <c r="B5" s="1" t="s">
        <v>18</v>
      </c>
      <c r="C5" s="37" t="s">
        <v>2</v>
      </c>
      <c r="D5" s="11">
        <v>1445</v>
      </c>
      <c r="E5" s="37">
        <f>D5/0.05</f>
        <v>28900</v>
      </c>
      <c r="I5" s="237" t="s">
        <v>16</v>
      </c>
      <c r="J5" s="238"/>
      <c r="K5" s="74">
        <v>0.13400000000000001</v>
      </c>
      <c r="L5" s="21"/>
    </row>
    <row r="6" spans="1:12" x14ac:dyDescent="0.2">
      <c r="B6" s="1" t="s">
        <v>17</v>
      </c>
      <c r="C6" s="37" t="s">
        <v>2</v>
      </c>
      <c r="D6" s="11">
        <v>377</v>
      </c>
      <c r="E6" s="37">
        <f>D6/0.05</f>
        <v>7540</v>
      </c>
    </row>
    <row r="7" spans="1:12" x14ac:dyDescent="0.2">
      <c r="B7" s="1" t="s">
        <v>19</v>
      </c>
      <c r="C7" s="37" t="s">
        <v>2</v>
      </c>
      <c r="D7" s="11">
        <v>23.5</v>
      </c>
      <c r="E7" s="37">
        <f>D7/0.05</f>
        <v>470</v>
      </c>
      <c r="J7" s="234" t="s">
        <v>3</v>
      </c>
      <c r="K7" s="236"/>
    </row>
    <row r="8" spans="1:12" x14ac:dyDescent="0.2">
      <c r="B8" s="1" t="s">
        <v>20</v>
      </c>
      <c r="C8" s="37" t="s">
        <v>2</v>
      </c>
      <c r="D8" s="11">
        <v>7.35</v>
      </c>
      <c r="E8" s="37">
        <f>D8/0.05</f>
        <v>146.99999999999997</v>
      </c>
      <c r="J8" s="37" t="s">
        <v>18</v>
      </c>
      <c r="K8" s="74">
        <v>0.9</v>
      </c>
    </row>
    <row r="9" spans="1:12" x14ac:dyDescent="0.2">
      <c r="J9" s="37" t="s">
        <v>4</v>
      </c>
      <c r="K9" s="94">
        <v>0.6</v>
      </c>
      <c r="L9" s="4"/>
    </row>
    <row r="10" spans="1:12" x14ac:dyDescent="0.2">
      <c r="C10" s="10" t="s">
        <v>6</v>
      </c>
      <c r="D10" s="10" t="s">
        <v>7</v>
      </c>
      <c r="F10" s="4"/>
      <c r="G10" s="24"/>
      <c r="H10" s="24"/>
      <c r="J10" s="37" t="s">
        <v>5</v>
      </c>
      <c r="K10" s="74">
        <v>0.6</v>
      </c>
      <c r="L10" s="24"/>
    </row>
    <row r="11" spans="1:12" x14ac:dyDescent="0.2">
      <c r="A11" s="239" t="s">
        <v>8</v>
      </c>
      <c r="B11" s="240"/>
      <c r="C11" s="37" t="s">
        <v>62</v>
      </c>
      <c r="D11" s="9">
        <f>0.24/20</f>
        <v>1.2E-2</v>
      </c>
      <c r="G11" s="95"/>
      <c r="H11" s="3"/>
      <c r="J11" s="23"/>
      <c r="K11" s="23"/>
      <c r="L11" s="3"/>
    </row>
    <row r="12" spans="1:12" x14ac:dyDescent="0.2">
      <c r="A12" s="232" t="s">
        <v>9</v>
      </c>
      <c r="B12" s="233"/>
      <c r="C12" s="37" t="s">
        <v>41</v>
      </c>
      <c r="D12" s="45">
        <v>0.05</v>
      </c>
      <c r="J12" s="234" t="s">
        <v>89</v>
      </c>
      <c r="K12" s="236"/>
      <c r="L12" s="3"/>
    </row>
    <row r="13" spans="1:12" x14ac:dyDescent="0.2">
      <c r="A13" s="232" t="s">
        <v>21</v>
      </c>
      <c r="B13" s="233"/>
      <c r="C13" s="37" t="s">
        <v>61</v>
      </c>
      <c r="D13" s="9">
        <f>D11/D12</f>
        <v>0.24</v>
      </c>
      <c r="G13" s="23"/>
      <c r="H13" s="3"/>
      <c r="J13" s="37" t="s">
        <v>76</v>
      </c>
      <c r="K13" s="74">
        <v>0.6</v>
      </c>
      <c r="L13" s="3"/>
    </row>
    <row r="14" spans="1:12" x14ac:dyDescent="0.2">
      <c r="A14" s="232" t="s">
        <v>10</v>
      </c>
      <c r="B14" s="233"/>
      <c r="C14" s="37" t="s">
        <v>11</v>
      </c>
      <c r="D14" s="200">
        <v>17.600000000000001</v>
      </c>
      <c r="G14" s="23"/>
      <c r="H14" s="3"/>
      <c r="I14" s="76"/>
      <c r="J14" s="76"/>
      <c r="K14" s="75"/>
    </row>
    <row r="15" spans="1:12" x14ac:dyDescent="0.2">
      <c r="A15" s="232" t="s">
        <v>12</v>
      </c>
      <c r="B15" s="233"/>
      <c r="C15" s="37" t="s">
        <v>13</v>
      </c>
      <c r="D15" s="11">
        <v>2.5</v>
      </c>
      <c r="G15" s="23"/>
      <c r="H15" s="3"/>
      <c r="I15" s="76"/>
      <c r="J15" s="76"/>
      <c r="K15" s="75"/>
    </row>
    <row r="16" spans="1:12" x14ac:dyDescent="0.2">
      <c r="A16" s="232" t="s">
        <v>36</v>
      </c>
      <c r="B16" s="233"/>
      <c r="C16" s="37" t="s">
        <v>60</v>
      </c>
      <c r="D16" s="5">
        <f>(C47+D47)*D23/D18</f>
        <v>30</v>
      </c>
      <c r="G16" s="92"/>
      <c r="I16" s="76"/>
      <c r="J16" s="35" t="s">
        <v>54</v>
      </c>
      <c r="K16" s="215">
        <v>0.59119999999999995</v>
      </c>
    </row>
    <row r="17" spans="1:15" ht="16" x14ac:dyDescent="0.2">
      <c r="A17" s="232" t="s">
        <v>33</v>
      </c>
      <c r="B17" s="233"/>
      <c r="C17" s="37" t="s">
        <v>41</v>
      </c>
      <c r="D17" s="45">
        <v>0.9</v>
      </c>
      <c r="J17" s="35" t="s">
        <v>71</v>
      </c>
      <c r="K17" s="93">
        <v>9.9400000000000002E-2</v>
      </c>
      <c r="M17" s="31"/>
    </row>
    <row r="18" spans="1:15" x14ac:dyDescent="0.2">
      <c r="A18" s="232" t="s">
        <v>65</v>
      </c>
      <c r="B18" s="233"/>
      <c r="C18" s="37" t="s">
        <v>40</v>
      </c>
      <c r="D18" s="11">
        <v>0.04</v>
      </c>
    </row>
    <row r="19" spans="1:15" x14ac:dyDescent="0.2">
      <c r="A19" s="232" t="s">
        <v>66</v>
      </c>
      <c r="B19" s="233"/>
      <c r="C19" s="37" t="s">
        <v>59</v>
      </c>
      <c r="D19" s="2">
        <f>D18*D16</f>
        <v>1.2</v>
      </c>
      <c r="G19" s="244" t="s">
        <v>90</v>
      </c>
      <c r="H19" s="244"/>
      <c r="I19" s="37">
        <v>1000</v>
      </c>
      <c r="J19" s="2" t="s">
        <v>53</v>
      </c>
    </row>
    <row r="20" spans="1:15" x14ac:dyDescent="0.2">
      <c r="A20" s="232" t="s">
        <v>56</v>
      </c>
      <c r="B20" s="233"/>
      <c r="C20" s="37" t="s">
        <v>42</v>
      </c>
      <c r="D20" s="5">
        <f>D19/D13</f>
        <v>5</v>
      </c>
    </row>
    <row r="21" spans="1:15" x14ac:dyDescent="0.2">
      <c r="A21" s="245" t="s">
        <v>43</v>
      </c>
      <c r="B21" s="246"/>
      <c r="C21" s="49" t="s">
        <v>44</v>
      </c>
      <c r="D21" s="46">
        <f>1/D20</f>
        <v>0.2</v>
      </c>
    </row>
    <row r="22" spans="1:15" x14ac:dyDescent="0.2">
      <c r="A22" s="245" t="s">
        <v>55</v>
      </c>
      <c r="B22" s="246"/>
      <c r="C22" s="49" t="s">
        <v>41</v>
      </c>
      <c r="D22" s="47">
        <v>0.78</v>
      </c>
      <c r="F22" s="247"/>
      <c r="G22" s="247"/>
    </row>
    <row r="23" spans="1:15" ht="14.5" hidden="1" customHeight="1" x14ac:dyDescent="0.2">
      <c r="A23" s="49" t="s">
        <v>56</v>
      </c>
      <c r="B23" s="49"/>
      <c r="C23" s="49" t="s">
        <v>42</v>
      </c>
      <c r="D23" s="48">
        <v>5</v>
      </c>
    </row>
    <row r="24" spans="1:15" x14ac:dyDescent="0.2">
      <c r="A24" s="245" t="s">
        <v>67</v>
      </c>
      <c r="B24" s="246"/>
      <c r="C24" s="49" t="s">
        <v>41</v>
      </c>
      <c r="D24" s="47">
        <v>0.04</v>
      </c>
      <c r="F24" s="23"/>
      <c r="G24" s="91"/>
    </row>
    <row r="25" spans="1:15" x14ac:dyDescent="0.2">
      <c r="A25" s="248" t="s">
        <v>68</v>
      </c>
      <c r="B25" s="248"/>
      <c r="C25" s="49" t="s">
        <v>41</v>
      </c>
      <c r="D25" s="50">
        <v>0.9</v>
      </c>
      <c r="F25" s="23"/>
      <c r="G25" s="91"/>
      <c r="I25" s="17"/>
    </row>
    <row r="26" spans="1:15" x14ac:dyDescent="0.2">
      <c r="F26" s="23"/>
      <c r="G26" s="91"/>
    </row>
    <row r="28" spans="1:15" x14ac:dyDescent="0.2">
      <c r="N28" s="28"/>
      <c r="O28" s="36"/>
    </row>
    <row r="35" spans="2:20" x14ac:dyDescent="0.2">
      <c r="I35" s="28" t="s">
        <v>100</v>
      </c>
      <c r="J35" s="29">
        <v>0.1</v>
      </c>
    </row>
    <row r="36" spans="2:20" x14ac:dyDescent="0.2">
      <c r="O36" s="28"/>
      <c r="P36" s="29"/>
    </row>
    <row r="39" spans="2:20" x14ac:dyDescent="0.2">
      <c r="N39" s="13"/>
      <c r="Q39" s="17"/>
    </row>
    <row r="40" spans="2:20" x14ac:dyDescent="0.2">
      <c r="N40" s="3"/>
    </row>
    <row r="41" spans="2:20" x14ac:dyDescent="0.2">
      <c r="L41" s="3"/>
    </row>
    <row r="42" spans="2:20" x14ac:dyDescent="0.2">
      <c r="G42" s="69"/>
      <c r="H42" s="71"/>
      <c r="L42" s="18"/>
    </row>
    <row r="43" spans="2:20" x14ac:dyDescent="0.2">
      <c r="C43" s="30"/>
      <c r="F43" s="19"/>
      <c r="G43" s="70"/>
      <c r="H43" s="17"/>
      <c r="L43" s="18"/>
    </row>
    <row r="44" spans="2:20" x14ac:dyDescent="0.2">
      <c r="F44" s="27"/>
      <c r="G44" s="26"/>
      <c r="H44" s="26">
        <f>H50/1000/H49</f>
        <v>2.2048506714772501E-3</v>
      </c>
      <c r="K44" s="26">
        <f>K50/1000/K49</f>
        <v>2.2449437743627418E-4</v>
      </c>
      <c r="N44" s="25">
        <f>N50/1000/N48</f>
        <v>0.1</v>
      </c>
      <c r="R44" s="67"/>
    </row>
    <row r="45" spans="2:20" ht="16" thickBot="1" x14ac:dyDescent="0.25">
      <c r="C45" s="249" t="s">
        <v>70</v>
      </c>
      <c r="D45" s="250"/>
      <c r="N45" s="32" t="s">
        <v>72</v>
      </c>
      <c r="O45" s="33"/>
      <c r="P45" s="33"/>
    </row>
    <row r="46" spans="2:20" x14ac:dyDescent="0.2">
      <c r="B46" s="8" t="s">
        <v>22</v>
      </c>
      <c r="C46" s="10" t="s">
        <v>48</v>
      </c>
      <c r="D46" s="10" t="s">
        <v>49</v>
      </c>
      <c r="E46" s="10" t="s">
        <v>52</v>
      </c>
      <c r="F46" s="10" t="s">
        <v>92</v>
      </c>
      <c r="G46" s="38" t="s">
        <v>93</v>
      </c>
      <c r="H46" s="108" t="s">
        <v>91</v>
      </c>
      <c r="I46" s="78" t="s">
        <v>84</v>
      </c>
      <c r="J46" s="79" t="s">
        <v>85</v>
      </c>
      <c r="K46" s="106" t="s">
        <v>94</v>
      </c>
      <c r="L46" s="78" t="s">
        <v>95</v>
      </c>
      <c r="M46" s="79" t="s">
        <v>96</v>
      </c>
      <c r="N46" s="77" t="s">
        <v>97</v>
      </c>
      <c r="O46" s="78" t="s">
        <v>98</v>
      </c>
      <c r="P46" s="79" t="s">
        <v>99</v>
      </c>
      <c r="Q46" s="54" t="s">
        <v>22</v>
      </c>
      <c r="R46" s="24"/>
      <c r="S46" s="24"/>
      <c r="T46" s="24"/>
    </row>
    <row r="47" spans="2:20" x14ac:dyDescent="0.2">
      <c r="B47" s="12" t="s">
        <v>58</v>
      </c>
      <c r="C47" s="9">
        <f>D11</f>
        <v>1.2E-2</v>
      </c>
      <c r="D47" s="9">
        <f>C47/D12*(1-D12)</f>
        <v>0.22799999999999998</v>
      </c>
      <c r="E47" s="9">
        <f>(C47+D47)</f>
        <v>0.24</v>
      </c>
      <c r="F47" s="41">
        <f>G47</f>
        <v>7.4999999999999997E-2</v>
      </c>
      <c r="G47" s="104">
        <f>D15*D16/1000</f>
        <v>7.4999999999999997E-2</v>
      </c>
      <c r="H47" s="109">
        <f>E47+F47-G47</f>
        <v>0.24</v>
      </c>
      <c r="I47" s="1"/>
      <c r="J47" s="96"/>
      <c r="K47" s="102">
        <f>H47-N47</f>
        <v>0.23524799999999998</v>
      </c>
      <c r="L47" s="37"/>
      <c r="M47" s="81"/>
      <c r="N47" s="88">
        <f>D17/J35*10^-6*H47*H67</f>
        <v>4.7520000000000001E-3</v>
      </c>
      <c r="O47" s="37"/>
      <c r="P47" s="81"/>
      <c r="Q47" s="55" t="s">
        <v>58</v>
      </c>
      <c r="R47" s="63"/>
      <c r="S47" s="57"/>
      <c r="T47" s="57"/>
    </row>
    <row r="48" spans="2:20" x14ac:dyDescent="0.2">
      <c r="B48" s="12" t="s">
        <v>31</v>
      </c>
      <c r="C48" s="2">
        <f>C47*1000</f>
        <v>12</v>
      </c>
      <c r="D48" s="2">
        <f>D47*I19</f>
        <v>227.99999999999997</v>
      </c>
      <c r="E48" s="2">
        <f>E47*I19</f>
        <v>240</v>
      </c>
      <c r="F48" s="40">
        <f t="shared" ref="F48:F51" si="0">G48</f>
        <v>75</v>
      </c>
      <c r="G48" s="51">
        <f>G47*I19</f>
        <v>75</v>
      </c>
      <c r="H48" s="109">
        <f>H47*I19</f>
        <v>240</v>
      </c>
      <c r="I48" s="1"/>
      <c r="J48" s="96"/>
      <c r="K48" s="102">
        <f>K47*I19</f>
        <v>235.24799999999999</v>
      </c>
      <c r="L48" s="37"/>
      <c r="M48" s="81"/>
      <c r="N48" s="80">
        <f>N47*I19</f>
        <v>4.7519999999999998</v>
      </c>
      <c r="O48" s="37"/>
      <c r="P48" s="81"/>
      <c r="Q48" s="55" t="s">
        <v>31</v>
      </c>
      <c r="R48" s="63"/>
      <c r="S48" s="57"/>
      <c r="T48" s="57"/>
    </row>
    <row r="49" spans="2:20" x14ac:dyDescent="0.2">
      <c r="B49" s="12" t="s">
        <v>51</v>
      </c>
      <c r="C49" s="2">
        <f>C48-C51/1000</f>
        <v>11.9976</v>
      </c>
      <c r="D49" s="2">
        <f>D48</f>
        <v>227.99999999999997</v>
      </c>
      <c r="E49" s="2">
        <f>E48-E51/1000</f>
        <v>239.99760000000001</v>
      </c>
      <c r="F49" s="40">
        <f t="shared" si="0"/>
        <v>75</v>
      </c>
      <c r="G49" s="51">
        <f>G48</f>
        <v>75</v>
      </c>
      <c r="H49" s="109">
        <f>H48-H50/1000</f>
        <v>239.47200000000001</v>
      </c>
      <c r="I49" s="40">
        <f>H49</f>
        <v>239.47200000000001</v>
      </c>
      <c r="J49" s="96"/>
      <c r="K49" s="102">
        <f>K48-K51/1000</f>
        <v>235.1952</v>
      </c>
      <c r="L49" s="2">
        <f>K49</f>
        <v>235.1952</v>
      </c>
      <c r="M49" s="81">
        <v>0</v>
      </c>
      <c r="N49" s="80">
        <f>N48-N50/1000</f>
        <v>4.2767999999999997</v>
      </c>
      <c r="O49" s="2">
        <f>N49</f>
        <v>4.2767999999999997</v>
      </c>
      <c r="P49" s="81">
        <v>0</v>
      </c>
      <c r="Q49" s="55" t="s">
        <v>51</v>
      </c>
      <c r="R49" s="57"/>
      <c r="S49" s="57"/>
      <c r="T49" s="57"/>
    </row>
    <row r="50" spans="2:20" x14ac:dyDescent="0.2">
      <c r="B50" s="12" t="s">
        <v>50</v>
      </c>
      <c r="C50" s="2">
        <v>0</v>
      </c>
      <c r="D50" s="37">
        <v>0</v>
      </c>
      <c r="E50" s="2">
        <f>(C47*C50)</f>
        <v>0</v>
      </c>
      <c r="F50" s="40">
        <f t="shared" si="0"/>
        <v>0</v>
      </c>
      <c r="G50" s="51">
        <v>0</v>
      </c>
      <c r="H50" s="109">
        <f>K50+N50</f>
        <v>528</v>
      </c>
      <c r="I50" s="1"/>
      <c r="J50" s="131">
        <f>H50</f>
        <v>528</v>
      </c>
      <c r="K50" s="102">
        <f>D16*D14*(1-D17)</f>
        <v>52.79999999999999</v>
      </c>
      <c r="L50" s="37">
        <v>0</v>
      </c>
      <c r="M50" s="82">
        <f>K50-L50</f>
        <v>52.79999999999999</v>
      </c>
      <c r="N50" s="80">
        <f>D16*D14*D17</f>
        <v>475.2</v>
      </c>
      <c r="O50" s="37">
        <v>0</v>
      </c>
      <c r="P50" s="82">
        <f>N50-O50</f>
        <v>475.2</v>
      </c>
      <c r="Q50" s="55" t="s">
        <v>50</v>
      </c>
      <c r="R50" s="63"/>
      <c r="S50" s="58"/>
      <c r="T50" s="58"/>
    </row>
    <row r="51" spans="2:20" x14ac:dyDescent="0.2">
      <c r="B51" s="12" t="s">
        <v>29</v>
      </c>
      <c r="C51" s="2">
        <f>C47*E4</f>
        <v>2.4</v>
      </c>
      <c r="D51" s="37">
        <v>0</v>
      </c>
      <c r="E51" s="2">
        <f>C51</f>
        <v>2.4</v>
      </c>
      <c r="F51" s="40">
        <f t="shared" si="0"/>
        <v>0</v>
      </c>
      <c r="G51" s="51">
        <v>0</v>
      </c>
      <c r="H51" s="109">
        <f>K51+N51</f>
        <v>528</v>
      </c>
      <c r="I51" s="1"/>
      <c r="J51" s="96"/>
      <c r="K51" s="102">
        <f>D14*D16*(1-D17)</f>
        <v>52.79999999999999</v>
      </c>
      <c r="L51" s="37">
        <v>0</v>
      </c>
      <c r="M51" s="82">
        <f>K51-L51</f>
        <v>52.79999999999999</v>
      </c>
      <c r="N51" s="80">
        <f>D14*D16*D17</f>
        <v>475.2</v>
      </c>
      <c r="O51" s="37">
        <v>0</v>
      </c>
      <c r="P51" s="82">
        <f>N51-O51</f>
        <v>475.2</v>
      </c>
      <c r="Q51" s="55" t="s">
        <v>29</v>
      </c>
      <c r="R51" s="63"/>
      <c r="S51" s="57"/>
      <c r="T51" s="57"/>
    </row>
    <row r="52" spans="2:20" x14ac:dyDescent="0.2">
      <c r="B52" s="12" t="s">
        <v>23</v>
      </c>
      <c r="C52" s="2">
        <f>E5*$C$47</f>
        <v>346.8</v>
      </c>
      <c r="D52" s="37">
        <v>0</v>
      </c>
      <c r="E52" s="2">
        <f>C52</f>
        <v>346.8</v>
      </c>
      <c r="F52" s="40">
        <v>0</v>
      </c>
      <c r="G52" s="105">
        <f>E52-K52-N52</f>
        <v>-3.3599999999921693E-2</v>
      </c>
      <c r="H52" s="110">
        <f>E52-G52</f>
        <v>346.83359999999993</v>
      </c>
      <c r="I52" s="1"/>
      <c r="J52" s="96"/>
      <c r="K52" s="103">
        <f>K49/(K49+N49)*(1-K8)*C52+K51*K16</f>
        <v>65.275999807576653</v>
      </c>
      <c r="L52" s="15">
        <f>K49/(K49+N49)*(1-K8)*C52</f>
        <v>34.060639807576663</v>
      </c>
      <c r="M52" s="82">
        <f>K51*K16</f>
        <v>31.21535999999999</v>
      </c>
      <c r="N52" s="83">
        <f>N49/(N49+K49)*(1-K8)*C52+K16*N51</f>
        <v>281.55760019242331</v>
      </c>
      <c r="O52" s="15">
        <f>N49/(K49+N49)*(1-K8)*C52</f>
        <v>0.61936019242333118</v>
      </c>
      <c r="P52" s="82">
        <f>N51*K16</f>
        <v>280.93823999999995</v>
      </c>
      <c r="Q52" s="55" t="s">
        <v>23</v>
      </c>
      <c r="R52" s="64"/>
      <c r="S52" s="57"/>
      <c r="T52" s="57"/>
    </row>
    <row r="53" spans="2:20" x14ac:dyDescent="0.2">
      <c r="B53" s="12" t="s">
        <v>24</v>
      </c>
      <c r="C53" s="2">
        <f>E6*$C$47</f>
        <v>90.48</v>
      </c>
      <c r="D53" s="37">
        <v>0</v>
      </c>
      <c r="E53" s="2">
        <f>C53</f>
        <v>90.48</v>
      </c>
      <c r="F53" s="40">
        <v>0</v>
      </c>
      <c r="G53" s="52">
        <f>G54</f>
        <v>1.8096000000000001</v>
      </c>
      <c r="H53" s="111">
        <f>E53-G53</f>
        <v>88.670400000000001</v>
      </c>
      <c r="I53" s="1"/>
      <c r="J53" s="96"/>
      <c r="K53" s="103">
        <f>K49/(K49+N49)*(1-K9)*C53+K50*K17</f>
        <v>40.793956560432953</v>
      </c>
      <c r="L53" s="15">
        <f>K49/(K49+N49)*(1-K9)*C53</f>
        <v>35.545636560432953</v>
      </c>
      <c r="M53" s="81">
        <f>K50*K17</f>
        <v>5.2483199999999988</v>
      </c>
      <c r="N53" s="83">
        <f>N50*K17+N49/(N49+K49)*(1-K9)*C53</f>
        <v>47.881243439567044</v>
      </c>
      <c r="O53" s="15">
        <f>N49/(K49+N49)*(1-K9)*C53</f>
        <v>0.64636343956704745</v>
      </c>
      <c r="P53" s="82">
        <f>N50*K17</f>
        <v>47.234879999999997</v>
      </c>
      <c r="Q53" s="55" t="s">
        <v>24</v>
      </c>
      <c r="R53" s="65"/>
      <c r="S53" s="57"/>
      <c r="T53" s="57"/>
    </row>
    <row r="54" spans="2:20" x14ac:dyDescent="0.2">
      <c r="B54" s="12" t="s">
        <v>57</v>
      </c>
      <c r="C54" s="2">
        <f>E7*$C$47</f>
        <v>5.64</v>
      </c>
      <c r="D54" s="37">
        <v>0</v>
      </c>
      <c r="E54" s="15">
        <f>C54</f>
        <v>5.64</v>
      </c>
      <c r="F54" s="40">
        <v>0</v>
      </c>
      <c r="G54" s="52">
        <f>C53*0.02</f>
        <v>1.8096000000000001</v>
      </c>
      <c r="H54" s="110">
        <f>C54-G54-C54*K13</f>
        <v>0.44639999999999969</v>
      </c>
      <c r="I54" s="1"/>
      <c r="J54" s="96"/>
      <c r="K54" s="103">
        <f>K49/(K49+N49)*H54</f>
        <v>0.43842761274804537</v>
      </c>
      <c r="L54" s="2">
        <f>K54</f>
        <v>0.43842761274804537</v>
      </c>
      <c r="M54" s="81">
        <v>0</v>
      </c>
      <c r="N54" s="83">
        <f>N49/(K49+N49)*H54</f>
        <v>7.9723872519542917E-3</v>
      </c>
      <c r="O54" s="2">
        <f>N54</f>
        <v>7.9723872519542917E-3</v>
      </c>
      <c r="P54" s="81">
        <v>0</v>
      </c>
      <c r="Q54" s="55" t="s">
        <v>57</v>
      </c>
      <c r="R54" s="66"/>
      <c r="S54" s="58"/>
      <c r="T54" s="58"/>
    </row>
    <row r="55" spans="2:20" x14ac:dyDescent="0.2">
      <c r="B55" s="12" t="s">
        <v>25</v>
      </c>
      <c r="C55" s="2">
        <f>E8*$C$47</f>
        <v>1.7639999999999998</v>
      </c>
      <c r="D55" s="37">
        <v>0</v>
      </c>
      <c r="E55" s="2">
        <f>C55</f>
        <v>1.7639999999999998</v>
      </c>
      <c r="F55" s="40">
        <v>0</v>
      </c>
      <c r="G55" s="39">
        <v>0</v>
      </c>
      <c r="H55" s="111">
        <f>E55-G55</f>
        <v>1.7639999999999998</v>
      </c>
      <c r="I55" s="1"/>
      <c r="J55" s="96"/>
      <c r="K55" s="103">
        <f>K49/(K49+N49)*(1-K10)*C55+K50/(K50+N50)*K10*C55</f>
        <v>0.79883848466626572</v>
      </c>
      <c r="L55" s="15">
        <f>K49/(K49+N49)*(1-K10)*C55</f>
        <v>0.69299848466626579</v>
      </c>
      <c r="M55" s="84">
        <f>K50/(K50+N50)*K10*C55</f>
        <v>0.10583999999999996</v>
      </c>
      <c r="N55" s="83">
        <f>N49/(N49+K49)*(1-K10)*C55+N50/(N50+K50)*K10*C55</f>
        <v>0.96516151533373418</v>
      </c>
      <c r="O55" s="15">
        <f>N49/(K49+N49)*(1-K10)*C55</f>
        <v>1.2601515333734213E-2</v>
      </c>
      <c r="P55" s="84">
        <f>N50/(K50+N50)*K10*C55</f>
        <v>0.95255999999999996</v>
      </c>
      <c r="Q55" s="55" t="s">
        <v>25</v>
      </c>
      <c r="R55" s="66"/>
      <c r="S55" s="57"/>
      <c r="T55" s="57"/>
    </row>
    <row r="56" spans="2:20" x14ac:dyDescent="0.2">
      <c r="B56" s="43" t="s">
        <v>106</v>
      </c>
      <c r="C56" s="2"/>
      <c r="D56" s="37"/>
      <c r="E56" s="2">
        <f>E47*E73</f>
        <v>24</v>
      </c>
      <c r="F56" s="40">
        <v>0</v>
      </c>
      <c r="G56" s="39">
        <v>0</v>
      </c>
      <c r="H56" s="111">
        <f>I56+J56</f>
        <v>5.4124140747815961</v>
      </c>
      <c r="I56" s="41">
        <f>$I$49*I73/1000</f>
        <v>5.4120672000000001</v>
      </c>
      <c r="J56" s="132">
        <f>$J$50*J73/1000</f>
        <v>3.4687478159580658E-4</v>
      </c>
      <c r="K56" s="111">
        <f>L56+M56</f>
        <v>5.3154462074781597</v>
      </c>
      <c r="L56" s="9">
        <f>$L$49*L73/1000</f>
        <v>5.3154115200000005</v>
      </c>
      <c r="M56" s="127">
        <f>$M$50*M73/1000</f>
        <v>3.4687478159580658E-5</v>
      </c>
      <c r="N56" s="111">
        <f>O56+P56</f>
        <v>9.6967867303436234E-2</v>
      </c>
      <c r="O56" s="9">
        <f>$O$49*O73/1000</f>
        <v>9.6655680000000008E-2</v>
      </c>
      <c r="P56" s="127">
        <f>$P$50*P73/1000</f>
        <v>3.1218730343622597E-4</v>
      </c>
      <c r="Q56" s="43" t="s">
        <v>106</v>
      </c>
      <c r="R56" s="66"/>
      <c r="S56" s="57"/>
      <c r="T56" s="57"/>
    </row>
    <row r="57" spans="2:20" x14ac:dyDescent="0.2">
      <c r="B57" s="43" t="s">
        <v>107</v>
      </c>
      <c r="C57" s="2"/>
      <c r="D57" s="37"/>
      <c r="E57" s="2">
        <f>E47*E74</f>
        <v>24</v>
      </c>
      <c r="F57" s="40">
        <v>0</v>
      </c>
      <c r="G57" s="39">
        <v>0</v>
      </c>
      <c r="H57" s="111">
        <f t="shared" ref="H57:H58" si="1">I57+J57</f>
        <v>2.3950072732166894</v>
      </c>
      <c r="I57" s="41">
        <f t="shared" ref="I57:I58" si="2">$I$49*I74/1000</f>
        <v>2.3947200000000004</v>
      </c>
      <c r="J57" s="132">
        <f t="shared" ref="J57:J58" si="3">$J$50*J74/1000</f>
        <v>2.8727321668909825E-4</v>
      </c>
      <c r="K57" s="111">
        <f t="shared" ref="K57:K58" si="4">L57+M57</f>
        <v>2.3519807273216693</v>
      </c>
      <c r="L57" s="9">
        <f t="shared" ref="L57:L58" si="5">$L$49*L74/1000</f>
        <v>2.3519520000000003</v>
      </c>
      <c r="M57" s="127">
        <f t="shared" ref="M57:M58" si="6">$M$50*M74/1000</f>
        <v>2.8727321668909822E-5</v>
      </c>
      <c r="N57" s="111">
        <f t="shared" ref="N57:N58" si="7">O57+P57</f>
        <v>4.3026545895020189E-2</v>
      </c>
      <c r="O57" s="9">
        <f t="shared" ref="O57:O58" si="8">$O$49*O74/1000</f>
        <v>4.2768E-2</v>
      </c>
      <c r="P57" s="127">
        <f t="shared" ref="P57:P58" si="9">$P$50*P74/1000</f>
        <v>2.5854589502018844E-4</v>
      </c>
      <c r="Q57" s="43" t="s">
        <v>107</v>
      </c>
      <c r="R57" s="66"/>
      <c r="S57" s="57"/>
      <c r="T57" s="57"/>
    </row>
    <row r="58" spans="2:20" x14ac:dyDescent="0.2">
      <c r="B58" s="43" t="s">
        <v>108</v>
      </c>
      <c r="C58" s="2"/>
      <c r="D58" s="37"/>
      <c r="E58" s="2">
        <f>E47*E75</f>
        <v>24</v>
      </c>
      <c r="F58" s="40">
        <v>0</v>
      </c>
      <c r="G58" s="39">
        <v>0</v>
      </c>
      <c r="H58" s="111">
        <f t="shared" si="1"/>
        <v>9.7705852337655461</v>
      </c>
      <c r="I58" s="41">
        <f t="shared" si="2"/>
        <v>9.7704576000000003</v>
      </c>
      <c r="J58" s="132">
        <f t="shared" si="3"/>
        <v>1.2763376554644087E-4</v>
      </c>
      <c r="K58" s="111">
        <f t="shared" si="4"/>
        <v>9.5959769233765542</v>
      </c>
      <c r="L58" s="9">
        <f t="shared" si="5"/>
        <v>9.5959641599999994</v>
      </c>
      <c r="M58" s="127">
        <f t="shared" si="6"/>
        <v>1.2763376554644084E-5</v>
      </c>
      <c r="N58" s="111">
        <f t="shared" si="7"/>
        <v>0.17460831038899177</v>
      </c>
      <c r="O58" s="9">
        <f t="shared" si="8"/>
        <v>0.17449343999999997</v>
      </c>
      <c r="P58" s="127">
        <f t="shared" si="9"/>
        <v>1.1487038899179677E-4</v>
      </c>
      <c r="Q58" s="43" t="s">
        <v>108</v>
      </c>
      <c r="R58" s="66"/>
      <c r="S58" s="57"/>
      <c r="T58" s="57"/>
    </row>
    <row r="59" spans="2:20" x14ac:dyDescent="0.2">
      <c r="B59" s="12" t="s">
        <v>37</v>
      </c>
      <c r="C59" s="2"/>
      <c r="D59" s="37">
        <v>0</v>
      </c>
      <c r="E59" s="2"/>
      <c r="F59" s="40">
        <v>0</v>
      </c>
      <c r="G59" s="39" t="s">
        <v>32</v>
      </c>
      <c r="H59" s="109">
        <f>K59+N59</f>
        <v>272.976</v>
      </c>
      <c r="I59" s="1"/>
      <c r="J59" s="96"/>
      <c r="K59" s="102">
        <f>$K$50*K3</f>
        <v>27.297599999999996</v>
      </c>
      <c r="L59" s="37">
        <v>0</v>
      </c>
      <c r="M59" s="82">
        <f>K59</f>
        <v>27.297599999999996</v>
      </c>
      <c r="N59" s="80">
        <f>$N$50*K3</f>
        <v>245.67840000000001</v>
      </c>
      <c r="O59" s="37">
        <v>0</v>
      </c>
      <c r="P59" s="82">
        <f>N59</f>
        <v>245.67840000000001</v>
      </c>
      <c r="Q59" s="55" t="s">
        <v>37</v>
      </c>
      <c r="R59" s="63"/>
      <c r="S59" s="59"/>
      <c r="T59" s="59"/>
    </row>
    <row r="60" spans="2:20" x14ac:dyDescent="0.2">
      <c r="B60" s="12" t="s">
        <v>38</v>
      </c>
      <c r="C60" s="2"/>
      <c r="D60" s="37">
        <v>0</v>
      </c>
      <c r="E60" s="2"/>
      <c r="F60" s="40">
        <v>0</v>
      </c>
      <c r="G60" s="39" t="s">
        <v>32</v>
      </c>
      <c r="H60" s="109">
        <f>K60+N60</f>
        <v>117.744</v>
      </c>
      <c r="I60" s="1"/>
      <c r="J60" s="96"/>
      <c r="K60" s="102">
        <f>$K$50*K4</f>
        <v>11.774399999999998</v>
      </c>
      <c r="L60" s="37">
        <v>0</v>
      </c>
      <c r="M60" s="82">
        <f t="shared" ref="M60:M61" si="10">K60</f>
        <v>11.774399999999998</v>
      </c>
      <c r="N60" s="80">
        <f>$N$50*K4</f>
        <v>105.9696</v>
      </c>
      <c r="O60" s="37">
        <v>0</v>
      </c>
      <c r="P60" s="82">
        <f t="shared" ref="P60:P61" si="11">N60</f>
        <v>105.9696</v>
      </c>
      <c r="Q60" s="55" t="s">
        <v>38</v>
      </c>
      <c r="R60" s="63"/>
      <c r="S60" s="59"/>
      <c r="T60" s="59"/>
    </row>
    <row r="61" spans="2:20" x14ac:dyDescent="0.2">
      <c r="B61" s="12" t="s">
        <v>39</v>
      </c>
      <c r="C61" s="2"/>
      <c r="D61" s="37">
        <v>0</v>
      </c>
      <c r="E61" s="2"/>
      <c r="F61" s="40">
        <v>0</v>
      </c>
      <c r="G61" s="39" t="s">
        <v>32</v>
      </c>
      <c r="H61" s="109">
        <f>K61+N61</f>
        <v>70.751999999999995</v>
      </c>
      <c r="I61" s="1"/>
      <c r="J61" s="96"/>
      <c r="K61" s="102">
        <f>$K$50*K5</f>
        <v>7.0751999999999988</v>
      </c>
      <c r="L61" s="37">
        <v>0</v>
      </c>
      <c r="M61" s="82">
        <f t="shared" si="10"/>
        <v>7.0751999999999988</v>
      </c>
      <c r="N61" s="80">
        <f>$N$50*K5</f>
        <v>63.6768</v>
      </c>
      <c r="O61" s="37">
        <v>0</v>
      </c>
      <c r="P61" s="82">
        <f t="shared" si="11"/>
        <v>63.6768</v>
      </c>
      <c r="Q61" s="55" t="s">
        <v>39</v>
      </c>
      <c r="R61" s="63"/>
      <c r="S61" s="59"/>
      <c r="T61" s="59"/>
    </row>
    <row r="62" spans="2:20" hidden="1" x14ac:dyDescent="0.2">
      <c r="B62" s="12" t="s">
        <v>47</v>
      </c>
      <c r="C62" s="14">
        <v>1.4800000000000001E-2</v>
      </c>
      <c r="D62" s="37" t="s">
        <v>32</v>
      </c>
      <c r="E62" s="2" t="e">
        <f>C62+#REF!</f>
        <v>#REF!</v>
      </c>
      <c r="G62" s="39" t="s">
        <v>32</v>
      </c>
      <c r="H62" s="109" t="e">
        <f>K62+N62</f>
        <v>#REF!</v>
      </c>
      <c r="J62" s="85"/>
      <c r="K62" s="102" t="e">
        <f>#REF!+#REF!</f>
        <v>#REF!</v>
      </c>
      <c r="M62" s="85"/>
      <c r="N62" s="89" t="e">
        <f>N50/(N50+#REF!)*(1-D22)*C62+N49/(N49+#REF!)*D22*C62</f>
        <v>#REF!</v>
      </c>
      <c r="P62" s="85"/>
      <c r="Q62" s="55" t="s">
        <v>47</v>
      </c>
      <c r="R62" s="63"/>
      <c r="S62" s="61"/>
      <c r="T62" s="61"/>
    </row>
    <row r="63" spans="2:20" ht="16" thickBot="1" x14ac:dyDescent="0.25">
      <c r="B63" s="22" t="s">
        <v>69</v>
      </c>
      <c r="H63" s="90">
        <f>H59/H53</f>
        <v>3.078547068694852</v>
      </c>
      <c r="I63" s="112"/>
      <c r="J63" s="113"/>
      <c r="K63" s="107"/>
      <c r="L63" s="86"/>
      <c r="M63" s="87">
        <f t="shared" ref="M63" si="12">M59/M53</f>
        <v>5.2012072434607646</v>
      </c>
      <c r="N63" s="90"/>
      <c r="O63" s="86"/>
      <c r="P63" s="87">
        <f>P59/P53</f>
        <v>5.2012072434607655</v>
      </c>
      <c r="Q63" s="56" t="s">
        <v>69</v>
      </c>
      <c r="R63" s="63"/>
      <c r="S63" s="59"/>
      <c r="T63" s="59"/>
    </row>
    <row r="64" spans="2:20" ht="16" thickBot="1" x14ac:dyDescent="0.25">
      <c r="P64" s="33"/>
      <c r="R64" s="63"/>
      <c r="S64" s="61"/>
      <c r="T64" s="61"/>
    </row>
    <row r="65" spans="2:20" ht="16" thickBot="1" x14ac:dyDescent="0.25">
      <c r="B65" s="8" t="s">
        <v>22</v>
      </c>
      <c r="C65" s="10" t="s">
        <v>48</v>
      </c>
      <c r="D65" s="10" t="s">
        <v>49</v>
      </c>
      <c r="E65" s="10" t="s">
        <v>52</v>
      </c>
      <c r="G65" s="24"/>
      <c r="H65" s="108" t="s">
        <v>91</v>
      </c>
      <c r="I65" s="119" t="s">
        <v>84</v>
      </c>
      <c r="J65" s="115" t="s">
        <v>105</v>
      </c>
      <c r="K65" s="139" t="s">
        <v>94</v>
      </c>
      <c r="L65" s="114" t="s">
        <v>95</v>
      </c>
      <c r="M65" s="115" t="s">
        <v>124</v>
      </c>
      <c r="N65" s="77" t="s">
        <v>97</v>
      </c>
      <c r="O65" s="78" t="s">
        <v>98</v>
      </c>
      <c r="P65" s="115" t="s">
        <v>125</v>
      </c>
      <c r="Q65" s="54" t="s">
        <v>22</v>
      </c>
      <c r="R65" s="24"/>
      <c r="S65" s="24"/>
      <c r="T65" s="24"/>
    </row>
    <row r="66" spans="2:20" ht="13" customHeight="1" x14ac:dyDescent="0.2">
      <c r="B66" s="12" t="s">
        <v>34</v>
      </c>
      <c r="C66" s="37">
        <v>0</v>
      </c>
      <c r="D66" s="37">
        <v>0</v>
      </c>
      <c r="E66" s="2">
        <f>E50/E47</f>
        <v>0</v>
      </c>
      <c r="G66" s="3"/>
      <c r="H66" s="125">
        <f>H50/H47</f>
        <v>2200</v>
      </c>
      <c r="I66" s="1"/>
      <c r="J66" s="96"/>
      <c r="K66" s="136">
        <f>K50/K47</f>
        <v>224.44399102224034</v>
      </c>
      <c r="L66" s="137"/>
      <c r="M66" s="140"/>
      <c r="N66" s="98">
        <f>N50/N47</f>
        <v>100000</v>
      </c>
      <c r="O66" s="1"/>
      <c r="P66" s="99"/>
      <c r="Q66" s="55" t="s">
        <v>34</v>
      </c>
      <c r="R66" s="63"/>
      <c r="S66" s="58"/>
      <c r="T66" s="58"/>
    </row>
    <row r="67" spans="2:20" x14ac:dyDescent="0.2">
      <c r="B67" s="12" t="s">
        <v>30</v>
      </c>
      <c r="C67" s="37">
        <f>E4</f>
        <v>200</v>
      </c>
      <c r="D67" s="37">
        <v>0</v>
      </c>
      <c r="E67" s="2">
        <f>E51/E47</f>
        <v>10</v>
      </c>
      <c r="G67" s="3"/>
      <c r="H67" s="125">
        <f>H51/H47</f>
        <v>2200</v>
      </c>
      <c r="I67" s="1"/>
      <c r="J67" s="96"/>
      <c r="K67" s="80">
        <f>K51/K47</f>
        <v>224.44399102224034</v>
      </c>
      <c r="L67" s="2"/>
      <c r="M67" s="133"/>
      <c r="N67" s="98">
        <f>N51/N47</f>
        <v>100000</v>
      </c>
      <c r="O67" s="1"/>
      <c r="P67" s="100"/>
      <c r="Q67" s="55" t="s">
        <v>30</v>
      </c>
      <c r="R67" s="63"/>
      <c r="S67" s="42"/>
      <c r="T67" s="57"/>
    </row>
    <row r="68" spans="2:20" x14ac:dyDescent="0.2">
      <c r="B68" s="12" t="s">
        <v>26</v>
      </c>
      <c r="C68" s="37">
        <f>E5</f>
        <v>28900</v>
      </c>
      <c r="D68" s="37">
        <v>0</v>
      </c>
      <c r="E68" s="2">
        <f>E52/E47</f>
        <v>1445</v>
      </c>
      <c r="G68" s="3"/>
      <c r="H68" s="109">
        <f>H52/H47</f>
        <v>1445.1399999999999</v>
      </c>
      <c r="I68" s="1"/>
      <c r="J68" s="96"/>
      <c r="K68" s="80">
        <f>K52/K47</f>
        <v>277.4773847496117</v>
      </c>
      <c r="L68" s="2">
        <f>L52/L49*I19</f>
        <v>144.81860092202845</v>
      </c>
      <c r="M68" s="51"/>
      <c r="N68" s="80">
        <f>N52/$N$47</f>
        <v>59250.336740829822</v>
      </c>
      <c r="O68" s="2">
        <f>O52/O49*I19</f>
        <v>144.81860092202845</v>
      </c>
      <c r="P68" s="100"/>
      <c r="Q68" s="55" t="s">
        <v>26</v>
      </c>
      <c r="R68" s="57"/>
      <c r="S68" s="62"/>
      <c r="T68" s="62"/>
    </row>
    <row r="69" spans="2:20" x14ac:dyDescent="0.2">
      <c r="B69" s="12" t="s">
        <v>27</v>
      </c>
      <c r="C69" s="37">
        <f>E6</f>
        <v>7540</v>
      </c>
      <c r="D69" s="37">
        <v>0</v>
      </c>
      <c r="E69" s="2">
        <f>E53/E47</f>
        <v>377.00000000000006</v>
      </c>
      <c r="G69" s="3"/>
      <c r="H69" s="109">
        <f>H53/H47</f>
        <v>369.46000000000004</v>
      </c>
      <c r="I69" s="1"/>
      <c r="J69" s="96"/>
      <c r="K69" s="83">
        <f>K53/K47</f>
        <v>173.40830340930827</v>
      </c>
      <c r="L69" s="15">
        <f>L53/L49*I19</f>
        <v>151.13249148125877</v>
      </c>
      <c r="M69" s="133"/>
      <c r="N69" s="83">
        <f>N53/$N$47</f>
        <v>10076.019242333132</v>
      </c>
      <c r="O69" s="15">
        <f>O53/O49*I19</f>
        <v>151.13249148125877</v>
      </c>
      <c r="P69" s="100"/>
      <c r="Q69" s="55" t="s">
        <v>27</v>
      </c>
      <c r="R69" s="57"/>
      <c r="S69" s="62"/>
      <c r="T69" s="62"/>
    </row>
    <row r="70" spans="2:20" x14ac:dyDescent="0.2">
      <c r="B70" s="12" t="s">
        <v>63</v>
      </c>
      <c r="C70" s="37">
        <f>E7</f>
        <v>470</v>
      </c>
      <c r="D70" s="37">
        <v>0</v>
      </c>
      <c r="E70" s="2">
        <f>E54/E47</f>
        <v>23.5</v>
      </c>
      <c r="G70" s="68"/>
      <c r="H70" s="110">
        <f>H54/H49*I19</f>
        <v>1.8641010222489462</v>
      </c>
      <c r="I70" s="1"/>
      <c r="J70" s="96"/>
      <c r="K70" s="83">
        <f>K54/K49*I19</f>
        <v>1.8641010222489462</v>
      </c>
      <c r="L70" s="15">
        <f>L54/L49*I19</f>
        <v>1.8641010222489462</v>
      </c>
      <c r="M70" s="39"/>
      <c r="N70" s="83">
        <f>N54/N49*1000</f>
        <v>1.8641010222489458</v>
      </c>
      <c r="O70" s="15">
        <f>O54/O49*I19</f>
        <v>1.8641010222489458</v>
      </c>
      <c r="P70" s="81"/>
      <c r="Q70" s="55" t="s">
        <v>63</v>
      </c>
      <c r="R70" s="63"/>
      <c r="S70" s="62"/>
      <c r="T70" s="58"/>
    </row>
    <row r="71" spans="2:20" x14ac:dyDescent="0.2">
      <c r="B71" s="12" t="s">
        <v>28</v>
      </c>
      <c r="C71" s="37">
        <f>E8</f>
        <v>146.99999999999997</v>
      </c>
      <c r="D71" s="37">
        <v>0</v>
      </c>
      <c r="E71" s="2">
        <f>E55/E47</f>
        <v>7.35</v>
      </c>
      <c r="G71" s="23"/>
      <c r="H71" s="109">
        <f>H55/H47</f>
        <v>7.35</v>
      </c>
      <c r="I71" s="1"/>
      <c r="J71" s="96"/>
      <c r="K71" s="80">
        <f>K55/K47</f>
        <v>3.3957291227396866</v>
      </c>
      <c r="L71" s="2">
        <f>L55/L49*I19</f>
        <v>2.9464822609741432</v>
      </c>
      <c r="M71" s="133"/>
      <c r="N71" s="80">
        <f>N55/$N$47</f>
        <v>203.10637948942218</v>
      </c>
      <c r="O71" s="2">
        <f>O55/O49*I19</f>
        <v>2.9464822609741428</v>
      </c>
      <c r="P71" s="143"/>
      <c r="Q71" s="55" t="s">
        <v>28</v>
      </c>
      <c r="R71" s="57"/>
      <c r="S71" s="62"/>
      <c r="T71" s="62"/>
    </row>
    <row r="72" spans="2:20" hidden="1" x14ac:dyDescent="0.2">
      <c r="B72" s="12" t="s">
        <v>46</v>
      </c>
      <c r="C72" s="37"/>
      <c r="D72" s="37" t="s">
        <v>32</v>
      </c>
      <c r="E72" s="16" t="e">
        <f>E62/E47</f>
        <v>#REF!</v>
      </c>
      <c r="G72" s="124" t="s">
        <v>32</v>
      </c>
      <c r="H72" s="126" t="e">
        <f>H62/H47</f>
        <v>#REF!</v>
      </c>
      <c r="I72" s="16" t="e">
        <f>J72</f>
        <v>#REF!</v>
      </c>
      <c r="J72" s="127" t="e">
        <f>K72</f>
        <v>#REF!</v>
      </c>
      <c r="K72" s="138" t="e">
        <f>#REF!/#REF!</f>
        <v>#REF!</v>
      </c>
      <c r="L72" s="2" t="e">
        <f>N62/N47</f>
        <v>#REF!</v>
      </c>
      <c r="M72" s="141"/>
      <c r="N72" s="144"/>
      <c r="O72" s="135"/>
      <c r="P72" s="145"/>
      <c r="Q72" s="60"/>
      <c r="S72" s="61"/>
      <c r="T72" s="61"/>
    </row>
    <row r="73" spans="2:20" x14ac:dyDescent="0.2">
      <c r="B73" s="43" t="s">
        <v>81</v>
      </c>
      <c r="C73" s="37"/>
      <c r="D73" s="37"/>
      <c r="E73" s="5">
        <v>100</v>
      </c>
      <c r="G73" s="23"/>
      <c r="H73" s="128"/>
      <c r="I73" s="149">
        <f>G144</f>
        <v>22.6</v>
      </c>
      <c r="J73" s="222">
        <f>G150</f>
        <v>6.5695981362842162E-4</v>
      </c>
      <c r="K73" s="138"/>
      <c r="L73" s="2">
        <f>I73</f>
        <v>22.6</v>
      </c>
      <c r="M73" s="53">
        <f>J73</f>
        <v>6.5695981362842162E-4</v>
      </c>
      <c r="N73" s="144"/>
      <c r="O73" s="2">
        <f>I73</f>
        <v>22.6</v>
      </c>
      <c r="P73" s="127">
        <f>M73</f>
        <v>6.5695981362842162E-4</v>
      </c>
      <c r="Q73" s="142" t="s">
        <v>81</v>
      </c>
      <c r="S73" s="61"/>
      <c r="T73" s="61"/>
    </row>
    <row r="74" spans="2:20" x14ac:dyDescent="0.2">
      <c r="B74" s="43" t="s">
        <v>82</v>
      </c>
      <c r="C74" s="37"/>
      <c r="D74" s="37"/>
      <c r="E74" s="5">
        <v>100</v>
      </c>
      <c r="G74" s="23"/>
      <c r="H74" s="128"/>
      <c r="I74" s="149">
        <f t="shared" ref="I74:I75" si="13">G145</f>
        <v>10</v>
      </c>
      <c r="J74" s="223">
        <f t="shared" ref="J74:J75" si="14">G151</f>
        <v>5.4407806191117099E-4</v>
      </c>
      <c r="K74" s="138"/>
      <c r="L74" s="2">
        <f t="shared" ref="L74:M75" si="15">I74</f>
        <v>10</v>
      </c>
      <c r="M74" s="53">
        <f t="shared" si="15"/>
        <v>5.4407806191117099E-4</v>
      </c>
      <c r="N74" s="144"/>
      <c r="O74" s="2">
        <f t="shared" ref="O74:O75" si="16">I74</f>
        <v>10</v>
      </c>
      <c r="P74" s="127">
        <f t="shared" ref="P74:P75" si="17">M74</f>
        <v>5.4407806191117099E-4</v>
      </c>
      <c r="Q74" s="142" t="s">
        <v>82</v>
      </c>
      <c r="S74" s="61"/>
      <c r="T74" s="61"/>
    </row>
    <row r="75" spans="2:20" ht="16" thickBot="1" x14ac:dyDescent="0.25">
      <c r="B75" s="43" t="s">
        <v>83</v>
      </c>
      <c r="C75" s="1"/>
      <c r="D75" s="1"/>
      <c r="E75" s="5">
        <v>100</v>
      </c>
      <c r="H75" s="129"/>
      <c r="I75" s="224">
        <f t="shared" si="13"/>
        <v>40.799999999999997</v>
      </c>
      <c r="J75" s="225">
        <f t="shared" si="14"/>
        <v>2.4173061656522892E-4</v>
      </c>
      <c r="K75" s="120"/>
      <c r="L75" s="97">
        <f t="shared" si="15"/>
        <v>40.799999999999997</v>
      </c>
      <c r="M75" s="134">
        <f t="shared" si="15"/>
        <v>2.4173061656522892E-4</v>
      </c>
      <c r="N75" s="146"/>
      <c r="O75" s="97">
        <f t="shared" si="16"/>
        <v>40.799999999999997</v>
      </c>
      <c r="P75" s="130">
        <f t="shared" si="17"/>
        <v>2.4173061656522892E-4</v>
      </c>
      <c r="Q75" s="142" t="s">
        <v>83</v>
      </c>
      <c r="S75" s="61"/>
      <c r="T75" s="61"/>
    </row>
    <row r="76" spans="2:20" x14ac:dyDescent="0.2">
      <c r="M76" s="33"/>
      <c r="N76" s="33"/>
      <c r="O76" s="33"/>
      <c r="P76" s="60"/>
      <c r="Q76" s="60"/>
      <c r="S76" s="61"/>
      <c r="T76" s="61"/>
    </row>
    <row r="77" spans="2:20" x14ac:dyDescent="0.2">
      <c r="C77" s="23"/>
      <c r="D77" s="23"/>
      <c r="E77" s="23"/>
      <c r="F77" s="23"/>
      <c r="G77" s="23"/>
      <c r="H77" s="23"/>
      <c r="I77" s="23"/>
      <c r="J77" s="23"/>
      <c r="K77" s="23"/>
      <c r="L77" s="34"/>
      <c r="M77" s="34"/>
      <c r="N77" s="34"/>
      <c r="O77" s="23"/>
    </row>
    <row r="78" spans="2:20" x14ac:dyDescent="0.2">
      <c r="F78" s="23" t="s">
        <v>78</v>
      </c>
      <c r="G78" s="23" t="s">
        <v>79</v>
      </c>
      <c r="H78" s="23" t="s">
        <v>80</v>
      </c>
      <c r="K78" s="17"/>
    </row>
    <row r="79" spans="2:20" x14ac:dyDescent="0.2">
      <c r="D79" t="s">
        <v>73</v>
      </c>
      <c r="E79" s="23" t="s">
        <v>74</v>
      </c>
      <c r="F79" s="23" t="s">
        <v>75</v>
      </c>
      <c r="G79" t="s">
        <v>77</v>
      </c>
      <c r="I79" s="17"/>
      <c r="J79" s="17"/>
      <c r="K79" s="121"/>
    </row>
    <row r="80" spans="2:20" x14ac:dyDescent="0.2">
      <c r="D80" t="s">
        <v>24</v>
      </c>
      <c r="E80" s="20">
        <f>C53</f>
        <v>90.48</v>
      </c>
      <c r="F80" s="20">
        <f>G53+K53+N53</f>
        <v>90.484800000000007</v>
      </c>
      <c r="G80" s="23"/>
      <c r="H80" s="23"/>
      <c r="K80" s="121"/>
    </row>
    <row r="81" spans="1:14" x14ac:dyDescent="0.2">
      <c r="D81" t="s">
        <v>86</v>
      </c>
      <c r="E81" s="20">
        <f>C55</f>
        <v>1.7639999999999998</v>
      </c>
      <c r="F81" s="20">
        <f>K55+N55</f>
        <v>1.7639999999999998</v>
      </c>
      <c r="G81" s="23"/>
      <c r="H81" s="23"/>
    </row>
    <row r="82" spans="1:14" x14ac:dyDescent="0.2">
      <c r="D82" t="s">
        <v>87</v>
      </c>
      <c r="E82" s="20">
        <f>C54</f>
        <v>5.64</v>
      </c>
      <c r="F82" s="3">
        <f>G54+K54+N54</f>
        <v>2.2559999999999998</v>
      </c>
      <c r="G82" s="72">
        <f>K9*E54</f>
        <v>3.3839999999999999</v>
      </c>
      <c r="H82" s="20">
        <f>F82+G82</f>
        <v>5.64</v>
      </c>
    </row>
    <row r="83" spans="1:14" x14ac:dyDescent="0.2">
      <c r="D83" t="s">
        <v>88</v>
      </c>
      <c r="E83" s="20">
        <f>C47+D47+F47</f>
        <v>0.315</v>
      </c>
      <c r="F83" s="20">
        <f>G47+K47+N47</f>
        <v>0.31499999999999995</v>
      </c>
    </row>
    <row r="85" spans="1:14" x14ac:dyDescent="0.2">
      <c r="D85" t="s">
        <v>101</v>
      </c>
      <c r="E85" s="101">
        <f>K3/5</f>
        <v>0.10340000000000001</v>
      </c>
      <c r="F85" s="73">
        <v>9.9400000000000002E-2</v>
      </c>
    </row>
    <row r="86" spans="1:14" x14ac:dyDescent="0.2">
      <c r="D86" t="s">
        <v>102</v>
      </c>
      <c r="E86">
        <f>E85*H50</f>
        <v>54.595200000000006</v>
      </c>
      <c r="F86" s="17">
        <f>F85*H50</f>
        <v>52.483200000000004</v>
      </c>
    </row>
    <row r="87" spans="1:14" x14ac:dyDescent="0.2">
      <c r="D87" t="s">
        <v>103</v>
      </c>
      <c r="E87" s="17">
        <f>H53-(L53+O53)</f>
        <v>52.478400000000001</v>
      </c>
      <c r="F87" s="17">
        <f>H53-(L53+O53)</f>
        <v>52.478400000000001</v>
      </c>
    </row>
    <row r="88" spans="1:14" x14ac:dyDescent="0.2">
      <c r="E88" s="17"/>
      <c r="F88" s="17"/>
    </row>
    <row r="89" spans="1:14" x14ac:dyDescent="0.2">
      <c r="E89" s="17"/>
      <c r="F89" s="17"/>
    </row>
    <row r="90" spans="1:14" x14ac:dyDescent="0.2">
      <c r="A90" s="219"/>
      <c r="B90" s="219"/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</row>
    <row r="91" spans="1:14" ht="19" x14ac:dyDescent="0.25">
      <c r="B91" s="178" t="s">
        <v>130</v>
      </c>
      <c r="C91" s="179"/>
      <c r="D91" s="179"/>
    </row>
    <row r="92" spans="1:14" ht="19" x14ac:dyDescent="0.25">
      <c r="B92" s="178"/>
      <c r="C92" s="179"/>
      <c r="D92" s="179"/>
    </row>
    <row r="93" spans="1:14" ht="19" x14ac:dyDescent="0.25">
      <c r="B93" s="178" t="s">
        <v>148</v>
      </c>
      <c r="C93" s="179"/>
      <c r="D93" s="179"/>
    </row>
    <row r="94" spans="1:14" x14ac:dyDescent="0.2">
      <c r="J94" t="s">
        <v>131</v>
      </c>
    </row>
    <row r="95" spans="1:14" x14ac:dyDescent="0.2">
      <c r="B95" s="4" t="s">
        <v>109</v>
      </c>
      <c r="G95" s="4" t="s">
        <v>113</v>
      </c>
      <c r="J95" s="147" t="s">
        <v>122</v>
      </c>
      <c r="K95" s="147" t="s">
        <v>123</v>
      </c>
      <c r="L95" s="12"/>
    </row>
    <row r="96" spans="1:14" x14ac:dyDescent="0.2">
      <c r="J96" s="37">
        <v>7.2</v>
      </c>
      <c r="K96" s="16">
        <f>1/((1/(C101*D101*J96))+(1/C101))</f>
        <v>3.1228760384026111E-2</v>
      </c>
      <c r="L96" s="12" t="s">
        <v>110</v>
      </c>
    </row>
    <row r="97" spans="2:12" x14ac:dyDescent="0.2">
      <c r="J97" s="37">
        <v>7.05</v>
      </c>
      <c r="K97" s="16">
        <f>1/(1/(C102*D102*J97)+1/C102)</f>
        <v>1.3810618003696158E-2</v>
      </c>
      <c r="L97" s="12" t="s">
        <v>111</v>
      </c>
    </row>
    <row r="98" spans="2:12" x14ac:dyDescent="0.2">
      <c r="J98" s="37">
        <v>29.7</v>
      </c>
      <c r="K98" s="16">
        <f>1/(1/(C103*D103*J98)+1/C103)</f>
        <v>1.2566409748122124E-2</v>
      </c>
      <c r="L98" s="12" t="s">
        <v>112</v>
      </c>
    </row>
    <row r="99" spans="2:12" x14ac:dyDescent="0.2">
      <c r="G99" t="s">
        <v>114</v>
      </c>
    </row>
    <row r="100" spans="2:12" ht="22" x14ac:dyDescent="0.25">
      <c r="B100" s="1"/>
      <c r="C100" s="122" t="s">
        <v>116</v>
      </c>
      <c r="D100" s="122" t="s">
        <v>117</v>
      </c>
    </row>
    <row r="101" spans="2:12" ht="19" x14ac:dyDescent="0.25">
      <c r="B101" s="123" t="s">
        <v>110</v>
      </c>
      <c r="C101" s="37">
        <v>0.83</v>
      </c>
      <c r="D101" s="16">
        <v>5.4299999999999999E-3</v>
      </c>
    </row>
    <row r="102" spans="2:12" ht="22" x14ac:dyDescent="0.25">
      <c r="B102" s="123" t="s">
        <v>111</v>
      </c>
      <c r="C102" s="37">
        <v>0.52</v>
      </c>
      <c r="D102" s="16">
        <v>3.8700000000000002E-3</v>
      </c>
      <c r="G102" s="1"/>
      <c r="H102" s="122" t="s">
        <v>115</v>
      </c>
    </row>
    <row r="103" spans="2:12" ht="19" x14ac:dyDescent="0.25">
      <c r="B103" s="123" t="s">
        <v>112</v>
      </c>
      <c r="C103" s="37">
        <v>0.26</v>
      </c>
      <c r="D103" s="16">
        <v>1.7099999999999999E-3</v>
      </c>
      <c r="G103" s="123" t="s">
        <v>110</v>
      </c>
      <c r="H103" s="231">
        <v>2.8000000000000001E-2</v>
      </c>
      <c r="I103" t="s">
        <v>150</v>
      </c>
    </row>
    <row r="104" spans="2:12" ht="19" x14ac:dyDescent="0.25">
      <c r="G104" s="123" t="s">
        <v>111</v>
      </c>
      <c r="H104" s="231">
        <v>7.3999999999999996E-2</v>
      </c>
    </row>
    <row r="105" spans="2:12" ht="19" x14ac:dyDescent="0.25">
      <c r="G105" s="123" t="s">
        <v>112</v>
      </c>
      <c r="H105" s="231">
        <v>1.2E-2</v>
      </c>
    </row>
    <row r="107" spans="2:12" x14ac:dyDescent="0.2">
      <c r="B107" s="4" t="s">
        <v>118</v>
      </c>
    </row>
    <row r="114" spans="1:15" ht="16" thickBot="1" x14ac:dyDescent="0.25"/>
    <row r="115" spans="1:15" x14ac:dyDescent="0.2">
      <c r="B115" s="150"/>
      <c r="C115" s="116"/>
      <c r="D115" s="152"/>
      <c r="E115" s="117"/>
      <c r="G115" s="241" t="s">
        <v>142</v>
      </c>
      <c r="H115" s="242"/>
      <c r="I115" s="243"/>
    </row>
    <row r="116" spans="1:15" ht="16" thickBot="1" x14ac:dyDescent="0.25">
      <c r="B116" s="151"/>
      <c r="C116" s="118"/>
      <c r="E116" s="85"/>
      <c r="G116" s="251" t="s">
        <v>127</v>
      </c>
      <c r="H116" s="252"/>
      <c r="I116" s="173" t="s">
        <v>126</v>
      </c>
      <c r="J116" t="s">
        <v>129</v>
      </c>
    </row>
    <row r="117" spans="1:15" ht="16" thickTop="1" x14ac:dyDescent="0.2">
      <c r="A117" s="182" t="s">
        <v>110</v>
      </c>
      <c r="B117" s="180">
        <f>E47*E73</f>
        <v>24</v>
      </c>
      <c r="C117" s="153"/>
      <c r="D117" s="154">
        <f>H103*24*J96*D19+D14*D16*K96+H47*J96</f>
        <v>24.022865482765788</v>
      </c>
      <c r="E117" s="155"/>
      <c r="F117" t="s">
        <v>120</v>
      </c>
      <c r="G117" s="171">
        <f>J96</f>
        <v>7.2</v>
      </c>
      <c r="H117" s="172" t="s">
        <v>121</v>
      </c>
      <c r="I117" s="163">
        <f>AVERAGE(28.98,20.77,19.29)</f>
        <v>23.013333333333332</v>
      </c>
      <c r="J117" t="s">
        <v>154</v>
      </c>
    </row>
    <row r="118" spans="1:15" x14ac:dyDescent="0.2">
      <c r="A118" s="183" t="s">
        <v>111</v>
      </c>
      <c r="B118" s="180">
        <f>E47*E74</f>
        <v>24</v>
      </c>
      <c r="C118" s="153"/>
      <c r="D118" s="154">
        <f>H104*24*J97*D19+D14*D16*K97+H47*J97</f>
        <v>24.008966305951567</v>
      </c>
      <c r="E118" s="155"/>
      <c r="F118" t="s">
        <v>120</v>
      </c>
      <c r="G118" s="162">
        <f t="shared" ref="G118:G119" si="18">J97</f>
        <v>7.05</v>
      </c>
      <c r="H118" s="55" t="s">
        <v>121</v>
      </c>
      <c r="I118" s="202">
        <f>AVERAGE(2.51,25.68,1.84)</f>
        <v>10.01</v>
      </c>
      <c r="J118" t="s">
        <v>154</v>
      </c>
    </row>
    <row r="119" spans="1:15" ht="16" thickBot="1" x14ac:dyDescent="0.25">
      <c r="A119" s="184" t="s">
        <v>112</v>
      </c>
      <c r="B119" s="181">
        <f>E47*E75</f>
        <v>24</v>
      </c>
      <c r="C119" s="156"/>
      <c r="D119" s="157">
        <f>H105*24*J98*D19+D14*D16*K98+H47*J98</f>
        <v>24.027384347008482</v>
      </c>
      <c r="E119" s="158"/>
      <c r="F119" t="s">
        <v>120</v>
      </c>
      <c r="G119" s="165">
        <f t="shared" si="18"/>
        <v>29.7</v>
      </c>
      <c r="H119" s="166" t="s">
        <v>121</v>
      </c>
      <c r="I119" s="203">
        <f>AVERAGE(25.44,23.57,71.54)</f>
        <v>40.183333333333337</v>
      </c>
      <c r="J119" t="s">
        <v>154</v>
      </c>
    </row>
    <row r="120" spans="1:15" ht="16" thickBot="1" x14ac:dyDescent="0.25">
      <c r="C120" s="23" t="s">
        <v>144</v>
      </c>
      <c r="D120" s="23" t="s">
        <v>145</v>
      </c>
      <c r="E120" s="23" t="s">
        <v>146</v>
      </c>
      <c r="J120" s="201"/>
    </row>
    <row r="121" spans="1:15" x14ac:dyDescent="0.2">
      <c r="A121" s="182" t="s">
        <v>110</v>
      </c>
      <c r="B121" s="208">
        <v>24</v>
      </c>
      <c r="C121" s="209">
        <f>H103*24*J96*$D$19</f>
        <v>5.8060799999999997</v>
      </c>
      <c r="D121" s="210">
        <f>$D$14*$D$16*K96</f>
        <v>16.488785482765785</v>
      </c>
      <c r="E121" s="212">
        <f>$H$47*J96</f>
        <v>1.728</v>
      </c>
      <c r="G121" s="241" t="s">
        <v>119</v>
      </c>
      <c r="H121" s="242"/>
      <c r="I121" s="243"/>
      <c r="J121" s="201"/>
    </row>
    <row r="122" spans="1:15" ht="16" thickBot="1" x14ac:dyDescent="0.25">
      <c r="A122" s="183" t="s">
        <v>111</v>
      </c>
      <c r="B122" s="159">
        <v>24</v>
      </c>
      <c r="C122" s="207">
        <f>H104*24*J97*$D$19</f>
        <v>15.024959999999997</v>
      </c>
      <c r="D122" s="154">
        <f>$D$14*$D$16*K97</f>
        <v>7.2920063059515714</v>
      </c>
      <c r="E122" s="213">
        <f>$H$47*J97</f>
        <v>1.6919999999999999</v>
      </c>
      <c r="G122" s="251" t="s">
        <v>127</v>
      </c>
      <c r="H122" s="252"/>
      <c r="I122" s="173" t="s">
        <v>126</v>
      </c>
      <c r="J122" s="201"/>
    </row>
    <row r="123" spans="1:15" ht="17" thickTop="1" thickBot="1" x14ac:dyDescent="0.25">
      <c r="A123" s="184" t="s">
        <v>112</v>
      </c>
      <c r="B123" s="160">
        <v>24</v>
      </c>
      <c r="C123" s="211">
        <f>H105*24*J98*$D$19</f>
        <v>10.264320000000001</v>
      </c>
      <c r="D123" s="157">
        <f>$D$14*$D$16*K98</f>
        <v>6.6350643470084814</v>
      </c>
      <c r="E123" s="214">
        <f>$H$47*J98</f>
        <v>7.1279999999999992</v>
      </c>
      <c r="G123" s="174">
        <f>K96</f>
        <v>3.1228760384026111E-2</v>
      </c>
      <c r="H123" s="175" t="s">
        <v>128</v>
      </c>
      <c r="I123" s="176">
        <f>AVERAGE(1383.9,624.85,928.6)/1000000</f>
        <v>9.7911666666666668E-4</v>
      </c>
      <c r="J123" t="s">
        <v>154</v>
      </c>
    </row>
    <row r="124" spans="1:15" x14ac:dyDescent="0.2">
      <c r="B124" s="23" t="s">
        <v>143</v>
      </c>
      <c r="D124" s="23" t="s">
        <v>143</v>
      </c>
      <c r="G124" s="168">
        <f t="shared" ref="G124:G125" si="19">K97</f>
        <v>1.3810618003696158E-2</v>
      </c>
      <c r="H124" s="161" t="s">
        <v>128</v>
      </c>
      <c r="I124" s="199" t="s">
        <v>32</v>
      </c>
      <c r="J124" t="s">
        <v>154</v>
      </c>
    </row>
    <row r="125" spans="1:15" ht="16" thickBot="1" x14ac:dyDescent="0.25">
      <c r="G125" s="169">
        <f t="shared" si="19"/>
        <v>1.2566409748122124E-2</v>
      </c>
      <c r="H125" s="170" t="s">
        <v>128</v>
      </c>
      <c r="I125" s="177">
        <f>AVERAGE(201.65,118.92,254.97)/1000000</f>
        <v>1.9184666666666666E-4</v>
      </c>
      <c r="J125" t="s">
        <v>154</v>
      </c>
    </row>
    <row r="127" spans="1:15" x14ac:dyDescent="0.2">
      <c r="A127" s="219"/>
      <c r="B127" s="219"/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</row>
    <row r="128" spans="1:15" x14ac:dyDescent="0.2">
      <c r="A128" s="226"/>
      <c r="B128" s="226"/>
      <c r="C128" s="226"/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</row>
    <row r="129" spans="1:13" ht="19" x14ac:dyDescent="0.25">
      <c r="A129" s="226"/>
      <c r="B129" s="178" t="s">
        <v>147</v>
      </c>
      <c r="M129" s="226"/>
    </row>
    <row r="130" spans="1:13" ht="16" thickBot="1" x14ac:dyDescent="0.25">
      <c r="A130" s="226"/>
      <c r="M130" s="226"/>
    </row>
    <row r="131" spans="1:13" ht="22" thickBot="1" x14ac:dyDescent="0.3">
      <c r="A131" s="226"/>
      <c r="B131" s="204" t="s">
        <v>132</v>
      </c>
      <c r="G131" s="255" t="s">
        <v>140</v>
      </c>
      <c r="H131" s="256"/>
      <c r="I131" s="257"/>
      <c r="M131" s="226"/>
    </row>
    <row r="132" spans="1:13" ht="19" x14ac:dyDescent="0.25">
      <c r="A132" s="226"/>
      <c r="G132" s="185"/>
      <c r="H132" s="186" t="s">
        <v>133</v>
      </c>
      <c r="I132" s="187" t="s">
        <v>134</v>
      </c>
      <c r="K132" s="122" t="s">
        <v>139</v>
      </c>
      <c r="M132" s="226"/>
    </row>
    <row r="133" spans="1:13" ht="19" x14ac:dyDescent="0.25">
      <c r="A133" s="226"/>
      <c r="G133" s="188" t="s">
        <v>110</v>
      </c>
      <c r="H133" s="37">
        <v>0.08</v>
      </c>
      <c r="I133" s="82">
        <v>7.05</v>
      </c>
      <c r="K133" s="16">
        <f>1/((1/I133/H133^2)+(1/H133*24*D20))</f>
        <v>6.5695981362842162E-4</v>
      </c>
      <c r="M133" s="226"/>
    </row>
    <row r="134" spans="1:13" ht="20" thickBot="1" x14ac:dyDescent="0.3">
      <c r="A134" s="226"/>
      <c r="G134" s="188" t="s">
        <v>111</v>
      </c>
      <c r="H134" s="37">
        <v>7.0000000000000007E-2</v>
      </c>
      <c r="I134" s="82">
        <v>1.65</v>
      </c>
      <c r="K134" s="16">
        <f>1/((1/I134/H134^2)+(1/H134*24*D20))</f>
        <v>5.4407806191117099E-4</v>
      </c>
      <c r="M134" s="226"/>
    </row>
    <row r="135" spans="1:13" ht="20" thickBot="1" x14ac:dyDescent="0.3">
      <c r="A135" s="226"/>
      <c r="B135" s="150"/>
      <c r="C135" s="116"/>
      <c r="D135" s="152"/>
      <c r="E135" s="117"/>
      <c r="G135" s="189" t="s">
        <v>112</v>
      </c>
      <c r="H135" s="190">
        <v>0.03</v>
      </c>
      <c r="I135" s="87">
        <v>8.1199999999999992</v>
      </c>
      <c r="K135" s="16">
        <f>1/((1/I135/H135^2)+(1/H135*24*D20))</f>
        <v>2.4173061656522892E-4</v>
      </c>
      <c r="M135" s="226"/>
    </row>
    <row r="136" spans="1:13" ht="16" thickBot="1" x14ac:dyDescent="0.25">
      <c r="A136" s="226"/>
      <c r="B136" s="151"/>
      <c r="C136" s="118"/>
      <c r="E136" s="85"/>
      <c r="G136" s="191" t="s">
        <v>138</v>
      </c>
      <c r="H136" s="192"/>
      <c r="M136" s="226"/>
    </row>
    <row r="137" spans="1:13" x14ac:dyDescent="0.2">
      <c r="A137" s="227" t="s">
        <v>110</v>
      </c>
      <c r="B137" s="180">
        <f>E47*E73</f>
        <v>24</v>
      </c>
      <c r="C137" s="153"/>
      <c r="D137" s="154">
        <f>H103*24*G137*$D$19+$D$14*$D$16*K133+H47*G137</f>
        <v>23.995514781595809</v>
      </c>
      <c r="E137" s="155"/>
      <c r="F137" t="s">
        <v>135</v>
      </c>
      <c r="G137" s="205">
        <v>22.6</v>
      </c>
      <c r="H137" s="193" t="s">
        <v>110</v>
      </c>
      <c r="M137" s="226"/>
    </row>
    <row r="138" spans="1:13" x14ac:dyDescent="0.2">
      <c r="A138" s="228" t="s">
        <v>111</v>
      </c>
      <c r="B138" s="180">
        <f>E47*E73</f>
        <v>24</v>
      </c>
      <c r="C138" s="153"/>
      <c r="D138" s="154">
        <f>H104*24*G138*D19+D14*D16*K134+H47*G138</f>
        <v>23.999273216689094</v>
      </c>
      <c r="E138" s="155"/>
      <c r="F138" t="s">
        <v>135</v>
      </c>
      <c r="G138" s="205">
        <v>10</v>
      </c>
      <c r="H138" s="193" t="s">
        <v>111</v>
      </c>
      <c r="M138" s="226"/>
    </row>
    <row r="139" spans="1:13" ht="16" thickBot="1" x14ac:dyDescent="0.25">
      <c r="A139" s="229" t="s">
        <v>112</v>
      </c>
      <c r="B139" s="181">
        <f>E47*E73</f>
        <v>24</v>
      </c>
      <c r="C139" s="156"/>
      <c r="D139" s="157">
        <f>H105*24*G139*D19+D14*D16*K135+H47*G139</f>
        <v>24.020113765546441</v>
      </c>
      <c r="E139" s="158"/>
      <c r="F139" t="s">
        <v>135</v>
      </c>
      <c r="G139" s="206">
        <v>40.799999999999997</v>
      </c>
      <c r="H139" s="194" t="s">
        <v>112</v>
      </c>
      <c r="M139" s="226"/>
    </row>
    <row r="140" spans="1:13" ht="16" thickBot="1" x14ac:dyDescent="0.25">
      <c r="A140" s="226"/>
      <c r="C140" s="23" t="s">
        <v>144</v>
      </c>
      <c r="D140" s="23" t="s">
        <v>145</v>
      </c>
      <c r="E140" s="23" t="s">
        <v>146</v>
      </c>
      <c r="M140" s="226"/>
    </row>
    <row r="141" spans="1:13" ht="16" thickBot="1" x14ac:dyDescent="0.25">
      <c r="A141" s="227" t="s">
        <v>110</v>
      </c>
      <c r="B141" s="208">
        <v>24</v>
      </c>
      <c r="C141" s="209">
        <f>H103*24*G137*$D$19</f>
        <v>18.224640000000001</v>
      </c>
      <c r="D141" s="210">
        <f>$D$14*$D$16*K133</f>
        <v>0.34687478159580659</v>
      </c>
      <c r="E141" s="212">
        <f>H47*G137</f>
        <v>5.4240000000000004</v>
      </c>
      <c r="K141" t="s">
        <v>150</v>
      </c>
      <c r="M141" s="226"/>
    </row>
    <row r="142" spans="1:13" ht="22" x14ac:dyDescent="0.25">
      <c r="A142" s="228" t="s">
        <v>111</v>
      </c>
      <c r="B142" s="159">
        <v>24</v>
      </c>
      <c r="C142" s="207">
        <f>H104*24*G138*D19</f>
        <v>21.311999999999998</v>
      </c>
      <c r="D142" s="154">
        <f>D14*D16*K134</f>
        <v>0.28727321668909828</v>
      </c>
      <c r="E142" s="213">
        <f>H47*G138</f>
        <v>2.4</v>
      </c>
      <c r="G142" s="241" t="s">
        <v>136</v>
      </c>
      <c r="H142" s="242"/>
      <c r="I142" s="243"/>
      <c r="K142" s="1"/>
      <c r="L142" s="122" t="s">
        <v>115</v>
      </c>
      <c r="M142" s="226"/>
    </row>
    <row r="143" spans="1:13" ht="20" thickBot="1" x14ac:dyDescent="0.3">
      <c r="A143" s="229" t="s">
        <v>112</v>
      </c>
      <c r="B143" s="160">
        <v>24</v>
      </c>
      <c r="C143" s="211">
        <f>H105*24*G139*D19</f>
        <v>14.100480000000001</v>
      </c>
      <c r="D143" s="157">
        <f>D14*D16*K135</f>
        <v>0.12763376554644087</v>
      </c>
      <c r="E143" s="214">
        <f>H47*G139</f>
        <v>9.7919999999999998</v>
      </c>
      <c r="G143" s="251" t="s">
        <v>127</v>
      </c>
      <c r="H143" s="252"/>
      <c r="I143" s="173" t="s">
        <v>126</v>
      </c>
      <c r="K143" s="123" t="s">
        <v>110</v>
      </c>
      <c r="L143" s="231">
        <v>2.8000000000000001E-2</v>
      </c>
      <c r="M143" s="226"/>
    </row>
    <row r="144" spans="1:13" ht="19" x14ac:dyDescent="0.25">
      <c r="A144" s="226"/>
      <c r="B144" s="23" t="s">
        <v>143</v>
      </c>
      <c r="D144" s="23" t="s">
        <v>143</v>
      </c>
      <c r="G144" s="171">
        <f>G137</f>
        <v>22.6</v>
      </c>
      <c r="H144" s="172" t="s">
        <v>121</v>
      </c>
      <c r="I144" s="218">
        <f>AVERAGE(28.98,20.77,19.29)</f>
        <v>23.013333333333332</v>
      </c>
      <c r="K144" s="123" t="s">
        <v>111</v>
      </c>
      <c r="L144" s="231">
        <v>7.3999999999999996E-2</v>
      </c>
      <c r="M144" s="226"/>
    </row>
    <row r="145" spans="1:13" ht="19" x14ac:dyDescent="0.25">
      <c r="A145" s="226"/>
      <c r="G145" s="162">
        <f>G138</f>
        <v>10</v>
      </c>
      <c r="H145" s="55" t="s">
        <v>121</v>
      </c>
      <c r="I145" s="164">
        <f>AVERAGE(2.51,25.68,1.84)</f>
        <v>10.01</v>
      </c>
      <c r="K145" s="123" t="s">
        <v>112</v>
      </c>
      <c r="L145" s="231">
        <v>1.2E-2</v>
      </c>
      <c r="M145" s="226"/>
    </row>
    <row r="146" spans="1:13" ht="16" thickBot="1" x14ac:dyDescent="0.25">
      <c r="A146" s="226"/>
      <c r="G146" s="165">
        <f>G139</f>
        <v>40.799999999999997</v>
      </c>
      <c r="H146" s="166" t="s">
        <v>121</v>
      </c>
      <c r="I146" s="167">
        <f>AVERAGE(25.44,23.57,71.54)</f>
        <v>40.183333333333337</v>
      </c>
      <c r="M146" s="226"/>
    </row>
    <row r="147" spans="1:13" ht="16" thickBot="1" x14ac:dyDescent="0.25">
      <c r="A147" s="226"/>
      <c r="M147" s="226"/>
    </row>
    <row r="148" spans="1:13" x14ac:dyDescent="0.2">
      <c r="A148" s="226"/>
      <c r="G148" s="258" t="s">
        <v>137</v>
      </c>
      <c r="H148" s="259"/>
      <c r="I148" s="260"/>
      <c r="M148" s="226"/>
    </row>
    <row r="149" spans="1:13" ht="16" thickBot="1" x14ac:dyDescent="0.25">
      <c r="A149" s="226"/>
      <c r="G149" s="253" t="s">
        <v>127</v>
      </c>
      <c r="H149" s="254"/>
      <c r="I149" s="173" t="s">
        <v>126</v>
      </c>
      <c r="M149" s="226"/>
    </row>
    <row r="150" spans="1:13" ht="16" thickTop="1" x14ac:dyDescent="0.2">
      <c r="A150" s="226"/>
      <c r="G150" s="174">
        <f>K133</f>
        <v>6.5695981362842162E-4</v>
      </c>
      <c r="H150" s="175" t="s">
        <v>128</v>
      </c>
      <c r="I150" s="195">
        <f>AVERAGE(1383.9,624.85,928.6)/1000000</f>
        <v>9.7911666666666668E-4</v>
      </c>
      <c r="M150" s="226"/>
    </row>
    <row r="151" spans="1:13" x14ac:dyDescent="0.2">
      <c r="A151" s="226"/>
      <c r="G151" s="168">
        <f>K134</f>
        <v>5.4407806191117099E-4</v>
      </c>
      <c r="H151" s="161" t="s">
        <v>128</v>
      </c>
      <c r="I151" s="199" t="s">
        <v>32</v>
      </c>
      <c r="M151" s="226"/>
    </row>
    <row r="152" spans="1:13" ht="16" thickBot="1" x14ac:dyDescent="0.25">
      <c r="A152" s="226"/>
      <c r="G152" s="169">
        <f>K135</f>
        <v>2.4173061656522892E-4</v>
      </c>
      <c r="H152" s="170" t="s">
        <v>128</v>
      </c>
      <c r="I152" s="196">
        <f>AVERAGE(201.65,118.92,254.97)/1000000</f>
        <v>1.9184666666666666E-4</v>
      </c>
      <c r="M152" s="226"/>
    </row>
    <row r="153" spans="1:13" x14ac:dyDescent="0.2">
      <c r="A153" s="226"/>
      <c r="B153" s="226"/>
      <c r="C153" s="226"/>
      <c r="D153" s="226"/>
      <c r="E153" s="226"/>
      <c r="F153" s="226"/>
      <c r="G153" s="226"/>
      <c r="H153" s="226"/>
      <c r="I153" s="226"/>
      <c r="J153" s="226"/>
      <c r="K153" s="226"/>
      <c r="L153" s="226"/>
      <c r="M153" s="226"/>
    </row>
    <row r="154" spans="1:13" s="220" customFormat="1" ht="5.5" customHeight="1" x14ac:dyDescent="0.2"/>
    <row r="155" spans="1:13" ht="16" thickBot="1" x14ac:dyDescent="0.25"/>
    <row r="156" spans="1:13" ht="22" thickBot="1" x14ac:dyDescent="0.3">
      <c r="B156" s="204" t="s">
        <v>132</v>
      </c>
      <c r="G156" s="255" t="s">
        <v>141</v>
      </c>
      <c r="H156" s="256"/>
      <c r="I156" s="257"/>
    </row>
    <row r="157" spans="1:13" ht="19" x14ac:dyDescent="0.25">
      <c r="G157" s="185"/>
      <c r="H157" s="186" t="s">
        <v>133</v>
      </c>
      <c r="I157" s="187" t="s">
        <v>134</v>
      </c>
      <c r="K157" s="122" t="s">
        <v>139</v>
      </c>
    </row>
    <row r="158" spans="1:13" ht="19" x14ac:dyDescent="0.25">
      <c r="G158" s="188" t="s">
        <v>110</v>
      </c>
      <c r="H158" s="37">
        <v>0.02</v>
      </c>
      <c r="I158" s="82">
        <v>27.9</v>
      </c>
      <c r="K158" s="16">
        <f>1/((1/I158/H158^2)+(1/H158*24*$D$20))</f>
        <v>1.6421424367274868E-4</v>
      </c>
    </row>
    <row r="159" spans="1:13" ht="20" thickBot="1" x14ac:dyDescent="0.3">
      <c r="G159" s="188" t="s">
        <v>111</v>
      </c>
      <c r="H159" s="37">
        <v>0.02</v>
      </c>
      <c r="I159" s="82">
        <v>26.66</v>
      </c>
      <c r="K159" s="16">
        <f t="shared" ref="K159:K160" si="20">1/((1/I159/H159^2)+(1/H159*24*$D$20))</f>
        <v>1.6410193278345439E-4</v>
      </c>
    </row>
    <row r="160" spans="1:13" ht="20" thickBot="1" x14ac:dyDescent="0.3">
      <c r="B160" s="150"/>
      <c r="C160" s="116"/>
      <c r="D160" s="152"/>
      <c r="E160" s="117"/>
      <c r="G160" s="189" t="s">
        <v>112</v>
      </c>
      <c r="H160" s="190">
        <v>0.01</v>
      </c>
      <c r="I160" s="87">
        <v>8.49</v>
      </c>
      <c r="K160" s="16">
        <f t="shared" si="20"/>
        <v>7.5884876653557385E-5</v>
      </c>
    </row>
    <row r="161" spans="1:11" ht="16" thickBot="1" x14ac:dyDescent="0.25">
      <c r="B161" s="151"/>
      <c r="C161" s="118"/>
      <c r="E161" s="85"/>
      <c r="G161" s="191" t="s">
        <v>138</v>
      </c>
      <c r="H161" s="192"/>
    </row>
    <row r="162" spans="1:11" x14ac:dyDescent="0.2">
      <c r="A162" s="182" t="s">
        <v>110</v>
      </c>
      <c r="B162" s="180">
        <f>E47*E73</f>
        <v>24</v>
      </c>
      <c r="C162" s="153"/>
      <c r="D162" s="154">
        <f>H103*24*G162*$D$19+$D$14*$D$16*K158+$H$47*G162</f>
        <v>24.677105120659213</v>
      </c>
      <c r="E162" s="155"/>
      <c r="F162" t="s">
        <v>135</v>
      </c>
      <c r="G162" s="205">
        <v>23.5</v>
      </c>
      <c r="H162" s="193" t="s">
        <v>110</v>
      </c>
    </row>
    <row r="163" spans="1:11" x14ac:dyDescent="0.2">
      <c r="A163" s="183" t="s">
        <v>111</v>
      </c>
      <c r="B163" s="180">
        <f>E47*E73</f>
        <v>24</v>
      </c>
      <c r="C163" s="153"/>
      <c r="D163" s="154">
        <f>H104*24*G163*$D$19+$D$14*$D$16*K159+$H$47*G163</f>
        <v>51.446837820509664</v>
      </c>
      <c r="E163" s="155"/>
      <c r="F163" t="s">
        <v>135</v>
      </c>
      <c r="G163" s="205">
        <v>21.66</v>
      </c>
      <c r="H163" s="193" t="s">
        <v>111</v>
      </c>
    </row>
    <row r="164" spans="1:11" ht="16" thickBot="1" x14ac:dyDescent="0.25">
      <c r="A164" s="184" t="s">
        <v>112</v>
      </c>
      <c r="B164" s="181">
        <f>E47*E73</f>
        <v>24</v>
      </c>
      <c r="C164" s="156"/>
      <c r="D164" s="157">
        <f>H105*24*G164*$D$19+$D$14*$D$16*K160+$H$47*G164</f>
        <v>26.901539214873075</v>
      </c>
      <c r="E164" s="158"/>
      <c r="F164" t="s">
        <v>135</v>
      </c>
      <c r="G164" s="206">
        <v>45.87</v>
      </c>
      <c r="H164" s="194" t="s">
        <v>112</v>
      </c>
      <c r="K164" t="s">
        <v>131</v>
      </c>
    </row>
    <row r="165" spans="1:11" ht="16" thickBot="1" x14ac:dyDescent="0.25">
      <c r="C165" s="23" t="s">
        <v>144</v>
      </c>
      <c r="D165" s="23" t="s">
        <v>145</v>
      </c>
      <c r="E165" s="23" t="s">
        <v>146</v>
      </c>
    </row>
    <row r="166" spans="1:11" ht="16" thickBot="1" x14ac:dyDescent="0.25">
      <c r="A166" s="182" t="s">
        <v>110</v>
      </c>
      <c r="B166" s="208">
        <v>24</v>
      </c>
      <c r="C166" s="209">
        <f>H103*24*G162*$D$19</f>
        <v>18.950400000000002</v>
      </c>
      <c r="D166" s="210">
        <f>$D$14*$D$16*K158</f>
        <v>8.6705120659211307E-2</v>
      </c>
      <c r="E166" s="212">
        <f>$H$47*G162</f>
        <v>5.64</v>
      </c>
    </row>
    <row r="167" spans="1:11" x14ac:dyDescent="0.2">
      <c r="A167" s="183" t="s">
        <v>111</v>
      </c>
      <c r="B167" s="159">
        <v>24</v>
      </c>
      <c r="C167" s="207">
        <f>H104*24*G163*$D$19</f>
        <v>46.161791999999998</v>
      </c>
      <c r="D167" s="154">
        <f>$D$14*$D$16*K159</f>
        <v>8.6645820509663921E-2</v>
      </c>
      <c r="E167" s="213">
        <f>$H$47*G163</f>
        <v>5.1983999999999995</v>
      </c>
      <c r="G167" s="241" t="s">
        <v>136</v>
      </c>
      <c r="H167" s="242"/>
      <c r="I167" s="243"/>
    </row>
    <row r="168" spans="1:11" ht="16" thickBot="1" x14ac:dyDescent="0.25">
      <c r="A168" s="184" t="s">
        <v>112</v>
      </c>
      <c r="B168" s="160">
        <v>24</v>
      </c>
      <c r="C168" s="211">
        <f>H105*24*G164*$D$19</f>
        <v>15.852672</v>
      </c>
      <c r="D168" s="157">
        <f>$D$14*$D$16*K160</f>
        <v>4.0067214873078301E-2</v>
      </c>
      <c r="E168" s="214">
        <f>$H$47*G164</f>
        <v>11.008799999999999</v>
      </c>
      <c r="G168" s="251" t="s">
        <v>127</v>
      </c>
      <c r="H168" s="252"/>
      <c r="I168" s="173" t="s">
        <v>126</v>
      </c>
    </row>
    <row r="169" spans="1:11" x14ac:dyDescent="0.2">
      <c r="B169" s="23" t="s">
        <v>143</v>
      </c>
      <c r="D169" s="23" t="s">
        <v>143</v>
      </c>
      <c r="G169" s="171">
        <f>G162</f>
        <v>23.5</v>
      </c>
      <c r="H169" s="172" t="s">
        <v>121</v>
      </c>
      <c r="I169" s="163">
        <f>AVERAGE(28.98,20.77,19.29)</f>
        <v>23.013333333333332</v>
      </c>
    </row>
    <row r="170" spans="1:11" x14ac:dyDescent="0.2">
      <c r="G170" s="162">
        <f>G163</f>
        <v>21.66</v>
      </c>
      <c r="H170" s="55" t="s">
        <v>121</v>
      </c>
      <c r="I170" s="197">
        <f>AVERAGE(2.51,25.68,1.84)</f>
        <v>10.01</v>
      </c>
    </row>
    <row r="171" spans="1:11" ht="16" thickBot="1" x14ac:dyDescent="0.25">
      <c r="G171" s="165">
        <f>G164</f>
        <v>45.87</v>
      </c>
      <c r="H171" s="166" t="s">
        <v>121</v>
      </c>
      <c r="I171" s="167">
        <f>AVERAGE(25.44,23.57,71.54)</f>
        <v>40.183333333333337</v>
      </c>
    </row>
    <row r="172" spans="1:11" ht="16" thickBot="1" x14ac:dyDescent="0.25"/>
    <row r="173" spans="1:11" x14ac:dyDescent="0.2">
      <c r="G173" s="258" t="s">
        <v>137</v>
      </c>
      <c r="H173" s="259"/>
      <c r="I173" s="260"/>
    </row>
    <row r="174" spans="1:11" ht="16" thickBot="1" x14ac:dyDescent="0.25">
      <c r="G174" s="253" t="s">
        <v>127</v>
      </c>
      <c r="H174" s="254"/>
      <c r="I174" s="173" t="s">
        <v>126</v>
      </c>
    </row>
    <row r="175" spans="1:11" ht="16" thickTop="1" x14ac:dyDescent="0.2">
      <c r="G175" s="174">
        <f>K158</f>
        <v>1.6421424367274868E-4</v>
      </c>
      <c r="H175" s="175" t="s">
        <v>128</v>
      </c>
      <c r="I175" s="216">
        <f>AVERAGE(1383.9,624.85,928.6)/1000000</f>
        <v>9.7911666666666668E-4</v>
      </c>
    </row>
    <row r="176" spans="1:11" x14ac:dyDescent="0.2">
      <c r="G176" s="168">
        <f>K159</f>
        <v>1.6410193278345439E-4</v>
      </c>
      <c r="H176" s="161" t="s">
        <v>128</v>
      </c>
      <c r="I176" s="199" t="s">
        <v>32</v>
      </c>
    </row>
    <row r="177" spans="7:9" ht="16" thickBot="1" x14ac:dyDescent="0.25">
      <c r="G177" s="169">
        <f>K160</f>
        <v>7.5884876653557385E-5</v>
      </c>
      <c r="H177" s="170" t="s">
        <v>128</v>
      </c>
      <c r="I177" s="221">
        <f>AVERAGE(201.65,118.92,254.97)/1000000</f>
        <v>1.9184666666666666E-4</v>
      </c>
    </row>
  </sheetData>
  <mergeCells count="37">
    <mergeCell ref="G174:H174"/>
    <mergeCell ref="G148:I148"/>
    <mergeCell ref="G149:H149"/>
    <mergeCell ref="G156:I156"/>
    <mergeCell ref="G167:I167"/>
    <mergeCell ref="G168:H168"/>
    <mergeCell ref="G173:I173"/>
    <mergeCell ref="G143:H143"/>
    <mergeCell ref="A22:B22"/>
    <mergeCell ref="F22:G22"/>
    <mergeCell ref="A24:B24"/>
    <mergeCell ref="A25:B25"/>
    <mergeCell ref="C45:D45"/>
    <mergeCell ref="G115:I115"/>
    <mergeCell ref="G116:H116"/>
    <mergeCell ref="G121:I121"/>
    <mergeCell ref="G122:H122"/>
    <mergeCell ref="G131:I131"/>
    <mergeCell ref="G142:I142"/>
    <mergeCell ref="A21:B21"/>
    <mergeCell ref="A12:B12"/>
    <mergeCell ref="J12:K12"/>
    <mergeCell ref="A13:B13"/>
    <mergeCell ref="A14:B14"/>
    <mergeCell ref="A15:B15"/>
    <mergeCell ref="A16:B16"/>
    <mergeCell ref="A17:B17"/>
    <mergeCell ref="A18:B18"/>
    <mergeCell ref="A19:B19"/>
    <mergeCell ref="G19:H19"/>
    <mergeCell ref="A20:B20"/>
    <mergeCell ref="A11:B11"/>
    <mergeCell ref="B2:E2"/>
    <mergeCell ref="I3:J3"/>
    <mergeCell ref="I4:J4"/>
    <mergeCell ref="I5:J5"/>
    <mergeCell ref="J7:K7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BM dato product Martina</vt:lpstr>
      <vt:lpstr>con K_DES que cierra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Johanna Zambrano</cp:lastModifiedBy>
  <dcterms:created xsi:type="dcterms:W3CDTF">2022-05-04T15:21:39Z</dcterms:created>
  <dcterms:modified xsi:type="dcterms:W3CDTF">2022-11-04T19:22:37Z</dcterms:modified>
</cp:coreProperties>
</file>