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aro\Documents\a FICHEROS JUANJO -----\INVESTIGACION 2\Tesis Johana\"/>
    </mc:Choice>
  </mc:AlternateContent>
  <bookViews>
    <workbookView xWindow="0" yWindow="0" windowWidth="15360" windowHeight="6344" tabRatio="598" activeTab="1"/>
  </bookViews>
  <sheets>
    <sheet name="CONCENTRACIONES" sheetId="7" r:id="rId1"/>
    <sheet name="modelo  calculos sin IS" sheetId="9" r:id="rId2"/>
    <sheet name="mod cal con IS" sheetId="11" r:id="rId3"/>
    <sheet name="Hoja2" sheetId="12" r:id="rId4"/>
    <sheet name="Hoja1" sheetId="13" r:id="rId5"/>
    <sheet name="Hoja3" sheetId="14" r:id="rId6"/>
    <sheet name="Hoja4" sheetId="15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1" l="1"/>
  <c r="E10" i="11"/>
  <c r="E11" i="11"/>
  <c r="E12" i="11"/>
  <c r="E13" i="11"/>
  <c r="E14" i="11"/>
  <c r="E15" i="11"/>
  <c r="E16" i="11"/>
  <c r="F10" i="11"/>
  <c r="G10" i="11" s="1"/>
  <c r="F11" i="11"/>
  <c r="G11" i="11" s="1"/>
  <c r="F12" i="11"/>
  <c r="G12" i="11" s="1"/>
  <c r="E10" i="9"/>
  <c r="E11" i="9"/>
  <c r="E12" i="9"/>
  <c r="D9" i="9"/>
  <c r="D10" i="9"/>
  <c r="D11" i="9"/>
  <c r="D12" i="9"/>
  <c r="D13" i="9"/>
  <c r="D14" i="9"/>
  <c r="D15" i="9"/>
  <c r="D16" i="9"/>
  <c r="F10" i="9"/>
  <c r="F11" i="9"/>
  <c r="F12" i="9" l="1"/>
  <c r="B17" i="11" l="1"/>
  <c r="F17" i="11" s="1"/>
  <c r="G17" i="11" s="1"/>
  <c r="E17" i="11"/>
  <c r="B18" i="11"/>
  <c r="F18" i="11" s="1"/>
  <c r="G18" i="11" s="1"/>
  <c r="E18" i="11"/>
  <c r="B19" i="11"/>
  <c r="F19" i="11" s="1"/>
  <c r="G19" i="11" s="1"/>
  <c r="E19" i="11"/>
  <c r="B20" i="11"/>
  <c r="F20" i="11" s="1"/>
  <c r="G20" i="11" s="1"/>
  <c r="E20" i="11"/>
  <c r="B5" i="11" l="1"/>
  <c r="B6" i="11"/>
  <c r="B17" i="9"/>
  <c r="F17" i="9" s="1"/>
  <c r="B7" i="9"/>
  <c r="F7" i="9" s="1"/>
  <c r="B8" i="9"/>
  <c r="F8" i="9" s="1"/>
  <c r="B16" i="9"/>
  <c r="B9" i="9"/>
  <c r="B15" i="9"/>
  <c r="B5" i="9"/>
  <c r="F5" i="9" s="1"/>
  <c r="F20" i="9"/>
  <c r="F4" i="9"/>
  <c r="B16" i="11"/>
  <c r="F16" i="11" s="1"/>
  <c r="B15" i="11"/>
  <c r="F15" i="11" s="1"/>
  <c r="B14" i="11"/>
  <c r="F14" i="11" s="1"/>
  <c r="B13" i="11"/>
  <c r="F13" i="11" s="1"/>
  <c r="G13" i="11" s="1"/>
  <c r="B9" i="11"/>
  <c r="F9" i="11" s="1"/>
  <c r="B8" i="11"/>
  <c r="B7" i="11"/>
  <c r="B6" i="9"/>
  <c r="F6" i="9" s="1"/>
  <c r="B19" i="9"/>
  <c r="F19" i="9" s="1"/>
  <c r="B20" i="9"/>
  <c r="F15" i="9" l="1"/>
  <c r="E15" i="9"/>
  <c r="F9" i="9"/>
  <c r="E9" i="9"/>
  <c r="F16" i="9"/>
  <c r="E16" i="9"/>
  <c r="E20" i="9"/>
  <c r="D20" i="9"/>
  <c r="D19" i="9"/>
  <c r="E19" i="9"/>
  <c r="D18" i="9"/>
  <c r="B18" i="9"/>
  <c r="F18" i="9" s="1"/>
  <c r="D17" i="9"/>
  <c r="B14" i="9"/>
  <c r="B13" i="9"/>
  <c r="E8" i="9"/>
  <c r="D8" i="9"/>
  <c r="E7" i="9"/>
  <c r="D7" i="9"/>
  <c r="D6" i="9"/>
  <c r="E6" i="9"/>
  <c r="D5" i="9"/>
  <c r="E5" i="9"/>
  <c r="E4" i="9"/>
  <c r="D4" i="9"/>
  <c r="E3" i="9"/>
  <c r="D3" i="9"/>
  <c r="E2" i="9"/>
  <c r="D2" i="9"/>
  <c r="F13" i="9" l="1"/>
  <c r="E13" i="9"/>
  <c r="F14" i="9"/>
  <c r="E14" i="9"/>
  <c r="M5" i="9" s="1"/>
  <c r="Y19" i="9"/>
  <c r="E18" i="9"/>
  <c r="E17" i="9"/>
  <c r="M3" i="9" s="1"/>
  <c r="Y7" i="9"/>
  <c r="Y6" i="9"/>
  <c r="U12" i="9" l="1"/>
  <c r="U11" i="9"/>
  <c r="U10" i="9"/>
  <c r="U8" i="9"/>
  <c r="M4" i="9"/>
  <c r="U16" i="9"/>
  <c r="U17" i="9"/>
  <c r="E21" i="9"/>
  <c r="Z5" i="9" s="1"/>
  <c r="U3" i="9"/>
  <c r="Y9" i="9"/>
  <c r="Y18" i="9"/>
  <c r="X18" i="9"/>
  <c r="U15" i="9"/>
  <c r="U5" i="9"/>
  <c r="U19" i="9"/>
  <c r="U20" i="9"/>
  <c r="U9" i="9"/>
  <c r="U6" i="9"/>
  <c r="U4" i="9"/>
  <c r="U18" i="9"/>
  <c r="U13" i="9"/>
  <c r="U14" i="9"/>
  <c r="U2" i="9"/>
  <c r="U7" i="9"/>
  <c r="Y5" i="9" l="1"/>
  <c r="M6" i="9"/>
  <c r="M8" i="9" s="1"/>
  <c r="Y8" i="9"/>
  <c r="X20" i="9" s="1"/>
  <c r="G10" i="9" l="1"/>
  <c r="G11" i="9"/>
  <c r="G12" i="9"/>
  <c r="M13" i="9"/>
  <c r="M14" i="9" s="1"/>
  <c r="M15" i="9" s="1"/>
  <c r="G8" i="9"/>
  <c r="J8" i="9" s="1"/>
  <c r="M11" i="9"/>
  <c r="G17" i="9"/>
  <c r="J17" i="9" s="1"/>
  <c r="G16" i="9"/>
  <c r="I16" i="9" s="1"/>
  <c r="G4" i="9"/>
  <c r="G6" i="9"/>
  <c r="G9" i="9"/>
  <c r="I9" i="9" s="1"/>
  <c r="G13" i="9"/>
  <c r="J13" i="9" s="1"/>
  <c r="G5" i="9"/>
  <c r="G18" i="9"/>
  <c r="J18" i="9" s="1"/>
  <c r="G14" i="9"/>
  <c r="I14" i="9" s="1"/>
  <c r="G15" i="9"/>
  <c r="J15" i="9" s="1"/>
  <c r="G19" i="9"/>
  <c r="J19" i="9" s="1"/>
  <c r="G7" i="9"/>
  <c r="G20" i="9"/>
  <c r="I20" i="9" s="1"/>
  <c r="J12" i="9" l="1"/>
  <c r="I12" i="9"/>
  <c r="I11" i="9"/>
  <c r="J11" i="9"/>
  <c r="I10" i="9"/>
  <c r="J10" i="9"/>
  <c r="J16" i="9"/>
  <c r="I8" i="9"/>
  <c r="M16" i="9"/>
  <c r="M17" i="9" s="1"/>
  <c r="N3" i="9"/>
  <c r="N4" i="9"/>
  <c r="N5" i="9"/>
  <c r="I18" i="9"/>
  <c r="J14" i="9"/>
  <c r="I17" i="9"/>
  <c r="I15" i="9"/>
  <c r="I19" i="9"/>
  <c r="J9" i="9"/>
  <c r="Z9" i="9"/>
  <c r="I13" i="9"/>
  <c r="J20" i="9"/>
  <c r="Z6" i="9"/>
  <c r="Z7" i="9"/>
  <c r="V5" i="9" s="1"/>
  <c r="V10" i="9" l="1"/>
  <c r="V11" i="9"/>
  <c r="V12" i="9"/>
  <c r="V17" i="9"/>
  <c r="V14" i="9"/>
  <c r="V6" i="9"/>
  <c r="V19" i="9"/>
  <c r="V9" i="9"/>
  <c r="N7" i="9"/>
  <c r="N8" i="9" s="1"/>
  <c r="M10" i="9" s="1"/>
  <c r="V4" i="9"/>
  <c r="V16" i="9"/>
  <c r="V8" i="9"/>
  <c r="V18" i="9"/>
  <c r="V13" i="9"/>
  <c r="V7" i="9"/>
  <c r="V15" i="9"/>
  <c r="V20" i="9"/>
  <c r="Z8" i="9" l="1"/>
  <c r="Y20" i="9" s="1"/>
  <c r="N11" i="9" s="1"/>
  <c r="N13" i="9" l="1"/>
  <c r="N14" i="9" s="1"/>
  <c r="N16" i="9" s="1"/>
  <c r="N15" i="9" l="1"/>
  <c r="N17" i="9" s="1"/>
  <c r="D6" i="7" l="1"/>
  <c r="E7" i="7" l="1"/>
  <c r="F7" i="7"/>
  <c r="E8" i="7"/>
  <c r="F8" i="7"/>
  <c r="E9" i="7"/>
  <c r="F9" i="7"/>
  <c r="E10" i="7"/>
  <c r="F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29" i="7"/>
  <c r="F29" i="7"/>
  <c r="E30" i="7"/>
  <c r="F30" i="7"/>
  <c r="E31" i="7"/>
  <c r="F31" i="7"/>
  <c r="E32" i="7"/>
  <c r="F32" i="7"/>
  <c r="E33" i="7"/>
  <c r="F33" i="7"/>
  <c r="E34" i="7"/>
  <c r="F34" i="7"/>
  <c r="E35" i="7"/>
  <c r="F35" i="7"/>
  <c r="F6" i="7"/>
  <c r="E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1" i="7"/>
  <c r="D22" i="7"/>
  <c r="D23" i="7"/>
  <c r="D24" i="7"/>
  <c r="D25" i="7"/>
  <c r="D26" i="7"/>
  <c r="D27" i="7"/>
  <c r="D29" i="7"/>
  <c r="D30" i="7"/>
  <c r="D31" i="7"/>
  <c r="D32" i="7"/>
  <c r="D33" i="7"/>
  <c r="D34" i="7"/>
  <c r="D35" i="7"/>
  <c r="E5" i="11" l="1"/>
  <c r="E2" i="11"/>
  <c r="E3" i="11"/>
  <c r="E4" i="11"/>
  <c r="E6" i="11"/>
  <c r="E7" i="11"/>
  <c r="F3" i="11" l="1"/>
  <c r="F4" i="11"/>
  <c r="F5" i="11"/>
  <c r="F6" i="11"/>
  <c r="F7" i="11"/>
  <c r="F8" i="11"/>
  <c r="F2" i="11"/>
  <c r="E8" i="11"/>
  <c r="AB6" i="11" l="1"/>
  <c r="AA6" i="11"/>
  <c r="AA7" i="11"/>
  <c r="W10" i="11" l="1"/>
  <c r="W11" i="11"/>
  <c r="W9" i="11"/>
  <c r="W12" i="11"/>
  <c r="W8" i="11"/>
  <c r="W15" i="11"/>
  <c r="W19" i="11"/>
  <c r="W5" i="11"/>
  <c r="W16" i="11"/>
  <c r="W20" i="11"/>
  <c r="W6" i="11"/>
  <c r="W13" i="11"/>
  <c r="W17" i="11"/>
  <c r="W4" i="11"/>
  <c r="W7" i="11"/>
  <c r="W14" i="11"/>
  <c r="W18" i="11"/>
  <c r="W2" i="11"/>
  <c r="W3" i="11"/>
  <c r="AA8" i="11" l="1"/>
  <c r="F21" i="11"/>
  <c r="AA5" i="11" l="1"/>
  <c r="AB5" i="11"/>
  <c r="G16" i="11"/>
  <c r="G15" i="11"/>
  <c r="G14" i="11"/>
  <c r="G9" i="11" l="1"/>
  <c r="G3" i="11" l="1"/>
  <c r="G4" i="11"/>
  <c r="G5" i="11"/>
  <c r="G6" i="11"/>
  <c r="G7" i="11"/>
  <c r="G8" i="11"/>
  <c r="G2" i="11"/>
  <c r="H12" i="11" l="1"/>
  <c r="H11" i="11"/>
  <c r="H10" i="11"/>
  <c r="H20" i="11"/>
  <c r="H17" i="11"/>
  <c r="H19" i="11"/>
  <c r="H18" i="11"/>
  <c r="H8" i="11"/>
  <c r="H7" i="11"/>
  <c r="H6" i="11"/>
  <c r="H5" i="11"/>
  <c r="H13" i="11"/>
  <c r="H14" i="11"/>
  <c r="H16" i="11"/>
  <c r="H15" i="11"/>
  <c r="H4" i="11"/>
  <c r="H9" i="11"/>
  <c r="AB15" i="11"/>
  <c r="AA14" i="11"/>
  <c r="AB14" i="11"/>
  <c r="AA9" i="11"/>
  <c r="O5" i="11"/>
  <c r="O4" i="11"/>
  <c r="O3" i="11"/>
  <c r="O13" i="11" l="1"/>
  <c r="O14" i="11" s="1"/>
  <c r="O16" i="11" s="1"/>
  <c r="AA16" i="11"/>
  <c r="O11" i="11" s="1"/>
  <c r="O6" i="11"/>
  <c r="O8" i="11" s="1"/>
  <c r="I11" i="11" s="1"/>
  <c r="L11" i="11" l="1"/>
  <c r="K11" i="11"/>
  <c r="I12" i="11"/>
  <c r="K12" i="11" s="1"/>
  <c r="I10" i="11"/>
  <c r="I17" i="11"/>
  <c r="I18" i="11"/>
  <c r="I19" i="11"/>
  <c r="I20" i="11"/>
  <c r="O15" i="11"/>
  <c r="O17" i="11" s="1"/>
  <c r="L12" i="11" l="1"/>
  <c r="L10" i="11"/>
  <c r="K10" i="11"/>
  <c r="K19" i="11"/>
  <c r="L19" i="11"/>
  <c r="K18" i="11"/>
  <c r="L18" i="11"/>
  <c r="K20" i="11"/>
  <c r="L20" i="11"/>
  <c r="K17" i="11"/>
  <c r="L17" i="11"/>
  <c r="I16" i="11"/>
  <c r="I14" i="11"/>
  <c r="I15" i="11"/>
  <c r="I13" i="11"/>
  <c r="I9" i="11"/>
  <c r="I5" i="11"/>
  <c r="I4" i="11"/>
  <c r="I6" i="11"/>
  <c r="I7" i="11"/>
  <c r="I8" i="11"/>
  <c r="AB9" i="11" l="1"/>
  <c r="AB7" i="11"/>
  <c r="L13" i="11"/>
  <c r="K13" i="11"/>
  <c r="L15" i="11"/>
  <c r="K15" i="11"/>
  <c r="K14" i="11"/>
  <c r="L14" i="11"/>
  <c r="K16" i="11"/>
  <c r="L16" i="11"/>
  <c r="K8" i="11"/>
  <c r="L8" i="11"/>
  <c r="K9" i="11"/>
  <c r="L9" i="11"/>
  <c r="P4" i="11"/>
  <c r="P3" i="11"/>
  <c r="P5" i="11"/>
  <c r="X11" i="11" l="1"/>
  <c r="X10" i="11"/>
  <c r="X20" i="11"/>
  <c r="X12" i="11"/>
  <c r="X15" i="11"/>
  <c r="X8" i="11"/>
  <c r="X9" i="11"/>
  <c r="X7" i="11"/>
  <c r="X6" i="11"/>
  <c r="X5" i="11"/>
  <c r="X13" i="11"/>
  <c r="X17" i="11"/>
  <c r="X18" i="11"/>
  <c r="X19" i="11"/>
  <c r="X14" i="11"/>
  <c r="X16" i="11"/>
  <c r="X4" i="11"/>
  <c r="P7" i="11"/>
  <c r="P8" i="11" s="1"/>
  <c r="O10" i="11" s="1"/>
  <c r="AB8" i="11" l="1"/>
  <c r="P13" i="11" l="1"/>
  <c r="P14" i="11" s="1"/>
  <c r="P16" i="11" s="1"/>
  <c r="AB16" i="11"/>
  <c r="P11" i="11" s="1"/>
  <c r="P15" i="11" l="1"/>
  <c r="P17" i="11" s="1"/>
</calcChain>
</file>

<file path=xl/comments1.xml><?xml version="1.0" encoding="utf-8"?>
<comments xmlns="http://schemas.openxmlformats.org/spreadsheetml/2006/main">
  <authors>
    <author>Juanjo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Juanjo
No se estiman bien por la curvatura inferior del calibrado y los errores de integración</t>
        </r>
      </text>
    </comment>
    <comment ref="X5" authorId="0" shapeId="0">
      <text>
        <r>
          <rPr>
            <b/>
            <sz val="9"/>
            <color indexed="81"/>
            <rFont val="Tahoma"/>
            <family val="2"/>
          </rPr>
          <t>Juanjo:</t>
        </r>
        <r>
          <rPr>
            <sz val="9"/>
            <color indexed="81"/>
            <rFont val="Tahoma"/>
            <family val="2"/>
          </rPr>
          <t xml:space="preserve">
para n-2 puntos calibrado
MAP: k puntos
MM: k-2 puntos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 xml:space="preserve">media de concentraciones
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Juanjo:</t>
        </r>
        <r>
          <rPr>
            <sz val="9"/>
            <color indexed="81"/>
            <rFont val="Tahoma"/>
            <family val="2"/>
          </rPr>
          <t xml:space="preserve">
Borrar los términos de concentración que no se usen
</t>
        </r>
      </text>
    </comment>
    <comment ref="L17" authorId="0" shapeId="0">
      <text>
        <r>
          <rPr>
            <b/>
            <sz val="10"/>
            <color indexed="81"/>
            <rFont val="Tahoma"/>
            <family val="2"/>
          </rPr>
          <t>Juanjo:Validez modelo según la ordenada.
MAP : SI ORDENADA=0, VERDADERO, NO HAY ANALITO
MM: ORDENADA DEBE SER =0
AP: color rojo =ensayo negativo
AP: color verde =ensayo positivo
MM: color rojo = modelo incorrecto
MM: color verde = modelo correcto</t>
        </r>
      </text>
    </comment>
  </commentList>
</comments>
</file>

<file path=xl/comments2.xml><?xml version="1.0" encoding="utf-8"?>
<comments xmlns="http://schemas.openxmlformats.org/spreadsheetml/2006/main">
  <authors>
    <author>Juanjo</author>
  </authors>
  <commentList>
    <comment ref="Z5" authorId="0" shapeId="0">
      <text>
        <r>
          <rPr>
            <b/>
            <sz val="9"/>
            <color indexed="81"/>
            <rFont val="Tahoma"/>
            <family val="2"/>
          </rPr>
          <t>Juanjo:</t>
        </r>
        <r>
          <rPr>
            <sz val="9"/>
            <color indexed="81"/>
            <rFont val="Tahoma"/>
            <family val="2"/>
          </rPr>
          <t xml:space="preserve">
para n-2 puntos calibrado
MAP: k puntos
MM: k-2 puntos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 xml:space="preserve">media de concentraciones
</t>
        </r>
      </text>
    </comment>
    <comment ref="N13" authorId="0" shapeId="0">
      <text>
        <r>
          <rPr>
            <b/>
            <sz val="9"/>
            <color indexed="81"/>
            <rFont val="Tahoma"/>
            <family val="2"/>
          </rPr>
          <t>Juanjo:</t>
        </r>
        <r>
          <rPr>
            <sz val="9"/>
            <color indexed="81"/>
            <rFont val="Tahoma"/>
            <family val="2"/>
          </rPr>
          <t xml:space="preserve">
Borrar los términos de concentración que no se usen
</t>
        </r>
      </text>
    </comment>
    <comment ref="N17" authorId="0" shapeId="0">
      <text>
        <r>
          <rPr>
            <b/>
            <sz val="10"/>
            <color indexed="81"/>
            <rFont val="Tahoma"/>
            <family val="2"/>
          </rPr>
          <t xml:space="preserve">Juanjo:
MAP :
SI ORDENADA=0, VERDADERO, NO HAY ANALITO
MM: ORDENADA DEBE SER =0
</t>
        </r>
      </text>
    </comment>
  </commentList>
</comments>
</file>

<file path=xl/sharedStrings.xml><?xml version="1.0" encoding="utf-8"?>
<sst xmlns="http://schemas.openxmlformats.org/spreadsheetml/2006/main" count="186" uniqueCount="117">
  <si>
    <t>Sample Name</t>
  </si>
  <si>
    <t>Pendiente</t>
  </si>
  <si>
    <t>Ordenada</t>
  </si>
  <si>
    <t>C eq</t>
  </si>
  <si>
    <t>Corrected actual concentration</t>
  </si>
  <si>
    <t>Area</t>
  </si>
  <si>
    <t>MM</t>
  </si>
  <si>
    <t>S/N</t>
  </si>
  <si>
    <t>LOD</t>
  </si>
  <si>
    <t>LOQ</t>
  </si>
  <si>
    <t>C muestra</t>
  </si>
  <si>
    <t>Conc total=muestra+dopado</t>
  </si>
  <si>
    <t>R2</t>
  </si>
  <si>
    <t>AQ-RECUP1</t>
  </si>
  <si>
    <t>AQ-RECUP2</t>
  </si>
  <si>
    <t>AQ-RECUP3</t>
  </si>
  <si>
    <t>AQ-RECUP4</t>
  </si>
  <si>
    <t>AQ-RECUP5</t>
  </si>
  <si>
    <t>AQ-RECUP6</t>
  </si>
  <si>
    <t>AQ-RECUP7</t>
  </si>
  <si>
    <t>Cdopado</t>
  </si>
  <si>
    <t>esstimación final</t>
  </si>
  <si>
    <t>Area IS</t>
  </si>
  <si>
    <t>Ratio Area</t>
  </si>
  <si>
    <t>t, 95%</t>
  </si>
  <si>
    <t>PARA CADA COMPUESTO</t>
  </si>
  <si>
    <t>CALCULAR LA CONCENTRACIÓN REAL</t>
  </si>
  <si>
    <t>TENIENDO EN CUENTA LA MASA O VOLUMEN REAL</t>
  </si>
  <si>
    <t>DESPUÉS DE DOPAR LA MUESTRA</t>
  </si>
  <si>
    <t>DE LA MUESTRA EN CADA EXTRACCIÓN.</t>
  </si>
  <si>
    <t>Se</t>
  </si>
  <si>
    <t>Sordenada</t>
  </si>
  <si>
    <t>MAP</t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</si>
  <si>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>Ci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</si>
  <si>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sz val="12"/>
        <color theme="1"/>
        <rFont val="Symbol"/>
        <family val="1"/>
        <charset val="2"/>
      </rPr>
      <t>S(</t>
    </r>
    <r>
      <rPr>
        <sz val="12"/>
        <color theme="1"/>
        <rFont val="Calibri"/>
        <family val="2"/>
        <scheme val="minor"/>
      </rPr>
      <t>ci-</t>
    </r>
    <r>
      <rPr>
        <sz val="12"/>
        <color theme="1"/>
        <rFont val="Symbol"/>
        <family val="1"/>
        <charset val="2"/>
      </rPr>
      <t>h)</t>
    </r>
    <r>
      <rPr>
        <vertAlign val="superscript"/>
        <sz val="12"/>
        <color theme="1"/>
        <rFont val="Calibri"/>
        <family val="2"/>
        <scheme val="minor"/>
      </rPr>
      <t>2</t>
    </r>
  </si>
  <si>
    <t>h</t>
  </si>
  <si>
    <r>
      <rPr>
        <sz val="12"/>
        <color rgb="FF800000"/>
        <rFont val="Symbol"/>
        <family val="1"/>
        <charset val="2"/>
      </rPr>
      <t>(</t>
    </r>
    <r>
      <rPr>
        <sz val="12"/>
        <color rgb="FF800000"/>
        <rFont val="Calibri"/>
        <family val="2"/>
        <scheme val="minor"/>
      </rPr>
      <t>ci-</t>
    </r>
    <r>
      <rPr>
        <sz val="12"/>
        <color rgb="FF800000"/>
        <rFont val="Symbol"/>
        <family val="1"/>
        <charset val="2"/>
      </rPr>
      <t>h), M</t>
    </r>
    <r>
      <rPr>
        <sz val="12"/>
        <color rgb="FF800000"/>
        <rFont val="Arial"/>
        <family val="2"/>
      </rPr>
      <t>AP</t>
    </r>
  </si>
  <si>
    <r>
      <rPr>
        <sz val="12"/>
        <color rgb="FF800000"/>
        <rFont val="Symbol"/>
        <family val="1"/>
        <charset val="2"/>
      </rPr>
      <t>(</t>
    </r>
    <r>
      <rPr>
        <sz val="12"/>
        <color rgb="FF800000"/>
        <rFont val="Calibri"/>
        <family val="2"/>
        <scheme val="minor"/>
      </rPr>
      <t>ci-</t>
    </r>
    <r>
      <rPr>
        <sz val="12"/>
        <color rgb="FF800000"/>
        <rFont val="Symbol"/>
        <family val="1"/>
        <charset val="2"/>
      </rPr>
      <t>h),</t>
    </r>
    <r>
      <rPr>
        <sz val="12"/>
        <color rgb="FF800000"/>
        <rFont val="Arial"/>
        <family val="2"/>
      </rPr>
      <t xml:space="preserve"> MM</t>
    </r>
  </si>
  <si>
    <t>Rango orden.</t>
  </si>
  <si>
    <t>¿ORD=0?</t>
  </si>
  <si>
    <t>MM: VERDE, VERDADERO, MODELO CORRECTO</t>
  </si>
  <si>
    <t>MAP: VERDE, FALSO, ENSAYO POSITIVO</t>
  </si>
  <si>
    <t>Cm</t>
  </si>
  <si>
    <t>n, MAP=</t>
  </si>
  <si>
    <t>Diferencia</t>
  </si>
  <si>
    <t>si punto no incluido</t>
  </si>
  <si>
    <t>Quitar C dopado, área y ratio área</t>
  </si>
  <si>
    <t>±Seq±SCm</t>
  </si>
  <si>
    <t>Ord, IC+</t>
  </si>
  <si>
    <t>Ord, IC-</t>
  </si>
  <si>
    <t>Datos originales, entrada de datos</t>
  </si>
  <si>
    <r>
      <t>h,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Cmed</t>
    </r>
  </si>
  <si>
    <t>Borrar C dopado y área</t>
  </si>
  <si>
    <t>R med pat=</t>
  </si>
  <si>
    <t>R med mue=</t>
  </si>
  <si>
    <t>Pat1</t>
  </si>
  <si>
    <t>Pat2</t>
  </si>
  <si>
    <t>Pat3</t>
  </si>
  <si>
    <t>Pat4</t>
  </si>
  <si>
    <t>Pat5</t>
  </si>
  <si>
    <t>Pat6</t>
  </si>
  <si>
    <t>Pat7</t>
  </si>
  <si>
    <t>Pat8</t>
  </si>
  <si>
    <t>Pat9</t>
  </si>
  <si>
    <t>Pat10</t>
  </si>
  <si>
    <t>Pat11</t>
  </si>
  <si>
    <t>Pat12</t>
  </si>
  <si>
    <t>Pat13</t>
  </si>
  <si>
    <t>Pat14</t>
  </si>
  <si>
    <t>BQ-RECUP1</t>
  </si>
  <si>
    <t>BQ-RECUP2</t>
  </si>
  <si>
    <t>BQ-RECUP3</t>
  </si>
  <si>
    <t>BQ-RECUP4</t>
  </si>
  <si>
    <t>BQ-RECUP5</t>
  </si>
  <si>
    <t>BQ-RECUP6</t>
  </si>
  <si>
    <t>BQ-RECUP7</t>
  </si>
  <si>
    <t>Blanco1</t>
  </si>
  <si>
    <t>Blanco2</t>
  </si>
  <si>
    <r>
      <t xml:space="preserve">M </t>
    </r>
    <r>
      <rPr>
        <vertAlign val="subscript"/>
        <sz val="12"/>
        <color rgb="FFFF0000"/>
        <rFont val="Calibri"/>
        <family val="2"/>
        <scheme val="minor"/>
      </rPr>
      <t>muestra</t>
    </r>
  </si>
  <si>
    <t>C real</t>
  </si>
  <si>
    <t>Droga 1</t>
  </si>
  <si>
    <t>Droga 2</t>
  </si>
  <si>
    <t>Droga 3</t>
  </si>
  <si>
    <t>…………</t>
  </si>
  <si>
    <t>C nominal</t>
  </si>
  <si>
    <t>±Ceq ±Cm</t>
  </si>
  <si>
    <t>Pat 1</t>
  </si>
  <si>
    <t>Pat 2</t>
  </si>
  <si>
    <t>Pat 3</t>
  </si>
  <si>
    <t>Pat 4</t>
  </si>
  <si>
    <t>Pat 5</t>
  </si>
  <si>
    <t>Pat 6</t>
  </si>
  <si>
    <t>Pat 7</t>
  </si>
  <si>
    <t>Pat 8</t>
  </si>
  <si>
    <t>Pat 9</t>
  </si>
  <si>
    <t>Pat 10</t>
  </si>
  <si>
    <t>Pat 11</t>
  </si>
  <si>
    <t>Pat 12</t>
  </si>
  <si>
    <t>Pat 13</t>
  </si>
  <si>
    <t>Pat 14</t>
  </si>
  <si>
    <t>Blan 1</t>
  </si>
  <si>
    <t>Blan 2</t>
  </si>
  <si>
    <t>Y LA CONCENTRACIÓN REAL DEL PATRÓN</t>
  </si>
  <si>
    <t>Por ejemplo calculando un factor de concentración relativo</t>
  </si>
  <si>
    <t>Aprox.</t>
  </si>
  <si>
    <t>COMPROBAR EN LOS CROMATOGRAMAS DE LOS BLANCOS/MUESTRAAS</t>
  </si>
  <si>
    <t>SI ESTÁN LAS TRANSICIONES DE LOS ANALITOS</t>
  </si>
  <si>
    <t xml:space="preserve">INDICAR CLARAMENTE QUÉ COMPUESTOS SE HAN VISTO </t>
  </si>
  <si>
    <t>EN LOS CROMATOGRAMAS</t>
  </si>
  <si>
    <t>respecto a la concentración nominal de 1000 ó 20 mg/L, por ejemplo</t>
  </si>
  <si>
    <t>Cambiar el color de la pestaña…a verde</t>
  </si>
  <si>
    <t>calibrados para 17 patrones,</t>
  </si>
  <si>
    <t xml:space="preserve">borrar las líneas amarillas inferiores si hay </t>
  </si>
  <si>
    <t>menos patrones/puntos de calibración</t>
  </si>
  <si>
    <t>Pat 15</t>
  </si>
  <si>
    <t>Pat 16</t>
  </si>
  <si>
    <t>Pat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</si>
</sst>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"/>
  </numFmts>
  <fonts count="3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80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Symbol"/>
      <family val="1"/>
      <charset val="2"/>
    </font>
    <font>
      <sz val="12"/>
      <color theme="1"/>
      <name val="Calibri"/>
      <family val="2"/>
    </font>
    <font>
      <sz val="12"/>
      <color rgb="FF80000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800000"/>
      <name val="Symbol"/>
      <family val="1"/>
      <charset val="2"/>
    </font>
    <font>
      <sz val="12"/>
      <color rgb="FF800000"/>
      <name val="Arial"/>
      <family val="2"/>
    </font>
    <font>
      <b/>
      <sz val="10"/>
      <color indexed="81"/>
      <name val="Tahoma"/>
      <family val="2"/>
    </font>
    <font>
      <b/>
      <sz val="8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"/>
      <color rgb="FF00CC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8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bscript"/>
      <sz val="12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theme="8" tint="-0.24994659260841701"/>
      </left>
      <right/>
      <top/>
      <bottom style="thick">
        <color auto="1"/>
      </bottom>
      <diagonal/>
    </border>
    <border>
      <left/>
      <right/>
      <top/>
      <bottom style="thick">
        <color rgb="FFFF0000"/>
      </bottom>
      <diagonal/>
    </border>
    <border>
      <left style="medium">
        <color theme="8" tint="-0.24994659260841701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166" fontId="4" fillId="0" borderId="1" xfId="0" applyNumberFormat="1" applyFont="1" applyBorder="1" applyAlignment="1">
      <alignment horizontal="center" vertical="center"/>
    </xf>
    <xf numFmtId="11" fontId="4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11" fontId="5" fillId="0" borderId="0" xfId="0" applyNumberFormat="1" applyFont="1" applyAlignment="1">
      <alignment horizontal="center" vertical="center"/>
    </xf>
    <xf numFmtId="0" fontId="2" fillId="0" borderId="0" xfId="0" applyFont="1"/>
    <xf numFmtId="11" fontId="4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4" fillId="4" borderId="0" xfId="0" applyFont="1" applyFill="1"/>
    <xf numFmtId="0" fontId="8" fillId="4" borderId="4" xfId="0" applyFont="1" applyFill="1" applyBorder="1" applyAlignment="1">
      <alignment horizontal="center"/>
    </xf>
    <xf numFmtId="11" fontId="4" fillId="4" borderId="4" xfId="0" applyNumberFormat="1" applyFont="1" applyFill="1" applyBorder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1" fillId="0" borderId="0" xfId="0" applyFont="1"/>
    <xf numFmtId="0" fontId="13" fillId="0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7" fillId="0" borderId="0" xfId="0" applyFont="1" applyFill="1"/>
    <xf numFmtId="0" fontId="12" fillId="6" borderId="0" xfId="0" applyFont="1" applyFill="1" applyAlignment="1">
      <alignment horizontal="center"/>
    </xf>
    <xf numFmtId="1" fontId="13" fillId="6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1" fontId="5" fillId="0" borderId="0" xfId="0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9" fontId="20" fillId="0" borderId="0" xfId="0" applyNumberFormat="1" applyFont="1"/>
    <xf numFmtId="1" fontId="5" fillId="0" borderId="0" xfId="0" applyNumberFormat="1" applyFont="1" applyFill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21" fillId="0" borderId="0" xfId="0" applyFont="1"/>
    <xf numFmtId="0" fontId="22" fillId="7" borderId="0" xfId="0" applyFont="1" applyFill="1"/>
    <xf numFmtId="2" fontId="22" fillId="7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11" fontId="8" fillId="0" borderId="3" xfId="0" applyNumberFormat="1" applyFont="1" applyBorder="1" applyAlignment="1">
      <alignment horizontal="center"/>
    </xf>
    <xf numFmtId="11" fontId="4" fillId="0" borderId="2" xfId="0" applyNumberFormat="1" applyFont="1" applyBorder="1" applyAlignment="1">
      <alignment horizontal="center"/>
    </xf>
    <xf numFmtId="11" fontId="5" fillId="0" borderId="0" xfId="0" applyNumberFormat="1" applyFont="1"/>
    <xf numFmtId="0" fontId="5" fillId="0" borderId="7" xfId="0" applyFont="1" applyBorder="1"/>
    <xf numFmtId="11" fontId="4" fillId="0" borderId="7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2" fontId="25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27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0" fontId="30" fillId="6" borderId="0" xfId="0" applyFont="1" applyFill="1" applyAlignment="1">
      <alignment horizontal="center"/>
    </xf>
    <xf numFmtId="1" fontId="5" fillId="6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0" fontId="14" fillId="8" borderId="0" xfId="0" applyFont="1" applyFill="1"/>
    <xf numFmtId="0" fontId="5" fillId="8" borderId="0" xfId="0" applyFont="1" applyFill="1"/>
    <xf numFmtId="0" fontId="31" fillId="0" borderId="0" xfId="0" applyFont="1"/>
    <xf numFmtId="9" fontId="20" fillId="0" borderId="0" xfId="0" applyNumberFormat="1" applyFont="1" applyAlignment="1">
      <alignment horizontal="center"/>
    </xf>
    <xf numFmtId="0" fontId="8" fillId="5" borderId="0" xfId="0" applyFont="1" applyFill="1" applyBorder="1" applyAlignment="1">
      <alignment horizontal="center"/>
    </xf>
    <xf numFmtId="11" fontId="4" fillId="5" borderId="0" xfId="0" applyNumberFormat="1" applyFont="1" applyFill="1" applyBorder="1" applyAlignment="1">
      <alignment horizontal="center" vertical="center"/>
    </xf>
    <xf numFmtId="11" fontId="4" fillId="5" borderId="8" xfId="0" applyNumberFormat="1" applyFont="1" applyFill="1" applyBorder="1" applyAlignment="1">
      <alignment horizontal="center" vertical="center"/>
    </xf>
    <xf numFmtId="0" fontId="6" fillId="0" borderId="0" xfId="0" applyFont="1"/>
    <xf numFmtId="0" fontId="32" fillId="5" borderId="0" xfId="0" applyFont="1" applyFill="1"/>
    <xf numFmtId="0" fontId="33" fillId="0" borderId="0" xfId="0" applyFont="1"/>
    <xf numFmtId="0" fontId="8" fillId="9" borderId="0" xfId="0" applyFont="1" applyFill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7" fillId="9" borderId="0" xfId="0" applyNumberFormat="1" applyFont="1" applyFill="1" applyAlignment="1">
      <alignment horizontal="center"/>
    </xf>
    <xf numFmtId="165" fontId="7" fillId="9" borderId="3" xfId="0" applyNumberFormat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1" fontId="1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CC00"/>
        </patternFill>
      </fill>
    </dxf>
    <dxf>
      <fill>
        <patternFill>
          <bgColor rgb="FF00CC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00CC00"/>
      <color rgb="FF0000FF"/>
      <color rgb="FF99FFCC"/>
      <color rgb="FFFFFFCC"/>
      <color rgb="FF800000"/>
      <color rgb="FF990099"/>
      <color rgb="FF3366CC"/>
      <color rgb="FF00330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Adiciones patrón</a:t>
            </a:r>
          </a:p>
        </c:rich>
      </c:tx>
      <c:layout>
        <c:manualLayout>
          <c:xMode val="edge"/>
          <c:yMode val="edge"/>
          <c:x val="0.164757194191818"/>
          <c:y val="0.20922763611817971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0842480808238"/>
          <c:y val="3.6992235515660325E-2"/>
          <c:w val="0.85270304788976681"/>
          <c:h val="0.8892821593263960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310087985337951"/>
                  <c:y val="-7.5569200559180941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'modelo  calculos sin IS'!$D$2:$D$20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 formatCode="0.0">
                  <c:v>1</c:v>
                </c:pt>
                <c:pt idx="3" formatCode="0.0">
                  <c:v>5</c:v>
                </c:pt>
                <c:pt idx="4" formatCode="0.0">
                  <c:v>8.4366920827952647</c:v>
                </c:pt>
                <c:pt idx="5" formatCode="0.0">
                  <c:v>16.705649999999999</c:v>
                </c:pt>
                <c:pt idx="6" formatCode="0.0">
                  <c:v>16.899403262222123</c:v>
                </c:pt>
                <c:pt idx="7" formatCode="0.0">
                  <c:v>62.034700000000001</c:v>
                </c:pt>
                <c:pt idx="8" formatCode="0.0">
                  <c:v>66</c:v>
                </c:pt>
                <c:pt idx="9" formatCode="0.0">
                  <c:v>69</c:v>
                </c:pt>
                <c:pt idx="10" formatCode="0.0">
                  <c:v>75</c:v>
                </c:pt>
                <c:pt idx="11" formatCode="0.0">
                  <c:v>84.635683101079607</c:v>
                </c:pt>
                <c:pt idx="12" formatCode="0.0">
                  <c:v>172.65479347067421</c:v>
                </c:pt>
                <c:pt idx="13" formatCode="0.0">
                  <c:v>329.50898853484307</c:v>
                </c:pt>
                <c:pt idx="14" formatCode="0.0">
                  <c:v>693.34997330492979</c:v>
                </c:pt>
                <c:pt idx="15" formatCode="0.0">
                  <c:v>1688.6383691141828</c:v>
                </c:pt>
                <c:pt idx="16" formatCode="0.0">
                  <c:v>3431.1360580924907</c:v>
                </c:pt>
                <c:pt idx="17" formatCode="0.0">
                  <c:v>5119.6557152939195</c:v>
                </c:pt>
                <c:pt idx="18" formatCode="0.0">
                  <c:v>6855.5647834548627</c:v>
                </c:pt>
              </c:numCache>
            </c:numRef>
          </c:xVal>
          <c:yVal>
            <c:numRef>
              <c:f>'modelo  calculos sin IS'!$E$2:$E$20</c:f>
              <c:numCache>
                <c:formatCode>0.00E+00</c:formatCode>
                <c:ptCount val="19"/>
                <c:pt idx="0">
                  <c:v>2000000</c:v>
                </c:pt>
                <c:pt idx="1">
                  <c:v>2000000</c:v>
                </c:pt>
                <c:pt idx="2">
                  <c:v>1000000</c:v>
                </c:pt>
                <c:pt idx="3">
                  <c:v>500000</c:v>
                </c:pt>
                <c:pt idx="4">
                  <c:v>84366.92082795265</c:v>
                </c:pt>
                <c:pt idx="5">
                  <c:v>183762.15</c:v>
                </c:pt>
                <c:pt idx="6">
                  <c:v>2365916.4567110972</c:v>
                </c:pt>
                <c:pt idx="7">
                  <c:v>6836223.9400000004</c:v>
                </c:pt>
                <c:pt idx="8">
                  <c:v>7000000</c:v>
                </c:pt>
                <c:pt idx="9">
                  <c:v>7200000</c:v>
                </c:pt>
                <c:pt idx="10">
                  <c:v>7500000</c:v>
                </c:pt>
                <c:pt idx="11">
                  <c:v>8463568.3101079613</c:v>
                </c:pt>
                <c:pt idx="12">
                  <c:v>17265479.347067419</c:v>
                </c:pt>
                <c:pt idx="13">
                  <c:v>35916479.750297897</c:v>
                </c:pt>
                <c:pt idx="14">
                  <c:v>97068996.262690172</c:v>
                </c:pt>
                <c:pt idx="15">
                  <c:v>202636604.29370192</c:v>
                </c:pt>
                <c:pt idx="16">
                  <c:v>343113605.80924904</c:v>
                </c:pt>
                <c:pt idx="17">
                  <c:v>511965571.52939194</c:v>
                </c:pt>
                <c:pt idx="18">
                  <c:v>685556478.34548628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7F-4316-A3B9-9CBD847D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51360"/>
        <c:axId val="83550592"/>
      </c:scatterChart>
      <c:valAx>
        <c:axId val="81951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0592"/>
        <c:crosses val="autoZero"/>
        <c:crossBetween val="midCat"/>
      </c:valAx>
      <c:valAx>
        <c:axId val="8355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951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Matrix matched</a:t>
            </a:r>
          </a:p>
        </c:rich>
      </c:tx>
      <c:layout>
        <c:manualLayout>
          <c:xMode val="edge"/>
          <c:yMode val="edge"/>
          <c:x val="0.12715282209057963"/>
          <c:y val="0.30540826348928535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63158802604903"/>
          <c:y val="2.9179306640608658E-2"/>
          <c:w val="0.84286508571130891"/>
          <c:h val="0.867021066764723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0695146930265419"/>
                  <c:y val="-0.15957698685331159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'modelo  calculos sin IS'!$G$4:$G$20</c:f>
              <c:numCache>
                <c:formatCode>0</c:formatCode>
                <c:ptCount val="17"/>
                <c:pt idx="0">
                  <c:v>36.037839713289706</c:v>
                </c:pt>
                <c:pt idx="1">
                  <c:v>40.037839713289706</c:v>
                </c:pt>
                <c:pt idx="2">
                  <c:v>43.474531796084975</c:v>
                </c:pt>
                <c:pt idx="3">
                  <c:v>51.743489713289705</c:v>
                </c:pt>
                <c:pt idx="4">
                  <c:v>51.937242975511829</c:v>
                </c:pt>
                <c:pt idx="5">
                  <c:v>97.0725397132897</c:v>
                </c:pt>
                <c:pt idx="6">
                  <c:v>101.03783971328971</c:v>
                </c:pt>
                <c:pt idx="7">
                  <c:v>104.03783971328971</c:v>
                </c:pt>
                <c:pt idx="8">
                  <c:v>110.03783971328971</c:v>
                </c:pt>
                <c:pt idx="9">
                  <c:v>119.67352281436931</c:v>
                </c:pt>
                <c:pt idx="10">
                  <c:v>207.69263318396392</c:v>
                </c:pt>
                <c:pt idx="11">
                  <c:v>364.54682824813278</c:v>
                </c:pt>
                <c:pt idx="12">
                  <c:v>728.3878130182195</c:v>
                </c:pt>
                <c:pt idx="13">
                  <c:v>1723.6762088274725</c:v>
                </c:pt>
                <c:pt idx="14">
                  <c:v>3466.1738978057801</c:v>
                </c:pt>
                <c:pt idx="15">
                  <c:v>5154.6935550072094</c:v>
                </c:pt>
                <c:pt idx="16">
                  <c:v>6890.6026231681526</c:v>
                </c:pt>
              </c:numCache>
            </c:numRef>
          </c:xVal>
          <c:yVal>
            <c:numRef>
              <c:f>'modelo  calculos sin IS'!$E$4:$E$20</c:f>
              <c:numCache>
                <c:formatCode>0.00E+00</c:formatCode>
                <c:ptCount val="17"/>
                <c:pt idx="0">
                  <c:v>1000000</c:v>
                </c:pt>
                <c:pt idx="1">
                  <c:v>500000</c:v>
                </c:pt>
                <c:pt idx="2">
                  <c:v>84366.92082795265</c:v>
                </c:pt>
                <c:pt idx="3">
                  <c:v>183762.15</c:v>
                </c:pt>
                <c:pt idx="4">
                  <c:v>2365916.4567110972</c:v>
                </c:pt>
                <c:pt idx="5">
                  <c:v>6836223.9400000004</c:v>
                </c:pt>
                <c:pt idx="6">
                  <c:v>7000000</c:v>
                </c:pt>
                <c:pt idx="7">
                  <c:v>7200000</c:v>
                </c:pt>
                <c:pt idx="8">
                  <c:v>7500000</c:v>
                </c:pt>
                <c:pt idx="9">
                  <c:v>8463568.3101079613</c:v>
                </c:pt>
                <c:pt idx="10">
                  <c:v>17265479.347067419</c:v>
                </c:pt>
                <c:pt idx="11">
                  <c:v>35916479.750297897</c:v>
                </c:pt>
                <c:pt idx="12">
                  <c:v>97068996.262690172</c:v>
                </c:pt>
                <c:pt idx="13">
                  <c:v>202636604.29370192</c:v>
                </c:pt>
                <c:pt idx="14">
                  <c:v>343113605.80924904</c:v>
                </c:pt>
                <c:pt idx="15">
                  <c:v>511965571.52939194</c:v>
                </c:pt>
                <c:pt idx="16">
                  <c:v>685556478.34548628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11-4049-A731-E8B0E0BF1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65984"/>
        <c:axId val="89511040"/>
      </c:scatterChart>
      <c:valAx>
        <c:axId val="8946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511040"/>
        <c:crosses val="autoZero"/>
        <c:crossBetween val="midCat"/>
      </c:valAx>
      <c:valAx>
        <c:axId val="8951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465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ysClr val="windowText" lastClr="000000"/>
                </a:solidFill>
              </a:rPr>
              <a:t>Adiciones patrón</a:t>
            </a:r>
          </a:p>
        </c:rich>
      </c:tx>
      <c:layout>
        <c:manualLayout>
          <c:xMode val="edge"/>
          <c:yMode val="edge"/>
          <c:x val="0.18382998699369421"/>
          <c:y val="0.23676954201795819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107122452439526"/>
          <c:y val="2.6032317318479121E-2"/>
          <c:w val="0.8074149400093531"/>
          <c:h val="0.9461529735147725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5278515016968603"/>
                  <c:y val="-3.6755839633743327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'mod cal con IS'!$E$2:$E$20</c:f>
              <c:numCache>
                <c:formatCode>0.0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8.4366920827952647</c:v>
                </c:pt>
                <c:pt idx="5">
                  <c:v>16.705649999999999</c:v>
                </c:pt>
                <c:pt idx="6">
                  <c:v>16.899403262222123</c:v>
                </c:pt>
                <c:pt idx="7">
                  <c:v>62</c:v>
                </c:pt>
                <c:pt idx="8">
                  <c:v>65.8</c:v>
                </c:pt>
                <c:pt idx="9">
                  <c:v>70</c:v>
                </c:pt>
                <c:pt idx="10">
                  <c:v>75</c:v>
                </c:pt>
                <c:pt idx="11">
                  <c:v>84.635683101079607</c:v>
                </c:pt>
                <c:pt idx="12">
                  <c:v>172.65479347067421</c:v>
                </c:pt>
                <c:pt idx="13">
                  <c:v>329.50898853484307</c:v>
                </c:pt>
                <c:pt idx="14">
                  <c:v>693.34997330492979</c:v>
                </c:pt>
                <c:pt idx="15">
                  <c:v>1688.6383691141828</c:v>
                </c:pt>
                <c:pt idx="16">
                  <c:v>3431.1360580924907</c:v>
                </c:pt>
                <c:pt idx="17">
                  <c:v>5119.6557152939195</c:v>
                </c:pt>
                <c:pt idx="18">
                  <c:v>6855.5647834548627</c:v>
                </c:pt>
              </c:numCache>
            </c:numRef>
          </c:xVal>
          <c:yVal>
            <c:numRef>
              <c:f>'mod cal con IS'!$G$2:$G$20</c:f>
              <c:numCache>
                <c:formatCode>0.00E+00</c:formatCode>
                <c:ptCount val="19"/>
                <c:pt idx="0">
                  <c:v>373197.37800436997</c:v>
                </c:pt>
                <c:pt idx="1">
                  <c:v>616645.80725907383</c:v>
                </c:pt>
                <c:pt idx="2">
                  <c:v>9433.9622641509432</c:v>
                </c:pt>
                <c:pt idx="3">
                  <c:v>25000</c:v>
                </c:pt>
                <c:pt idx="4">
                  <c:v>157427.56821647097</c:v>
                </c:pt>
                <c:pt idx="5">
                  <c:v>51507.345150187735</c:v>
                </c:pt>
                <c:pt idx="6">
                  <c:v>1541551.6569196063</c:v>
                </c:pt>
                <c:pt idx="7">
                  <c:v>5655596.3098810716</c:v>
                </c:pt>
                <c:pt idx="8">
                  <c:v>6950000</c:v>
                </c:pt>
                <c:pt idx="9">
                  <c:v>6041666.666666667</c:v>
                </c:pt>
                <c:pt idx="10">
                  <c:v>7500000</c:v>
                </c:pt>
                <c:pt idx="11">
                  <c:v>7720407.3714633808</c:v>
                </c:pt>
                <c:pt idx="12">
                  <c:v>15749448.594129412</c:v>
                </c:pt>
                <c:pt idx="13">
                  <c:v>36612109.837204784</c:v>
                </c:pt>
                <c:pt idx="14">
                  <c:v>10666922.666229688</c:v>
                </c:pt>
                <c:pt idx="15">
                  <c:v>18973464.821507674</c:v>
                </c:pt>
                <c:pt idx="16">
                  <c:v>38552090.540365063</c:v>
                </c:pt>
                <c:pt idx="17">
                  <c:v>57524221.520156398</c:v>
                </c:pt>
                <c:pt idx="18">
                  <c:v>77028817.791627675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7F-4316-A3B9-9CBD847D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45504"/>
        <c:axId val="109447040"/>
      </c:scatterChart>
      <c:valAx>
        <c:axId val="109445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447040"/>
        <c:crosses val="autoZero"/>
        <c:crossBetween val="midCat"/>
      </c:valAx>
      <c:valAx>
        <c:axId val="10944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44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Matrix matched</a:t>
            </a:r>
          </a:p>
        </c:rich>
      </c:tx>
      <c:layout>
        <c:manualLayout>
          <c:xMode val="edge"/>
          <c:yMode val="edge"/>
          <c:x val="0.45976538738198508"/>
          <c:y val="5.7152039951786256E-2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497103194864583"/>
          <c:y val="2.920966658203451E-2"/>
          <c:w val="0.84286508571130891"/>
          <c:h val="0.94273407220478922"/>
        </c:manualLayout>
      </c:layout>
      <c:scatterChart>
        <c:scatterStyle val="lineMarker"/>
        <c:varyColors val="0"/>
        <c:ser>
          <c:idx val="0"/>
          <c:order val="0"/>
          <c:tx>
            <c:v>PEN2 AQ-Matrix matched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7866488376970781"/>
                  <c:y val="-3.2482199090325833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'mod cal con IS'!$I$4:$I$20</c:f>
              <c:numCache>
                <c:formatCode>0</c:formatCode>
                <c:ptCount val="17"/>
                <c:pt idx="0">
                  <c:v>502.41151070034118</c:v>
                </c:pt>
                <c:pt idx="1">
                  <c:v>506.41151070034118</c:v>
                </c:pt>
                <c:pt idx="2">
                  <c:v>509.84820278313646</c:v>
                </c:pt>
                <c:pt idx="3">
                  <c:v>518.11716070034117</c:v>
                </c:pt>
                <c:pt idx="4">
                  <c:v>518.31091396256329</c:v>
                </c:pt>
                <c:pt idx="5">
                  <c:v>563.41151070034118</c:v>
                </c:pt>
                <c:pt idx="6">
                  <c:v>567.21151070034114</c:v>
                </c:pt>
                <c:pt idx="7">
                  <c:v>571.41151070034118</c:v>
                </c:pt>
                <c:pt idx="8">
                  <c:v>576.41151070034118</c:v>
                </c:pt>
                <c:pt idx="9">
                  <c:v>586.0471938014208</c:v>
                </c:pt>
                <c:pt idx="10">
                  <c:v>674.06630417101542</c:v>
                </c:pt>
                <c:pt idx="11">
                  <c:v>830.92049923518425</c:v>
                </c:pt>
                <c:pt idx="12">
                  <c:v>1194.7614840052711</c:v>
                </c:pt>
                <c:pt idx="13">
                  <c:v>2190.049879814524</c:v>
                </c:pt>
                <c:pt idx="14">
                  <c:v>3932.547568792832</c:v>
                </c:pt>
                <c:pt idx="15">
                  <c:v>5621.0672259942603</c:v>
                </c:pt>
                <c:pt idx="16">
                  <c:v>7356.9762941552035</c:v>
                </c:pt>
              </c:numCache>
            </c:numRef>
          </c:xVal>
          <c:yVal>
            <c:numRef>
              <c:f>'mod cal con IS'!$G$4:$G$20</c:f>
              <c:numCache>
                <c:formatCode>0.00E+00</c:formatCode>
                <c:ptCount val="17"/>
                <c:pt idx="0">
                  <c:v>9433.9622641509432</c:v>
                </c:pt>
                <c:pt idx="1">
                  <c:v>25000</c:v>
                </c:pt>
                <c:pt idx="2">
                  <c:v>157427.56821647097</c:v>
                </c:pt>
                <c:pt idx="3">
                  <c:v>51507.345150187735</c:v>
                </c:pt>
                <c:pt idx="4">
                  <c:v>1541551.6569196063</c:v>
                </c:pt>
                <c:pt idx="5">
                  <c:v>5655596.3098810716</c:v>
                </c:pt>
                <c:pt idx="6">
                  <c:v>6950000</c:v>
                </c:pt>
                <c:pt idx="7">
                  <c:v>6041666.666666667</c:v>
                </c:pt>
                <c:pt idx="8">
                  <c:v>7500000</c:v>
                </c:pt>
                <c:pt idx="9">
                  <c:v>7720407.3714633808</c:v>
                </c:pt>
                <c:pt idx="10">
                  <c:v>15749448.594129412</c:v>
                </c:pt>
                <c:pt idx="11">
                  <c:v>36612109.837204784</c:v>
                </c:pt>
                <c:pt idx="12">
                  <c:v>10666922.666229688</c:v>
                </c:pt>
                <c:pt idx="13">
                  <c:v>18973464.821507674</c:v>
                </c:pt>
                <c:pt idx="14">
                  <c:v>38552090.540365063</c:v>
                </c:pt>
                <c:pt idx="15">
                  <c:v>57524221.520156398</c:v>
                </c:pt>
                <c:pt idx="16">
                  <c:v>77028817.791627675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11-4049-A731-E8B0E0BF1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6784"/>
        <c:axId val="79881344"/>
      </c:scatterChart>
      <c:valAx>
        <c:axId val="7984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81344"/>
        <c:crosses val="autoZero"/>
        <c:crossBetween val="midCat"/>
      </c:valAx>
      <c:valAx>
        <c:axId val="7988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846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67463</xdr:colOff>
      <xdr:row>0</xdr:row>
      <xdr:rowOff>43741</xdr:rowOff>
    </xdr:from>
    <xdr:to>
      <xdr:col>19</xdr:col>
      <xdr:colOff>563562</xdr:colOff>
      <xdr:row>12</xdr:row>
      <xdr:rowOff>127001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C5C780-7874-403F-9800-4703D2666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142875</xdr:colOff>
      <xdr:row>13</xdr:row>
      <xdr:rowOff>109749</xdr:rowOff>
    </xdr:from>
    <xdr:to>
      <xdr:col>19</xdr:col>
      <xdr:colOff>523875</xdr:colOff>
      <xdr:row>25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353961-7954-4F9E-8C0C-6940AB52B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34</xdr:row>
      <xdr:rowOff>39119</xdr:rowOff>
    </xdr:from>
    <xdr:ext cx="184731" cy="264560"/>
    <xdr:sp macro="" textlink="">
      <xdr:nvSpPr>
        <xdr:cNvPr id="5" name="4 CuadroTexto"/>
        <xdr:cNvSpPr txBox="1"/>
      </xdr:nvSpPr>
      <xdr:spPr>
        <a:xfrm>
          <a:off x="4604022" y="73733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6" name="5 CuadroTexto"/>
        <xdr:cNvSpPr txBox="1"/>
      </xdr:nvSpPr>
      <xdr:spPr>
        <a:xfrm>
          <a:off x="5988050" y="772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7" name="6 CuadroTexto"/>
        <xdr:cNvSpPr txBox="1"/>
      </xdr:nvSpPr>
      <xdr:spPr>
        <a:xfrm>
          <a:off x="6585222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5988050" y="772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6585222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6585222" y="6743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0</xdr:colOff>
      <xdr:row>48</xdr:row>
      <xdr:rowOff>39119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4604022" y="10129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5988050" y="1048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13" name="12 CuadroTexto"/>
        <xdr:cNvSpPr txBox="1"/>
      </xdr:nvSpPr>
      <xdr:spPr>
        <a:xfrm>
          <a:off x="5988050" y="1048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179310</xdr:colOff>
      <xdr:row>0</xdr:row>
      <xdr:rowOff>34868</xdr:rowOff>
    </xdr:from>
    <xdr:to>
      <xdr:col>21</xdr:col>
      <xdr:colOff>635000</xdr:colOff>
      <xdr:row>11</xdr:row>
      <xdr:rowOff>198438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C5C780-7874-403F-9800-4703D2666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192032</xdr:colOff>
      <xdr:row>12</xdr:row>
      <xdr:rowOff>131649</xdr:rowOff>
    </xdr:from>
    <xdr:to>
      <xdr:col>21</xdr:col>
      <xdr:colOff>539750</xdr:colOff>
      <xdr:row>24</xdr:row>
      <xdr:rowOff>103188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353961-7954-4F9E-8C0C-6940AB52B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254272</xdr:colOff>
      <xdr:row>26</xdr:row>
      <xdr:rowOff>0</xdr:rowOff>
    </xdr:from>
    <xdr:ext cx="184731" cy="264560"/>
    <xdr:sp macro="" textlink="">
      <xdr:nvSpPr>
        <xdr:cNvPr id="5" name="4 CuadroTexto"/>
        <xdr:cNvSpPr txBox="1"/>
      </xdr:nvSpPr>
      <xdr:spPr>
        <a:xfrm>
          <a:off x="2706527" y="344733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13</xdr:col>
      <xdr:colOff>0</xdr:colOff>
      <xdr:row>26</xdr:row>
      <xdr:rowOff>0</xdr:rowOff>
    </xdr:from>
    <xdr:ext cx="184731" cy="264560"/>
    <xdr:sp macro="" textlink="">
      <xdr:nvSpPr>
        <xdr:cNvPr id="7" name="6 CuadroTexto"/>
        <xdr:cNvSpPr txBox="1"/>
      </xdr:nvSpPr>
      <xdr:spPr>
        <a:xfrm>
          <a:off x="4979324" y="4006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14</xdr:col>
      <xdr:colOff>254272</xdr:colOff>
      <xdr:row>26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5765610" y="4006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13</xdr:col>
      <xdr:colOff>0</xdr:colOff>
      <xdr:row>26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4979324" y="4006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14</xdr:col>
      <xdr:colOff>254272</xdr:colOff>
      <xdr:row>26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5765610" y="4006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14</xdr:col>
      <xdr:colOff>254272</xdr:colOff>
      <xdr:row>26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5765610" y="4006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</xdr:col>
      <xdr:colOff>254272</xdr:colOff>
      <xdr:row>26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4557331" y="413300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B6" sqref="B6:B19"/>
    </sheetView>
  </sheetViews>
  <sheetFormatPr baseColWidth="10" defaultRowHeight="14.8" x14ac:dyDescent="0.45"/>
  <cols>
    <col min="1" max="1" width="11.140625" customWidth="1"/>
    <col min="2" max="2" width="9.5" style="75" customWidth="1"/>
    <col min="4" max="4" width="11.5" customWidth="1"/>
  </cols>
  <sheetData>
    <row r="1" spans="1:8" x14ac:dyDescent="0.45">
      <c r="D1" s="75" t="s">
        <v>80</v>
      </c>
      <c r="E1" s="75" t="s">
        <v>81</v>
      </c>
      <c r="F1" s="75" t="s">
        <v>82</v>
      </c>
      <c r="G1" s="75" t="s">
        <v>83</v>
      </c>
    </row>
    <row r="2" spans="1:8" ht="15.6" x14ac:dyDescent="0.45">
      <c r="B2" s="76" t="s">
        <v>84</v>
      </c>
      <c r="D2" s="75" t="s">
        <v>79</v>
      </c>
      <c r="E2" s="75" t="s">
        <v>79</v>
      </c>
      <c r="F2" s="75" t="s">
        <v>79</v>
      </c>
      <c r="G2" s="75" t="s">
        <v>79</v>
      </c>
    </row>
    <row r="3" spans="1:8" s="77" customFormat="1" ht="18" x14ac:dyDescent="0.6">
      <c r="A3" s="74" t="s">
        <v>78</v>
      </c>
      <c r="B3" s="80">
        <v>0.3</v>
      </c>
      <c r="D3" s="84">
        <v>0.35</v>
      </c>
      <c r="E3" s="84">
        <v>0.33</v>
      </c>
      <c r="F3" s="84">
        <v>0.2</v>
      </c>
    </row>
    <row r="4" spans="1:8" x14ac:dyDescent="0.45">
      <c r="A4" t="s">
        <v>76</v>
      </c>
      <c r="B4" s="78">
        <v>0</v>
      </c>
      <c r="C4" s="79"/>
      <c r="D4" s="78">
        <v>0</v>
      </c>
      <c r="E4" s="78">
        <v>0</v>
      </c>
      <c r="F4" s="78">
        <v>0</v>
      </c>
    </row>
    <row r="5" spans="1:8" x14ac:dyDescent="0.45">
      <c r="A5" t="s">
        <v>77</v>
      </c>
      <c r="B5" s="78">
        <v>0</v>
      </c>
      <c r="C5" s="79"/>
      <c r="D5" s="78">
        <v>0</v>
      </c>
      <c r="E5" s="78">
        <v>0</v>
      </c>
      <c r="F5" s="78">
        <v>0</v>
      </c>
    </row>
    <row r="6" spans="1:8" x14ac:dyDescent="0.45">
      <c r="A6" t="s">
        <v>55</v>
      </c>
      <c r="B6" s="83">
        <v>10</v>
      </c>
      <c r="C6" s="81"/>
      <c r="D6" s="82">
        <f>B6*$B$3/$D$3</f>
        <v>8.5714285714285712</v>
      </c>
      <c r="E6" s="82">
        <f>B6*$B$3/$E$3</f>
        <v>9.0909090909090899</v>
      </c>
      <c r="F6" s="82">
        <f>B6*$B$3/$F$3</f>
        <v>15</v>
      </c>
    </row>
    <row r="7" spans="1:8" x14ac:dyDescent="0.45">
      <c r="A7" t="s">
        <v>56</v>
      </c>
      <c r="B7" s="83">
        <v>20</v>
      </c>
      <c r="C7" s="81"/>
      <c r="D7" s="82">
        <f t="shared" ref="D7:D35" si="0">B7*$B$3/$D$3</f>
        <v>17.142857142857142</v>
      </c>
      <c r="E7" s="82">
        <f t="shared" ref="E7:E35" si="1">B7*$B$3/$E$3</f>
        <v>18.18181818181818</v>
      </c>
      <c r="F7" s="82">
        <f t="shared" ref="F7:F35" si="2">B7*$B$3/$F$3</f>
        <v>30</v>
      </c>
      <c r="H7" s="30" t="s">
        <v>25</v>
      </c>
    </row>
    <row r="8" spans="1:8" x14ac:dyDescent="0.45">
      <c r="A8" t="s">
        <v>57</v>
      </c>
      <c r="B8" s="83">
        <v>30</v>
      </c>
      <c r="C8" s="81"/>
      <c r="D8" s="82">
        <f t="shared" si="0"/>
        <v>25.714285714285715</v>
      </c>
      <c r="E8" s="82">
        <f t="shared" si="1"/>
        <v>27.27272727272727</v>
      </c>
      <c r="F8" s="82">
        <f t="shared" si="2"/>
        <v>45</v>
      </c>
      <c r="H8" s="30" t="s">
        <v>26</v>
      </c>
    </row>
    <row r="9" spans="1:8" x14ac:dyDescent="0.45">
      <c r="A9" t="s">
        <v>58</v>
      </c>
      <c r="B9" s="83">
        <v>40</v>
      </c>
      <c r="C9" s="81"/>
      <c r="D9" s="82">
        <f t="shared" si="0"/>
        <v>34.285714285714285</v>
      </c>
      <c r="E9" s="82">
        <f t="shared" si="1"/>
        <v>36.36363636363636</v>
      </c>
      <c r="F9" s="82">
        <f t="shared" si="2"/>
        <v>60</v>
      </c>
      <c r="H9" s="30" t="s">
        <v>28</v>
      </c>
    </row>
    <row r="10" spans="1:8" x14ac:dyDescent="0.45">
      <c r="A10" t="s">
        <v>59</v>
      </c>
      <c r="B10" s="83">
        <v>50</v>
      </c>
      <c r="C10" s="81"/>
      <c r="D10" s="82">
        <f t="shared" si="0"/>
        <v>42.857142857142861</v>
      </c>
      <c r="E10" s="82">
        <f t="shared" si="1"/>
        <v>45.454545454545453</v>
      </c>
      <c r="F10" s="82">
        <f t="shared" si="2"/>
        <v>75</v>
      </c>
      <c r="H10" s="30" t="s">
        <v>27</v>
      </c>
    </row>
    <row r="11" spans="1:8" x14ac:dyDescent="0.45">
      <c r="A11" t="s">
        <v>60</v>
      </c>
      <c r="B11" s="83">
        <v>60</v>
      </c>
      <c r="C11" s="81"/>
      <c r="D11" s="82">
        <f t="shared" si="0"/>
        <v>51.428571428571431</v>
      </c>
      <c r="E11" s="82">
        <f t="shared" si="1"/>
        <v>54.54545454545454</v>
      </c>
      <c r="F11" s="82">
        <f t="shared" si="2"/>
        <v>90</v>
      </c>
      <c r="H11" s="30" t="s">
        <v>29</v>
      </c>
    </row>
    <row r="12" spans="1:8" x14ac:dyDescent="0.45">
      <c r="A12" t="s">
        <v>61</v>
      </c>
      <c r="B12" s="83">
        <v>70</v>
      </c>
      <c r="C12" s="81"/>
      <c r="D12" s="82">
        <f t="shared" si="0"/>
        <v>60.000000000000007</v>
      </c>
      <c r="E12" s="82">
        <f t="shared" si="1"/>
        <v>63.636363636363633</v>
      </c>
      <c r="F12" s="82">
        <f t="shared" si="2"/>
        <v>105</v>
      </c>
    </row>
    <row r="13" spans="1:8" x14ac:dyDescent="0.45">
      <c r="A13" t="s">
        <v>62</v>
      </c>
      <c r="B13" s="83">
        <v>80</v>
      </c>
      <c r="C13" s="81"/>
      <c r="D13" s="82">
        <f t="shared" si="0"/>
        <v>68.571428571428569</v>
      </c>
      <c r="E13" s="82">
        <f t="shared" si="1"/>
        <v>72.72727272727272</v>
      </c>
      <c r="F13" s="82">
        <f t="shared" si="2"/>
        <v>120</v>
      </c>
    </row>
    <row r="14" spans="1:8" x14ac:dyDescent="0.45">
      <c r="A14" t="s">
        <v>63</v>
      </c>
      <c r="B14" s="83">
        <v>90</v>
      </c>
      <c r="C14" s="81"/>
      <c r="D14" s="82">
        <f t="shared" si="0"/>
        <v>77.142857142857153</v>
      </c>
      <c r="E14" s="82">
        <f t="shared" si="1"/>
        <v>81.818181818181813</v>
      </c>
      <c r="F14" s="82">
        <f t="shared" si="2"/>
        <v>135</v>
      </c>
      <c r="H14" s="30" t="s">
        <v>102</v>
      </c>
    </row>
    <row r="15" spans="1:8" x14ac:dyDescent="0.45">
      <c r="A15" t="s">
        <v>64</v>
      </c>
      <c r="B15" s="83">
        <v>100</v>
      </c>
      <c r="C15" s="81"/>
      <c r="D15" s="82">
        <f t="shared" si="0"/>
        <v>85.714285714285722</v>
      </c>
      <c r="E15" s="82">
        <f t="shared" si="1"/>
        <v>90.909090909090907</v>
      </c>
      <c r="F15" s="82">
        <f t="shared" si="2"/>
        <v>150</v>
      </c>
      <c r="H15" s="91" t="s">
        <v>103</v>
      </c>
    </row>
    <row r="16" spans="1:8" x14ac:dyDescent="0.45">
      <c r="A16" t="s">
        <v>65</v>
      </c>
      <c r="B16" s="83">
        <v>110</v>
      </c>
      <c r="C16" s="81"/>
      <c r="D16" s="82">
        <f t="shared" si="0"/>
        <v>94.285714285714292</v>
      </c>
      <c r="E16" s="82">
        <f t="shared" si="1"/>
        <v>100</v>
      </c>
      <c r="F16" s="82">
        <f t="shared" si="2"/>
        <v>165</v>
      </c>
      <c r="H16" s="91" t="s">
        <v>109</v>
      </c>
    </row>
    <row r="17" spans="1:8" x14ac:dyDescent="0.45">
      <c r="A17" t="s">
        <v>66</v>
      </c>
      <c r="B17" s="83">
        <v>120</v>
      </c>
      <c r="C17" s="81"/>
      <c r="D17" s="82">
        <f t="shared" si="0"/>
        <v>102.85714285714286</v>
      </c>
      <c r="E17" s="82">
        <f t="shared" si="1"/>
        <v>109.09090909090908</v>
      </c>
      <c r="F17" s="82">
        <f t="shared" si="2"/>
        <v>180</v>
      </c>
    </row>
    <row r="18" spans="1:8" x14ac:dyDescent="0.45">
      <c r="A18" t="s">
        <v>67</v>
      </c>
      <c r="B18" s="83">
        <v>130</v>
      </c>
      <c r="C18" s="81"/>
      <c r="D18" s="82">
        <f t="shared" si="0"/>
        <v>111.42857142857143</v>
      </c>
      <c r="E18" s="82">
        <f t="shared" si="1"/>
        <v>118.18181818181817</v>
      </c>
      <c r="F18" s="82">
        <f t="shared" si="2"/>
        <v>195</v>
      </c>
    </row>
    <row r="19" spans="1:8" x14ac:dyDescent="0.45">
      <c r="A19" t="s">
        <v>68</v>
      </c>
      <c r="B19" s="83">
        <v>140</v>
      </c>
      <c r="C19" s="81"/>
      <c r="D19" s="82">
        <f t="shared" si="0"/>
        <v>120.00000000000001</v>
      </c>
      <c r="E19" s="82">
        <f t="shared" si="1"/>
        <v>127.27272727272727</v>
      </c>
      <c r="F19" s="82">
        <f t="shared" si="2"/>
        <v>210</v>
      </c>
    </row>
    <row r="20" spans="1:8" x14ac:dyDescent="0.45">
      <c r="B20" s="83"/>
      <c r="C20" s="81"/>
      <c r="D20" s="82"/>
      <c r="E20" s="82"/>
      <c r="F20" s="82"/>
    </row>
    <row r="21" spans="1:8" ht="15.6" x14ac:dyDescent="0.45">
      <c r="A21" t="s">
        <v>13</v>
      </c>
      <c r="B21" s="83">
        <v>1000</v>
      </c>
      <c r="C21" s="81"/>
      <c r="D21" s="82">
        <f t="shared" si="0"/>
        <v>857.14285714285722</v>
      </c>
      <c r="E21" s="82">
        <f t="shared" si="1"/>
        <v>909.09090909090901</v>
      </c>
      <c r="F21" s="82">
        <f t="shared" si="2"/>
        <v>1500</v>
      </c>
      <c r="H21" s="96" t="s">
        <v>105</v>
      </c>
    </row>
    <row r="22" spans="1:8" ht="15.6" x14ac:dyDescent="0.45">
      <c r="A22" t="s">
        <v>14</v>
      </c>
      <c r="B22" s="83">
        <v>1000</v>
      </c>
      <c r="C22" s="81"/>
      <c r="D22" s="82">
        <f t="shared" si="0"/>
        <v>857.14285714285722</v>
      </c>
      <c r="E22" s="82">
        <f t="shared" si="1"/>
        <v>909.09090909090901</v>
      </c>
      <c r="F22" s="82">
        <f t="shared" si="2"/>
        <v>1500</v>
      </c>
      <c r="H22" s="96" t="s">
        <v>106</v>
      </c>
    </row>
    <row r="23" spans="1:8" ht="15.6" x14ac:dyDescent="0.45">
      <c r="A23" t="s">
        <v>15</v>
      </c>
      <c r="B23" s="83">
        <v>1000</v>
      </c>
      <c r="C23" s="81"/>
      <c r="D23" s="82">
        <f t="shared" si="0"/>
        <v>857.14285714285722</v>
      </c>
      <c r="E23" s="82">
        <f t="shared" si="1"/>
        <v>909.09090909090901</v>
      </c>
      <c r="F23" s="82">
        <f t="shared" si="2"/>
        <v>1500</v>
      </c>
      <c r="H23" s="96" t="s">
        <v>107</v>
      </c>
    </row>
    <row r="24" spans="1:8" ht="15.6" x14ac:dyDescent="0.45">
      <c r="A24" t="s">
        <v>16</v>
      </c>
      <c r="B24" s="83">
        <v>1000</v>
      </c>
      <c r="C24" s="81"/>
      <c r="D24" s="82">
        <f t="shared" si="0"/>
        <v>857.14285714285722</v>
      </c>
      <c r="E24" s="82">
        <f t="shared" si="1"/>
        <v>909.09090909090901</v>
      </c>
      <c r="F24" s="82">
        <f t="shared" si="2"/>
        <v>1500</v>
      </c>
      <c r="H24" s="96" t="s">
        <v>108</v>
      </c>
    </row>
    <row r="25" spans="1:8" ht="15.6" x14ac:dyDescent="0.45">
      <c r="A25" t="s">
        <v>17</v>
      </c>
      <c r="B25" s="83">
        <v>1000</v>
      </c>
      <c r="C25" s="81"/>
      <c r="D25" s="82">
        <f t="shared" si="0"/>
        <v>857.14285714285722</v>
      </c>
      <c r="E25" s="82">
        <f t="shared" si="1"/>
        <v>909.09090909090901</v>
      </c>
      <c r="F25" s="82">
        <f t="shared" si="2"/>
        <v>1500</v>
      </c>
      <c r="H25" s="98" t="s">
        <v>110</v>
      </c>
    </row>
    <row r="26" spans="1:8" x14ac:dyDescent="0.45">
      <c r="A26" t="s">
        <v>18</v>
      </c>
      <c r="B26" s="83">
        <v>1000</v>
      </c>
      <c r="C26" s="81"/>
      <c r="D26" s="82">
        <f t="shared" si="0"/>
        <v>857.14285714285722</v>
      </c>
      <c r="E26" s="82">
        <f t="shared" si="1"/>
        <v>909.09090909090901</v>
      </c>
      <c r="F26" s="82">
        <f t="shared" si="2"/>
        <v>1500</v>
      </c>
    </row>
    <row r="27" spans="1:8" x14ac:dyDescent="0.45">
      <c r="A27" t="s">
        <v>19</v>
      </c>
      <c r="B27" s="83">
        <v>1000</v>
      </c>
      <c r="C27" s="81"/>
      <c r="D27" s="82">
        <f t="shared" si="0"/>
        <v>857.14285714285722</v>
      </c>
      <c r="E27" s="82">
        <f t="shared" si="1"/>
        <v>909.09090909090901</v>
      </c>
      <c r="F27" s="82">
        <f t="shared" si="2"/>
        <v>1500</v>
      </c>
    </row>
    <row r="28" spans="1:8" x14ac:dyDescent="0.45">
      <c r="B28" s="83"/>
      <c r="C28" s="81"/>
      <c r="D28" s="82"/>
      <c r="E28" s="82"/>
      <c r="F28" s="82"/>
      <c r="H28" s="30" t="s">
        <v>111</v>
      </c>
    </row>
    <row r="29" spans="1:8" x14ac:dyDescent="0.45">
      <c r="A29" t="s">
        <v>69</v>
      </c>
      <c r="B29" s="83">
        <v>500</v>
      </c>
      <c r="C29" s="81"/>
      <c r="D29" s="82">
        <f t="shared" si="0"/>
        <v>428.57142857142861</v>
      </c>
      <c r="E29" s="82">
        <f t="shared" si="1"/>
        <v>454.5454545454545</v>
      </c>
      <c r="F29" s="82">
        <f t="shared" si="2"/>
        <v>750</v>
      </c>
      <c r="H29" s="30" t="s">
        <v>112</v>
      </c>
    </row>
    <row r="30" spans="1:8" x14ac:dyDescent="0.45">
      <c r="A30" t="s">
        <v>70</v>
      </c>
      <c r="B30" s="83">
        <v>500</v>
      </c>
      <c r="C30" s="81"/>
      <c r="D30" s="82">
        <f t="shared" si="0"/>
        <v>428.57142857142861</v>
      </c>
      <c r="E30" s="82">
        <f t="shared" si="1"/>
        <v>454.5454545454545</v>
      </c>
      <c r="F30" s="82">
        <f t="shared" si="2"/>
        <v>750</v>
      </c>
      <c r="H30" s="30" t="s">
        <v>113</v>
      </c>
    </row>
    <row r="31" spans="1:8" x14ac:dyDescent="0.45">
      <c r="A31" t="s">
        <v>71</v>
      </c>
      <c r="B31" s="83">
        <v>500</v>
      </c>
      <c r="C31" s="81"/>
      <c r="D31" s="82">
        <f t="shared" si="0"/>
        <v>428.57142857142861</v>
      </c>
      <c r="E31" s="82">
        <f t="shared" si="1"/>
        <v>454.5454545454545</v>
      </c>
      <c r="F31" s="82">
        <f t="shared" si="2"/>
        <v>750</v>
      </c>
    </row>
    <row r="32" spans="1:8" x14ac:dyDescent="0.45">
      <c r="A32" t="s">
        <v>72</v>
      </c>
      <c r="B32" s="83">
        <v>500</v>
      </c>
      <c r="C32" s="81"/>
      <c r="D32" s="82">
        <f t="shared" si="0"/>
        <v>428.57142857142861</v>
      </c>
      <c r="E32" s="82">
        <f t="shared" si="1"/>
        <v>454.5454545454545</v>
      </c>
      <c r="F32" s="82">
        <f t="shared" si="2"/>
        <v>750</v>
      </c>
    </row>
    <row r="33" spans="1:6" x14ac:dyDescent="0.45">
      <c r="A33" t="s">
        <v>73</v>
      </c>
      <c r="B33" s="83">
        <v>500</v>
      </c>
      <c r="C33" s="81"/>
      <c r="D33" s="82">
        <f t="shared" si="0"/>
        <v>428.57142857142861</v>
      </c>
      <c r="E33" s="82">
        <f t="shared" si="1"/>
        <v>454.5454545454545</v>
      </c>
      <c r="F33" s="82">
        <f t="shared" si="2"/>
        <v>750</v>
      </c>
    </row>
    <row r="34" spans="1:6" x14ac:dyDescent="0.45">
      <c r="A34" t="s">
        <v>74</v>
      </c>
      <c r="B34" s="83">
        <v>500</v>
      </c>
      <c r="C34" s="81"/>
      <c r="D34" s="82">
        <f t="shared" si="0"/>
        <v>428.57142857142861</v>
      </c>
      <c r="E34" s="82">
        <f t="shared" si="1"/>
        <v>454.5454545454545</v>
      </c>
      <c r="F34" s="82">
        <f t="shared" si="2"/>
        <v>750</v>
      </c>
    </row>
    <row r="35" spans="1:6" x14ac:dyDescent="0.45">
      <c r="A35" t="s">
        <v>75</v>
      </c>
      <c r="B35" s="83">
        <v>500</v>
      </c>
      <c r="C35" s="81"/>
      <c r="D35" s="82">
        <f t="shared" si="0"/>
        <v>428.57142857142861</v>
      </c>
      <c r="E35" s="82">
        <f t="shared" si="1"/>
        <v>454.5454545454545</v>
      </c>
      <c r="F35" s="82">
        <f t="shared" si="2"/>
        <v>750</v>
      </c>
    </row>
  </sheetData>
  <sortState ref="B3:B10">
    <sortCondition descending="1" ref="B10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FFCC"/>
  </sheetPr>
  <dimension ref="A1:Z56"/>
  <sheetViews>
    <sheetView tabSelected="1" zoomScale="80" zoomScaleNormal="80" workbookViewId="0">
      <selection activeCell="G23" sqref="G23"/>
    </sheetView>
  </sheetViews>
  <sheetFormatPr baseColWidth="10" defaultRowHeight="15.6" x14ac:dyDescent="0.45"/>
  <cols>
    <col min="1" max="1" width="9.140625" style="5" customWidth="1"/>
    <col min="2" max="2" width="10.28515625" style="5" customWidth="1"/>
    <col min="3" max="3" width="8.85546875" style="3" customWidth="1"/>
    <col min="4" max="4" width="9.2109375" style="5" customWidth="1"/>
    <col min="5" max="5" width="11.140625" style="5" customWidth="1"/>
    <col min="6" max="6" width="10.2109375" style="5" customWidth="1"/>
    <col min="7" max="7" width="8.42578125" style="6" customWidth="1"/>
    <col min="8" max="8" width="7.640625" style="5" customWidth="1"/>
    <col min="9" max="9" width="7" style="5" customWidth="1"/>
    <col min="10" max="10" width="6.0703125" style="6" customWidth="1"/>
    <col min="11" max="11" width="8.0703125" style="5" customWidth="1"/>
    <col min="12" max="12" width="12.0703125" style="5" customWidth="1"/>
    <col min="13" max="13" width="11.140625" style="5" customWidth="1"/>
    <col min="14" max="14" width="11.2109375" style="5" customWidth="1"/>
    <col min="15" max="15" width="12.7109375" style="5" bestFit="1" customWidth="1"/>
    <col min="16" max="20" width="11.5" style="5"/>
    <col min="21" max="21" width="12.42578125" style="5" bestFit="1" customWidth="1"/>
    <col min="22" max="22" width="8.140625" style="5" customWidth="1"/>
    <col min="23" max="25" width="10.92578125" style="5"/>
  </cols>
  <sheetData>
    <row r="1" spans="1:26" ht="16" thickBot="1" x14ac:dyDescent="0.5">
      <c r="A1" s="40" t="s">
        <v>20</v>
      </c>
      <c r="B1" s="37" t="s">
        <v>5</v>
      </c>
      <c r="C1" s="2" t="s">
        <v>0</v>
      </c>
      <c r="D1" s="20" t="s">
        <v>20</v>
      </c>
      <c r="E1" s="28" t="s">
        <v>5</v>
      </c>
      <c r="F1" s="93" t="s">
        <v>104</v>
      </c>
      <c r="G1" s="4" t="s">
        <v>4</v>
      </c>
      <c r="H1" s="2" t="s">
        <v>7</v>
      </c>
      <c r="I1" s="2" t="s">
        <v>8</v>
      </c>
      <c r="J1" s="2" t="s">
        <v>9</v>
      </c>
      <c r="K1" s="2"/>
      <c r="T1" s="89"/>
      <c r="U1" s="43" t="s">
        <v>36</v>
      </c>
      <c r="V1" s="43" t="s">
        <v>37</v>
      </c>
      <c r="Z1" s="5"/>
    </row>
    <row r="2" spans="1:26" ht="16" thickBot="1" x14ac:dyDescent="0.5">
      <c r="A2" s="37">
        <v>0</v>
      </c>
      <c r="B2" s="38">
        <v>2000000</v>
      </c>
      <c r="C2" s="3" t="s">
        <v>100</v>
      </c>
      <c r="D2" s="99">
        <f t="shared" ref="D2:D20" si="0">A2</f>
        <v>0</v>
      </c>
      <c r="E2" s="7">
        <f t="shared" ref="E2:E20" si="1">B2</f>
        <v>2000000</v>
      </c>
      <c r="F2" s="94"/>
      <c r="G2" s="1" t="s">
        <v>11</v>
      </c>
      <c r="H2" s="6"/>
      <c r="J2" s="5"/>
      <c r="K2" s="6"/>
      <c r="L2" s="55"/>
      <c r="M2" s="16" t="s">
        <v>32</v>
      </c>
      <c r="N2" s="16" t="s">
        <v>6</v>
      </c>
      <c r="T2" s="89"/>
      <c r="U2" s="47">
        <f>D2-$Y$7</f>
        <v>-983.95898998484199</v>
      </c>
      <c r="V2" s="48"/>
      <c r="Z2" s="5"/>
    </row>
    <row r="3" spans="1:26" ht="16" thickBot="1" x14ac:dyDescent="0.5">
      <c r="A3" s="37">
        <v>0</v>
      </c>
      <c r="B3" s="38">
        <v>2000000</v>
      </c>
      <c r="C3" s="60" t="s">
        <v>101</v>
      </c>
      <c r="D3" s="100">
        <f t="shared" si="0"/>
        <v>0</v>
      </c>
      <c r="E3" s="68">
        <f t="shared" si="1"/>
        <v>2000000</v>
      </c>
      <c r="F3" s="95"/>
      <c r="G3" s="15"/>
      <c r="H3" s="14"/>
      <c r="I3" s="15"/>
      <c r="J3" s="15"/>
      <c r="K3" s="6"/>
      <c r="L3" s="16" t="s">
        <v>1</v>
      </c>
      <c r="M3" s="17">
        <f>SLOPE(E2:E20,D2:D20)</f>
        <v>100132.38389873061</v>
      </c>
      <c r="N3" s="17">
        <f>SLOPE(E4:E20,G4:G20)</f>
        <v>100083.53692016784</v>
      </c>
      <c r="T3" s="89"/>
      <c r="U3" s="47">
        <f>D3-$Y$7</f>
        <v>-983.95898998484199</v>
      </c>
      <c r="V3" s="48"/>
      <c r="Z3" s="5"/>
    </row>
    <row r="4" spans="1:26" ht="16" thickBot="1" x14ac:dyDescent="0.5">
      <c r="A4" s="39">
        <v>1</v>
      </c>
      <c r="B4" s="38">
        <v>1000000</v>
      </c>
      <c r="C4" s="12" t="s">
        <v>86</v>
      </c>
      <c r="D4" s="101">
        <f t="shared" si="0"/>
        <v>1</v>
      </c>
      <c r="E4" s="7">
        <f t="shared" si="1"/>
        <v>1000000</v>
      </c>
      <c r="F4" s="94">
        <f t="shared" ref="F4:F20" si="2">B4-$B$3</f>
        <v>-1000000</v>
      </c>
      <c r="G4" s="59">
        <f t="shared" ref="G4:G20" si="3">($M$8)+D4</f>
        <v>36.037839713289706</v>
      </c>
      <c r="H4" s="49">
        <v>62.9</v>
      </c>
      <c r="I4" s="13" t="s">
        <v>8</v>
      </c>
      <c r="J4" s="13" t="s">
        <v>9</v>
      </c>
      <c r="K4" s="6"/>
      <c r="L4" s="16" t="s">
        <v>12</v>
      </c>
      <c r="M4" s="18">
        <f>RSQ(E2:E20,D2:D20)</f>
        <v>0.99761705996185079</v>
      </c>
      <c r="N4" s="18">
        <f>RSQ(E4:E20,G4:G20)</f>
        <v>0.99754659963925163</v>
      </c>
      <c r="T4" s="89"/>
      <c r="U4" s="47">
        <f t="shared" ref="U4:U9" si="4">IF(E4&gt;0,D4-$Y$7,0)</f>
        <v>-982.95898998484199</v>
      </c>
      <c r="V4" s="47">
        <f t="shared" ref="V4:V9" si="5">IF(D4&gt;0,G4-$Z$7,0)</f>
        <v>-1098.7188711595295</v>
      </c>
      <c r="Z4" s="5"/>
    </row>
    <row r="5" spans="1:26" ht="16" thickBot="1" x14ac:dyDescent="0.5">
      <c r="A5" s="39">
        <v>5</v>
      </c>
      <c r="B5" s="38">
        <f>500000</f>
        <v>500000</v>
      </c>
      <c r="C5" s="12" t="s">
        <v>87</v>
      </c>
      <c r="D5" s="101">
        <f t="shared" si="0"/>
        <v>5</v>
      </c>
      <c r="E5" s="7">
        <f t="shared" si="1"/>
        <v>500000</v>
      </c>
      <c r="F5" s="94">
        <f t="shared" si="2"/>
        <v>-1500000</v>
      </c>
      <c r="G5" s="59">
        <f t="shared" si="3"/>
        <v>40.037839713289706</v>
      </c>
      <c r="H5" s="49">
        <v>42</v>
      </c>
      <c r="I5" s="21" t="s">
        <v>21</v>
      </c>
      <c r="J5" s="13"/>
      <c r="K5" s="6"/>
      <c r="L5" s="16" t="s">
        <v>2</v>
      </c>
      <c r="M5" s="17">
        <f>INTERCEPT(E2:E20,D2:D20)</f>
        <v>3508422.4171533138</v>
      </c>
      <c r="N5" s="17">
        <f>INTERCEPT(E4:E20,G4:G20)</f>
        <v>232890.89757150412</v>
      </c>
      <c r="T5" s="89"/>
      <c r="U5" s="47">
        <f t="shared" si="4"/>
        <v>-978.95898998484199</v>
      </c>
      <c r="V5" s="47">
        <f t="shared" si="5"/>
        <v>-1094.7188711595295</v>
      </c>
      <c r="X5" s="29" t="s">
        <v>24</v>
      </c>
      <c r="Y5" s="34">
        <f>_xlfn.T.INV.2T(0.05,E21-2)</f>
        <v>2.109815577833317</v>
      </c>
      <c r="Z5" s="34">
        <f>_xlfn.T.INV.2T(0.05,E21-4)</f>
        <v>2.1314495455597742</v>
      </c>
    </row>
    <row r="6" spans="1:26" ht="18" thickBot="1" x14ac:dyDescent="0.5">
      <c r="A6" s="39">
        <v>8.4366920827952647</v>
      </c>
      <c r="B6" s="38">
        <f>A6*10000</f>
        <v>84366.92082795265</v>
      </c>
      <c r="C6" s="12" t="s">
        <v>88</v>
      </c>
      <c r="D6" s="101">
        <f t="shared" si="0"/>
        <v>8.4366920827952647</v>
      </c>
      <c r="E6" s="7">
        <f t="shared" si="1"/>
        <v>84366.92082795265</v>
      </c>
      <c r="F6" s="94">
        <f t="shared" si="2"/>
        <v>-1915633.0791720473</v>
      </c>
      <c r="G6" s="59">
        <f t="shared" si="3"/>
        <v>43.474531796084975</v>
      </c>
      <c r="H6" s="49">
        <v>22.7</v>
      </c>
      <c r="I6" s="8"/>
      <c r="J6" s="8"/>
      <c r="K6" s="6"/>
      <c r="L6" s="16" t="s">
        <v>3</v>
      </c>
      <c r="M6" s="19">
        <f>M5/M3</f>
        <v>35.037839713289706</v>
      </c>
      <c r="N6" s="17"/>
      <c r="T6" s="89"/>
      <c r="U6" s="47">
        <f t="shared" si="4"/>
        <v>-975.52229790204672</v>
      </c>
      <c r="V6" s="47">
        <f t="shared" si="5"/>
        <v>-1091.2821790767343</v>
      </c>
      <c r="X6" s="5" t="s">
        <v>33</v>
      </c>
      <c r="Y6" s="5">
        <f>SUMSQ(D2:D20)</f>
        <v>88479372.719994813</v>
      </c>
      <c r="Z6" s="5">
        <f>SUMSQ(G4:G20)</f>
        <v>89810323.073865473</v>
      </c>
    </row>
    <row r="7" spans="1:26" ht="16" thickBot="1" x14ac:dyDescent="0.5">
      <c r="A7" s="39">
        <v>16.705649999999999</v>
      </c>
      <c r="B7" s="38">
        <f>A7*11000</f>
        <v>183762.15</v>
      </c>
      <c r="C7" s="12" t="s">
        <v>89</v>
      </c>
      <c r="D7" s="101">
        <f t="shared" si="0"/>
        <v>16.705649999999999</v>
      </c>
      <c r="E7" s="7">
        <f t="shared" si="1"/>
        <v>183762.15</v>
      </c>
      <c r="F7" s="94">
        <f t="shared" si="2"/>
        <v>-1816237.85</v>
      </c>
      <c r="G7" s="59">
        <f t="shared" si="3"/>
        <v>51.743489713289705</v>
      </c>
      <c r="H7" s="49">
        <v>10.8</v>
      </c>
      <c r="I7" s="8"/>
      <c r="J7" s="8"/>
      <c r="K7" s="6"/>
      <c r="L7" s="54" t="s">
        <v>42</v>
      </c>
      <c r="M7" s="53"/>
      <c r="N7" s="19">
        <f>(AVERAGE(E2:E3)-N5)/N3</f>
        <v>17.656341460414612</v>
      </c>
      <c r="T7" s="89"/>
      <c r="U7" s="47">
        <f t="shared" si="4"/>
        <v>-967.253339984842</v>
      </c>
      <c r="V7" s="47">
        <f t="shared" si="5"/>
        <v>-1083.0132211595296</v>
      </c>
      <c r="X7" s="42" t="s">
        <v>51</v>
      </c>
      <c r="Y7" s="8">
        <f>AVERAGE(D2:D20)</f>
        <v>983.95898998484199</v>
      </c>
      <c r="Z7" s="8">
        <f>AVERAGE(G4:G20)</f>
        <v>1134.7567108728192</v>
      </c>
    </row>
    <row r="8" spans="1:26" ht="18" thickBot="1" x14ac:dyDescent="0.5">
      <c r="A8" s="39">
        <v>16.899403262222123</v>
      </c>
      <c r="B8" s="38">
        <f>A8*140000</f>
        <v>2365916.4567110972</v>
      </c>
      <c r="C8" s="12" t="s">
        <v>90</v>
      </c>
      <c r="D8" s="101">
        <f t="shared" si="0"/>
        <v>16.899403262222123</v>
      </c>
      <c r="E8" s="7">
        <f t="shared" si="1"/>
        <v>2365916.4567110972</v>
      </c>
      <c r="F8" s="94">
        <f t="shared" si="2"/>
        <v>365916.45671109715</v>
      </c>
      <c r="G8" s="59">
        <f t="shared" si="3"/>
        <v>51.937242975511829</v>
      </c>
      <c r="H8" s="49">
        <v>5.5</v>
      </c>
      <c r="I8" s="8">
        <f>3*G8/H8</f>
        <v>28.329405259370091</v>
      </c>
      <c r="J8" s="8">
        <f>G8*10/H8</f>
        <v>94.431350864566966</v>
      </c>
      <c r="K8" s="6"/>
      <c r="L8" s="9" t="s">
        <v>10</v>
      </c>
      <c r="M8" s="10">
        <f>IF(M6&lt;0,0,M6)</f>
        <v>35.037839713289706</v>
      </c>
      <c r="N8" s="57">
        <f>IF(N7&lt;0,0,N7)</f>
        <v>17.656341460414612</v>
      </c>
      <c r="T8" s="89"/>
      <c r="U8" s="47">
        <f t="shared" si="4"/>
        <v>-967.05958672261988</v>
      </c>
      <c r="V8" s="47">
        <f t="shared" si="5"/>
        <v>-1082.8194678973073</v>
      </c>
      <c r="X8" s="5" t="s">
        <v>34</v>
      </c>
      <c r="Y8" s="5">
        <f>SUMSQ(U2:U20)</f>
        <v>70084042.134526983</v>
      </c>
      <c r="Z8" s="5">
        <f>SUMSQ(V4:V20)</f>
        <v>67919885.595060199</v>
      </c>
    </row>
    <row r="9" spans="1:26" ht="16" thickBot="1" x14ac:dyDescent="0.5">
      <c r="A9" s="39">
        <v>62.034700000000001</v>
      </c>
      <c r="B9" s="38">
        <f>A9*110200</f>
        <v>6836223.9400000004</v>
      </c>
      <c r="C9" s="12" t="s">
        <v>91</v>
      </c>
      <c r="D9" s="101">
        <f t="shared" si="0"/>
        <v>62.034700000000001</v>
      </c>
      <c r="E9" s="7">
        <f t="shared" si="1"/>
        <v>6836223.9400000004</v>
      </c>
      <c r="F9" s="94">
        <f t="shared" si="2"/>
        <v>4836223.9400000004</v>
      </c>
      <c r="G9" s="59">
        <f t="shared" si="3"/>
        <v>97.0725397132897</v>
      </c>
      <c r="H9" s="49">
        <v>2.1</v>
      </c>
      <c r="I9" s="8">
        <f t="shared" ref="I9:I13" si="6">3*G9/H9</f>
        <v>138.67505673327099</v>
      </c>
      <c r="J9" s="8">
        <f t="shared" ref="J9:J13" si="7">G9*10/H9</f>
        <v>462.25018911090331</v>
      </c>
      <c r="K9" s="6"/>
      <c r="T9" s="89"/>
      <c r="U9" s="47">
        <f t="shared" si="4"/>
        <v>-921.92428998484195</v>
      </c>
      <c r="V9" s="47">
        <f t="shared" si="5"/>
        <v>-1037.6841711595296</v>
      </c>
      <c r="X9" s="35" t="s">
        <v>30</v>
      </c>
      <c r="Y9" s="5">
        <f>STEYX(E2:E20,D2:D20)</f>
        <v>9936519.5102434848</v>
      </c>
      <c r="Z9" s="5">
        <f>STEYX(E4:E20,G4:G20)</f>
        <v>10561682.412841318</v>
      </c>
    </row>
    <row r="10" spans="1:26" ht="16" thickBot="1" x14ac:dyDescent="0.5">
      <c r="A10" s="39">
        <v>66</v>
      </c>
      <c r="B10" s="38">
        <v>7000000</v>
      </c>
      <c r="C10" s="12" t="s">
        <v>92</v>
      </c>
      <c r="D10" s="101">
        <f t="shared" si="0"/>
        <v>66</v>
      </c>
      <c r="E10" s="7">
        <f t="shared" si="1"/>
        <v>7000000</v>
      </c>
      <c r="F10" s="94">
        <f t="shared" si="2"/>
        <v>5000000</v>
      </c>
      <c r="G10" s="59">
        <f t="shared" si="3"/>
        <v>101.03783971328971</v>
      </c>
      <c r="H10" s="49">
        <v>5</v>
      </c>
      <c r="I10" s="8">
        <f t="shared" ref="I10:I12" si="8">3*G10/H10</f>
        <v>60.62270382797383</v>
      </c>
      <c r="J10" s="8">
        <f t="shared" ref="J10:J12" si="9">G10*10/H10</f>
        <v>202.07567942657943</v>
      </c>
      <c r="K10" s="6"/>
      <c r="L10" s="9" t="s">
        <v>44</v>
      </c>
      <c r="M10" s="92">
        <f>(N8-M8)/M8</f>
        <v>-0.49607790877250812</v>
      </c>
      <c r="T10" s="89"/>
      <c r="U10" s="47">
        <f t="shared" ref="U10:U12" si="10">IF(E10&gt;0,D10-$Y$7,0)</f>
        <v>-917.95898998484199</v>
      </c>
      <c r="V10" s="47">
        <f t="shared" ref="V10:V12" si="11">IF(D10&gt;0,G10-$Z$7,0)</f>
        <v>-1033.7188711595295</v>
      </c>
      <c r="Z10" s="5"/>
    </row>
    <row r="11" spans="1:26" ht="16" thickBot="1" x14ac:dyDescent="0.5">
      <c r="A11" s="39">
        <v>69</v>
      </c>
      <c r="B11" s="38">
        <v>7200000</v>
      </c>
      <c r="C11" s="12" t="s">
        <v>93</v>
      </c>
      <c r="D11" s="101">
        <f t="shared" si="0"/>
        <v>69</v>
      </c>
      <c r="E11" s="7">
        <f t="shared" si="1"/>
        <v>7200000</v>
      </c>
      <c r="F11" s="94">
        <f t="shared" si="2"/>
        <v>5200000</v>
      </c>
      <c r="G11" s="59">
        <f t="shared" si="3"/>
        <v>104.03783971328971</v>
      </c>
      <c r="H11" s="49">
        <v>12</v>
      </c>
      <c r="I11" s="8">
        <f t="shared" si="8"/>
        <v>26.009459928322428</v>
      </c>
      <c r="J11" s="8">
        <f t="shared" si="9"/>
        <v>86.698199761074761</v>
      </c>
      <c r="K11" s="6"/>
      <c r="L11" s="72" t="s">
        <v>85</v>
      </c>
      <c r="M11" s="73">
        <f>Y5*X20</f>
        <v>54.373454116172525</v>
      </c>
      <c r="N11" s="73">
        <f>Z5*Y20</f>
        <v>170.88639538260429</v>
      </c>
      <c r="T11" s="89"/>
      <c r="U11" s="47">
        <f t="shared" si="10"/>
        <v>-914.95898998484199</v>
      </c>
      <c r="V11" s="47">
        <f t="shared" si="11"/>
        <v>-1030.7188711595295</v>
      </c>
      <c r="Z11" s="5"/>
    </row>
    <row r="12" spans="1:26" ht="16" thickBot="1" x14ac:dyDescent="0.5">
      <c r="A12" s="39">
        <v>75</v>
      </c>
      <c r="B12" s="38">
        <v>7500000</v>
      </c>
      <c r="C12" s="12" t="s">
        <v>94</v>
      </c>
      <c r="D12" s="101">
        <f t="shared" si="0"/>
        <v>75</v>
      </c>
      <c r="E12" s="7">
        <f t="shared" si="1"/>
        <v>7500000</v>
      </c>
      <c r="F12" s="94">
        <f t="shared" si="2"/>
        <v>5500000</v>
      </c>
      <c r="G12" s="59">
        <f t="shared" si="3"/>
        <v>110.03783971328971</v>
      </c>
      <c r="H12" s="49">
        <v>5</v>
      </c>
      <c r="I12" s="8">
        <f t="shared" si="8"/>
        <v>66.022703827973828</v>
      </c>
      <c r="J12" s="8">
        <f t="shared" si="9"/>
        <v>220.07567942657943</v>
      </c>
      <c r="K12" s="6"/>
      <c r="L12" s="6"/>
      <c r="M12" s="8"/>
      <c r="N12" s="8"/>
      <c r="T12" s="89"/>
      <c r="U12" s="47">
        <f t="shared" si="10"/>
        <v>-908.95898998484199</v>
      </c>
      <c r="V12" s="47">
        <f t="shared" si="11"/>
        <v>-1024.7188711595295</v>
      </c>
      <c r="Z12" s="5"/>
    </row>
    <row r="13" spans="1:26" ht="16" thickBot="1" x14ac:dyDescent="0.5">
      <c r="A13" s="39">
        <v>84.635683101079607</v>
      </c>
      <c r="B13" s="38">
        <f t="shared" ref="B13:B20" si="12">A13*100000</f>
        <v>8463568.3101079613</v>
      </c>
      <c r="C13" s="12" t="s">
        <v>95</v>
      </c>
      <c r="D13" s="101">
        <f t="shared" si="0"/>
        <v>84.635683101079607</v>
      </c>
      <c r="E13" s="7">
        <f t="shared" si="1"/>
        <v>8463568.3101079613</v>
      </c>
      <c r="F13" s="94">
        <f t="shared" si="2"/>
        <v>6463568.3101079613</v>
      </c>
      <c r="G13" s="59">
        <f t="shared" si="3"/>
        <v>119.67352281436931</v>
      </c>
      <c r="H13" s="49">
        <v>3.1</v>
      </c>
      <c r="I13" s="8">
        <f t="shared" si="6"/>
        <v>115.81308659455092</v>
      </c>
      <c r="J13" s="8">
        <f t="shared" si="7"/>
        <v>386.04362198183645</v>
      </c>
      <c r="K13" s="6"/>
      <c r="L13" s="46" t="s">
        <v>31</v>
      </c>
      <c r="M13" s="87">
        <f>Y9*SQRT((Y6/(E21*Y8)))</f>
        <v>2561350.0482942145</v>
      </c>
      <c r="N13" s="87">
        <f>Z9*SQRT((Z6/((E21-2)*Z8)))</f>
        <v>2945596.8044797564</v>
      </c>
      <c r="T13" s="89"/>
      <c r="U13" s="47">
        <f t="shared" ref="U13:U20" si="13">IF(E13&gt;0,D13-$Y$7,0)</f>
        <v>-899.32330688376237</v>
      </c>
      <c r="V13" s="47">
        <f t="shared" ref="V13:V20" si="14">IF(D13&gt;0,G13-$Z$7,0)</f>
        <v>-1015.0831880584499</v>
      </c>
      <c r="Z13" s="5"/>
    </row>
    <row r="14" spans="1:26" ht="16" thickBot="1" x14ac:dyDescent="0.5">
      <c r="A14" s="39">
        <v>172.65479347067421</v>
      </c>
      <c r="B14" s="38">
        <f t="shared" si="12"/>
        <v>17265479.347067419</v>
      </c>
      <c r="C14" s="12" t="s">
        <v>96</v>
      </c>
      <c r="D14" s="101">
        <f t="shared" si="0"/>
        <v>172.65479347067421</v>
      </c>
      <c r="E14" s="7">
        <f t="shared" si="1"/>
        <v>17265479.347067419</v>
      </c>
      <c r="F14" s="94">
        <f t="shared" si="2"/>
        <v>15265479.347067419</v>
      </c>
      <c r="G14" s="59">
        <f t="shared" si="3"/>
        <v>207.69263318396392</v>
      </c>
      <c r="H14" s="49">
        <v>6.1</v>
      </c>
      <c r="I14" s="8">
        <f>3*G14/H14</f>
        <v>102.14391795932652</v>
      </c>
      <c r="J14" s="8">
        <f>G14*10/H14</f>
        <v>340.47972653108843</v>
      </c>
      <c r="K14" s="6"/>
      <c r="L14" s="6" t="s">
        <v>38</v>
      </c>
      <c r="M14" s="8">
        <f>Y5*M13</f>
        <v>5403976.2321752524</v>
      </c>
      <c r="N14" s="8">
        <f>Z5*N13</f>
        <v>6278390.9703107001</v>
      </c>
      <c r="T14" s="89"/>
      <c r="U14" s="47">
        <f t="shared" si="13"/>
        <v>-811.30419651416776</v>
      </c>
      <c r="V14" s="47">
        <f t="shared" si="14"/>
        <v>-927.06407768885526</v>
      </c>
      <c r="Z14" s="5"/>
    </row>
    <row r="15" spans="1:26" ht="16" thickBot="1" x14ac:dyDescent="0.5">
      <c r="A15" s="39">
        <v>329.50898853484307</v>
      </c>
      <c r="B15" s="38">
        <f>A15*109000</f>
        <v>35916479.750297897</v>
      </c>
      <c r="C15" s="12" t="s">
        <v>97</v>
      </c>
      <c r="D15" s="101">
        <f t="shared" si="0"/>
        <v>329.50898853484307</v>
      </c>
      <c r="E15" s="7">
        <f t="shared" si="1"/>
        <v>35916479.750297897</v>
      </c>
      <c r="F15" s="94">
        <f t="shared" si="2"/>
        <v>33916479.750297897</v>
      </c>
      <c r="G15" s="59">
        <f t="shared" si="3"/>
        <v>364.54682824813278</v>
      </c>
      <c r="H15" s="49">
        <v>7.1</v>
      </c>
      <c r="I15" s="8">
        <f>3*G15/H15</f>
        <v>154.03387109076033</v>
      </c>
      <c r="J15" s="8">
        <f>G15*10/H15</f>
        <v>513.44623696920121</v>
      </c>
      <c r="K15" s="6"/>
      <c r="L15" s="86" t="s">
        <v>48</v>
      </c>
      <c r="M15" s="88">
        <f>M5+M14</f>
        <v>8912398.6493285671</v>
      </c>
      <c r="N15" s="88">
        <f>N5+N14</f>
        <v>6511281.8678822042</v>
      </c>
      <c r="T15" s="89"/>
      <c r="U15" s="47">
        <f t="shared" si="13"/>
        <v>-654.45000144999892</v>
      </c>
      <c r="V15" s="47">
        <f t="shared" si="14"/>
        <v>-770.20988262468643</v>
      </c>
      <c r="Z15" s="5"/>
    </row>
    <row r="16" spans="1:26" ht="16" thickBot="1" x14ac:dyDescent="0.5">
      <c r="A16" s="39">
        <v>693.34997330492979</v>
      </c>
      <c r="B16" s="38">
        <f>A16*140000</f>
        <v>97068996.262690172</v>
      </c>
      <c r="C16" s="12" t="s">
        <v>98</v>
      </c>
      <c r="D16" s="101">
        <f t="shared" si="0"/>
        <v>693.34997330492979</v>
      </c>
      <c r="E16" s="7">
        <f t="shared" si="1"/>
        <v>97068996.262690172</v>
      </c>
      <c r="F16" s="94">
        <f t="shared" si="2"/>
        <v>95068996.262690172</v>
      </c>
      <c r="G16" s="59">
        <f t="shared" si="3"/>
        <v>728.3878130182195</v>
      </c>
      <c r="H16" s="49">
        <v>4.0999999999999996</v>
      </c>
      <c r="I16" s="8">
        <f>3*G16/H16</f>
        <v>532.9666924523558</v>
      </c>
      <c r="J16" s="8">
        <f>G16*10/H16</f>
        <v>1776.5556415078524</v>
      </c>
      <c r="K16" s="6"/>
      <c r="L16" s="86" t="s">
        <v>49</v>
      </c>
      <c r="M16" s="88">
        <f>M5-M14</f>
        <v>-1895553.8150219386</v>
      </c>
      <c r="N16" s="88">
        <f>N5-N14</f>
        <v>-6045500.072739196</v>
      </c>
      <c r="T16" s="89"/>
      <c r="U16" s="47">
        <f t="shared" si="13"/>
        <v>-290.6090166799122</v>
      </c>
      <c r="V16" s="47">
        <f t="shared" si="14"/>
        <v>-406.36889785459971</v>
      </c>
      <c r="Z16" s="5"/>
    </row>
    <row r="17" spans="1:26" ht="16" thickBot="1" x14ac:dyDescent="0.5">
      <c r="A17" s="39">
        <v>1688.6383691141828</v>
      </c>
      <c r="B17" s="38">
        <f>A17*120000</f>
        <v>202636604.29370192</v>
      </c>
      <c r="C17" s="12" t="s">
        <v>99</v>
      </c>
      <c r="D17" s="101">
        <f t="shared" si="0"/>
        <v>1688.6383691141828</v>
      </c>
      <c r="E17" s="7">
        <f t="shared" si="1"/>
        <v>202636604.29370192</v>
      </c>
      <c r="F17" s="94">
        <f t="shared" si="2"/>
        <v>200636604.29370192</v>
      </c>
      <c r="G17" s="59">
        <f t="shared" si="3"/>
        <v>1723.6762088274725</v>
      </c>
      <c r="H17" s="49">
        <v>2.8</v>
      </c>
      <c r="I17" s="8">
        <f>3*G17/H17</f>
        <v>1846.7959380294349</v>
      </c>
      <c r="J17" s="8">
        <f>G17*10/H17</f>
        <v>6155.9864600981164</v>
      </c>
      <c r="K17" s="6"/>
      <c r="L17" s="44" t="s">
        <v>39</v>
      </c>
      <c r="M17" s="64" t="b">
        <f>AND(M15&gt;0,0&gt;M16)</f>
        <v>1</v>
      </c>
      <c r="N17" s="65" t="b">
        <f>AND(N15&gt;0,0&gt;N16)</f>
        <v>1</v>
      </c>
      <c r="T17" s="89"/>
      <c r="U17" s="47">
        <f t="shared" si="13"/>
        <v>704.67937912934076</v>
      </c>
      <c r="V17" s="47">
        <f t="shared" si="14"/>
        <v>588.91949795465325</v>
      </c>
      <c r="Z17" s="5"/>
    </row>
    <row r="18" spans="1:26" ht="16" thickBot="1" x14ac:dyDescent="0.5">
      <c r="A18" s="39">
        <v>3431.1360580924907</v>
      </c>
      <c r="B18" s="38">
        <f t="shared" si="12"/>
        <v>343113605.80924904</v>
      </c>
      <c r="C18" s="12" t="s">
        <v>114</v>
      </c>
      <c r="D18" s="101">
        <f t="shared" si="0"/>
        <v>3431.1360580924907</v>
      </c>
      <c r="E18" s="7">
        <f t="shared" si="1"/>
        <v>343113605.80924904</v>
      </c>
      <c r="F18" s="94">
        <f t="shared" si="2"/>
        <v>341113605.80924904</v>
      </c>
      <c r="G18" s="56">
        <f t="shared" si="3"/>
        <v>3466.1738978057801</v>
      </c>
      <c r="H18" s="50">
        <v>8.1</v>
      </c>
      <c r="I18" s="26">
        <f>3*G18/H18</f>
        <v>1283.7681102984373</v>
      </c>
      <c r="J18" s="26">
        <f>G18*10/H18</f>
        <v>4279.2270343281234</v>
      </c>
      <c r="M18" s="11"/>
      <c r="T18" s="90"/>
      <c r="U18" s="47">
        <f t="shared" si="13"/>
        <v>2447.1770681076487</v>
      </c>
      <c r="V18" s="47">
        <f t="shared" si="14"/>
        <v>2331.4171869329612</v>
      </c>
      <c r="W18" s="35" t="s">
        <v>53</v>
      </c>
      <c r="X18" s="69">
        <f>AVERAGE(E2:E20)</f>
        <v>102034581.74292274</v>
      </c>
      <c r="Y18" s="69">
        <f>AVERAGE(E4:E20)</f>
        <v>113803356.06561953</v>
      </c>
    </row>
    <row r="19" spans="1:26" ht="16" thickBot="1" x14ac:dyDescent="0.5">
      <c r="A19" s="39">
        <v>5119.6557152939195</v>
      </c>
      <c r="B19" s="38">
        <f t="shared" si="12"/>
        <v>511965571.52939194</v>
      </c>
      <c r="C19" s="12" t="s">
        <v>115</v>
      </c>
      <c r="D19" s="101">
        <f t="shared" si="0"/>
        <v>5119.6557152939195</v>
      </c>
      <c r="E19" s="7">
        <f t="shared" si="1"/>
        <v>511965571.52939194</v>
      </c>
      <c r="F19" s="94">
        <f t="shared" si="2"/>
        <v>509965571.52939194</v>
      </c>
      <c r="G19" s="56">
        <f t="shared" si="3"/>
        <v>5154.6935550072094</v>
      </c>
      <c r="H19" s="50">
        <v>9.1</v>
      </c>
      <c r="I19" s="26">
        <f t="shared" ref="I19:I20" si="15">3*G19/H19</f>
        <v>1699.3495236287506</v>
      </c>
      <c r="J19" s="26">
        <f t="shared" ref="J19:J20" si="16">G19*10/H19</f>
        <v>5664.4984120958343</v>
      </c>
      <c r="K19" s="35"/>
      <c r="L19" s="97" t="s">
        <v>41</v>
      </c>
      <c r="M19" s="45"/>
      <c r="T19" s="90"/>
      <c r="U19" s="47">
        <f t="shared" si="13"/>
        <v>4135.696725309077</v>
      </c>
      <c r="V19" s="47">
        <f t="shared" si="14"/>
        <v>4019.9368441343904</v>
      </c>
      <c r="W19" s="6" t="s">
        <v>54</v>
      </c>
      <c r="Y19" s="69">
        <f>AVERAGE(E2:E3)</f>
        <v>2000000</v>
      </c>
    </row>
    <row r="20" spans="1:26" ht="16" thickBot="1" x14ac:dyDescent="0.5">
      <c r="A20" s="39">
        <v>6855.5647834548627</v>
      </c>
      <c r="B20" s="38">
        <f t="shared" si="12"/>
        <v>685556478.34548628</v>
      </c>
      <c r="C20" s="12" t="s">
        <v>116</v>
      </c>
      <c r="D20" s="102">
        <f t="shared" si="0"/>
        <v>6855.5647834548627</v>
      </c>
      <c r="E20" s="67">
        <f t="shared" si="1"/>
        <v>685556478.34548628</v>
      </c>
      <c r="F20" s="94">
        <f t="shared" si="2"/>
        <v>683556478.34548628</v>
      </c>
      <c r="G20" s="103">
        <f t="shared" si="3"/>
        <v>6890.6026231681526</v>
      </c>
      <c r="H20" s="52">
        <v>10.1</v>
      </c>
      <c r="I20" s="104">
        <f t="shared" si="15"/>
        <v>2046.7136504459859</v>
      </c>
      <c r="J20" s="41">
        <f t="shared" si="16"/>
        <v>6822.3788348199532</v>
      </c>
      <c r="L20" s="97" t="s">
        <v>40</v>
      </c>
      <c r="M20" s="11"/>
      <c r="T20" s="90"/>
      <c r="U20" s="47">
        <f t="shared" si="13"/>
        <v>5871.6057934700202</v>
      </c>
      <c r="V20" s="47">
        <f t="shared" si="14"/>
        <v>5755.8459122953336</v>
      </c>
      <c r="W20" s="72" t="s">
        <v>47</v>
      </c>
      <c r="X20" s="8">
        <f>SQRT(Y9^2/M3^2*((1/E21)+(X18^2/(M3^2*Y8))))</f>
        <v>25.771662076744899</v>
      </c>
      <c r="Y20" s="8">
        <f>SQRT(Z9^2/N3^2*((1/2)+(1/(E21-2))+((Y19-Y18)^2/(N3^2*Z8))))</f>
        <v>80.173793341059394</v>
      </c>
    </row>
    <row r="21" spans="1:26" x14ac:dyDescent="0.45">
      <c r="A21" s="36" t="s">
        <v>50</v>
      </c>
      <c r="B21" s="36"/>
      <c r="C21" s="66"/>
      <c r="D21" s="25" t="s">
        <v>43</v>
      </c>
      <c r="E21" s="33">
        <f>COUNT(E2:E20)</f>
        <v>19</v>
      </c>
      <c r="F21" s="26"/>
      <c r="G21" s="27"/>
      <c r="H21" s="26"/>
      <c r="I21" s="26"/>
      <c r="T21" s="90"/>
    </row>
    <row r="22" spans="1:26" ht="16" thickBot="1" x14ac:dyDescent="0.5">
      <c r="C22" s="24"/>
      <c r="D22" s="70"/>
      <c r="E22" s="71"/>
      <c r="F22" s="26"/>
      <c r="G22" s="27"/>
      <c r="H22" s="26"/>
      <c r="I22" s="26"/>
      <c r="T22" s="90"/>
    </row>
    <row r="23" spans="1:26" ht="18.399999999999999" thickTop="1" x14ac:dyDescent="0.5">
      <c r="C23" s="24"/>
      <c r="D23" s="63" t="s">
        <v>52</v>
      </c>
      <c r="E23" s="23"/>
      <c r="F23" s="26"/>
      <c r="G23" s="27"/>
      <c r="H23" s="26"/>
      <c r="I23" s="26"/>
      <c r="T23" s="90"/>
    </row>
    <row r="24" spans="1:26" ht="18" x14ac:dyDescent="0.5">
      <c r="C24" s="24"/>
      <c r="D24" s="63" t="s">
        <v>45</v>
      </c>
      <c r="E24" s="23"/>
      <c r="F24" s="26"/>
      <c r="G24" s="27"/>
      <c r="H24" s="26"/>
      <c r="I24" s="26"/>
      <c r="T24" s="90"/>
    </row>
    <row r="25" spans="1:26" x14ac:dyDescent="0.45">
      <c r="C25" s="24"/>
      <c r="E25" s="23"/>
      <c r="F25" s="26"/>
      <c r="G25" s="27"/>
      <c r="H25" s="26"/>
      <c r="I25" s="26"/>
    </row>
    <row r="26" spans="1:26" x14ac:dyDescent="0.45">
      <c r="C26" s="24"/>
      <c r="D26" s="25"/>
      <c r="E26" s="23"/>
      <c r="F26" s="26"/>
      <c r="G26" s="27"/>
      <c r="H26" s="26"/>
      <c r="I26" s="26"/>
      <c r="M26" s="11"/>
    </row>
    <row r="27" spans="1:26" x14ac:dyDescent="0.45">
      <c r="C27" s="5"/>
      <c r="G27" s="5"/>
      <c r="J27" s="5"/>
      <c r="O27"/>
      <c r="P27"/>
      <c r="Q27"/>
      <c r="R27"/>
      <c r="S27"/>
      <c r="T27"/>
      <c r="U27"/>
      <c r="V27"/>
      <c r="W27"/>
      <c r="X27"/>
      <c r="Y27"/>
    </row>
    <row r="28" spans="1:26" x14ac:dyDescent="0.45">
      <c r="C28" s="5"/>
      <c r="G28" s="5"/>
      <c r="J28" s="5"/>
      <c r="O28"/>
      <c r="P28"/>
      <c r="Q28"/>
      <c r="R28"/>
      <c r="S28"/>
      <c r="T28"/>
      <c r="U28"/>
      <c r="V28"/>
      <c r="W28"/>
      <c r="X28"/>
      <c r="Y28"/>
    </row>
    <row r="29" spans="1:26" x14ac:dyDescent="0.45">
      <c r="C29" s="5"/>
      <c r="G29" s="5"/>
      <c r="J29" s="5"/>
      <c r="O29"/>
      <c r="P29"/>
      <c r="Q29"/>
      <c r="R29"/>
      <c r="S29"/>
      <c r="T29"/>
      <c r="U29"/>
      <c r="V29"/>
      <c r="W29"/>
      <c r="X29"/>
      <c r="Y29"/>
    </row>
    <row r="30" spans="1:26" x14ac:dyDescent="0.45">
      <c r="C30" s="5"/>
      <c r="G30" s="5"/>
      <c r="J30" s="5"/>
      <c r="O30"/>
      <c r="P30"/>
      <c r="Q30"/>
      <c r="R30"/>
      <c r="S30"/>
      <c r="T30"/>
      <c r="U30"/>
      <c r="V30"/>
      <c r="W30"/>
      <c r="X30"/>
      <c r="Y30"/>
    </row>
    <row r="31" spans="1:26" x14ac:dyDescent="0.45">
      <c r="C31" s="5"/>
      <c r="G31" s="5"/>
      <c r="J31" s="5"/>
      <c r="O31"/>
      <c r="P31"/>
      <c r="Q31"/>
      <c r="R31"/>
      <c r="S31"/>
      <c r="T31"/>
      <c r="U31"/>
      <c r="V31"/>
      <c r="W31"/>
      <c r="X31"/>
      <c r="Y31"/>
    </row>
    <row r="32" spans="1:26" x14ac:dyDescent="0.45">
      <c r="C32" s="5"/>
      <c r="G32" s="5"/>
      <c r="J32" s="5"/>
      <c r="O32"/>
      <c r="P32"/>
      <c r="Q32"/>
      <c r="R32"/>
      <c r="S32"/>
      <c r="T32"/>
      <c r="U32"/>
      <c r="V32"/>
      <c r="W32"/>
      <c r="X32"/>
      <c r="Y32"/>
    </row>
    <row r="33" spans="3:25" x14ac:dyDescent="0.45">
      <c r="C33" s="5"/>
      <c r="G33" s="5"/>
      <c r="J33" s="5"/>
      <c r="O33"/>
      <c r="P33"/>
      <c r="Q33"/>
      <c r="R33"/>
      <c r="S33"/>
      <c r="T33"/>
      <c r="U33"/>
      <c r="V33"/>
      <c r="W33"/>
      <c r="X33"/>
      <c r="Y33"/>
    </row>
    <row r="34" spans="3:25" x14ac:dyDescent="0.45">
      <c r="C34" s="5"/>
      <c r="G34" s="5"/>
      <c r="J34" s="5"/>
      <c r="O34"/>
      <c r="P34"/>
      <c r="Q34"/>
      <c r="R34"/>
      <c r="S34"/>
      <c r="T34"/>
      <c r="U34"/>
      <c r="V34"/>
      <c r="W34"/>
      <c r="X34"/>
      <c r="Y34"/>
    </row>
    <row r="35" spans="3:25" x14ac:dyDescent="0.45">
      <c r="C35" s="5"/>
      <c r="G35" s="5"/>
      <c r="J35" s="5"/>
      <c r="O35"/>
      <c r="P35"/>
      <c r="Q35"/>
      <c r="R35"/>
      <c r="S35"/>
      <c r="T35"/>
      <c r="U35"/>
      <c r="V35"/>
      <c r="W35"/>
      <c r="X35"/>
      <c r="Y35"/>
    </row>
    <row r="36" spans="3:25" x14ac:dyDescent="0.45">
      <c r="C36" s="5"/>
      <c r="G36" s="5"/>
      <c r="J36" s="5"/>
      <c r="O36"/>
      <c r="P36"/>
      <c r="Q36"/>
      <c r="R36"/>
      <c r="S36"/>
      <c r="T36"/>
      <c r="U36"/>
      <c r="V36"/>
      <c r="W36"/>
      <c r="X36"/>
      <c r="Y36"/>
    </row>
    <row r="37" spans="3:25" x14ac:dyDescent="0.45">
      <c r="C37" s="5"/>
      <c r="G37" s="5"/>
      <c r="J37" s="5"/>
      <c r="O37"/>
      <c r="P37"/>
      <c r="Q37"/>
      <c r="R37"/>
      <c r="S37"/>
      <c r="T37"/>
      <c r="U37"/>
      <c r="V37"/>
      <c r="W37"/>
      <c r="X37"/>
      <c r="Y37"/>
    </row>
    <row r="38" spans="3:25" x14ac:dyDescent="0.45">
      <c r="C38" s="5"/>
      <c r="G38" s="5"/>
      <c r="J38" s="5"/>
      <c r="O38"/>
      <c r="P38"/>
      <c r="Q38"/>
      <c r="R38"/>
      <c r="S38"/>
      <c r="T38"/>
      <c r="U38"/>
      <c r="V38"/>
      <c r="W38"/>
      <c r="X38"/>
      <c r="Y38"/>
    </row>
    <row r="39" spans="3:25" x14ac:dyDescent="0.45">
      <c r="C39" s="5"/>
      <c r="G39" s="5"/>
      <c r="J39" s="5"/>
      <c r="O39"/>
      <c r="P39"/>
      <c r="Q39"/>
      <c r="R39"/>
      <c r="S39"/>
      <c r="T39"/>
      <c r="U39"/>
      <c r="V39"/>
      <c r="W39"/>
      <c r="X39"/>
      <c r="Y39"/>
    </row>
    <row r="40" spans="3:25" x14ac:dyDescent="0.45">
      <c r="C40" s="5"/>
      <c r="G40" s="5"/>
      <c r="J40" s="5"/>
      <c r="O40"/>
      <c r="P40"/>
      <c r="Q40"/>
      <c r="R40"/>
      <c r="S40"/>
      <c r="T40"/>
      <c r="U40"/>
      <c r="V40"/>
      <c r="W40"/>
      <c r="X40"/>
      <c r="Y40"/>
    </row>
    <row r="41" spans="3:25" x14ac:dyDescent="0.45">
      <c r="C41" s="5"/>
      <c r="G41" s="5"/>
      <c r="J41" s="5"/>
      <c r="O41"/>
      <c r="P41"/>
      <c r="Q41"/>
      <c r="R41"/>
      <c r="S41"/>
      <c r="T41"/>
      <c r="U41"/>
      <c r="V41"/>
      <c r="W41"/>
      <c r="X41"/>
      <c r="Y41"/>
    </row>
    <row r="42" spans="3:25" x14ac:dyDescent="0.45">
      <c r="C42" s="5"/>
      <c r="G42" s="5"/>
      <c r="J42" s="5"/>
      <c r="O42"/>
      <c r="P42"/>
      <c r="Q42"/>
      <c r="R42"/>
      <c r="S42"/>
      <c r="T42"/>
      <c r="U42"/>
      <c r="V42"/>
      <c r="W42"/>
      <c r="X42"/>
      <c r="Y42"/>
    </row>
    <row r="43" spans="3:25" x14ac:dyDescent="0.45">
      <c r="C43" s="5"/>
      <c r="G43" s="5"/>
      <c r="J43" s="5"/>
      <c r="O43"/>
      <c r="P43"/>
      <c r="Q43"/>
      <c r="R43"/>
      <c r="S43"/>
      <c r="T43"/>
      <c r="U43"/>
      <c r="V43"/>
      <c r="W43"/>
      <c r="X43"/>
      <c r="Y43"/>
    </row>
    <row r="44" spans="3:25" x14ac:dyDescent="0.45">
      <c r="C44" s="5"/>
      <c r="G44" s="5"/>
      <c r="J44" s="5"/>
      <c r="O44"/>
      <c r="P44"/>
      <c r="Q44"/>
      <c r="R44"/>
      <c r="S44"/>
      <c r="T44"/>
      <c r="U44"/>
      <c r="V44"/>
      <c r="W44"/>
      <c r="X44"/>
      <c r="Y44"/>
    </row>
    <row r="45" spans="3:25" x14ac:dyDescent="0.45">
      <c r="C45" s="5"/>
      <c r="G45" s="5"/>
      <c r="J45" s="5"/>
      <c r="O45"/>
      <c r="P45"/>
      <c r="Q45"/>
      <c r="R45"/>
      <c r="S45"/>
      <c r="T45"/>
      <c r="U45"/>
      <c r="V45"/>
      <c r="W45"/>
      <c r="X45"/>
      <c r="Y45"/>
    </row>
    <row r="46" spans="3:25" x14ac:dyDescent="0.45">
      <c r="C46" s="5"/>
      <c r="G46" s="5"/>
      <c r="J46" s="5"/>
      <c r="O46"/>
      <c r="P46"/>
      <c r="Q46"/>
      <c r="R46"/>
      <c r="S46"/>
      <c r="T46"/>
      <c r="U46"/>
      <c r="V46"/>
      <c r="W46"/>
      <c r="X46"/>
      <c r="Y46"/>
    </row>
    <row r="47" spans="3:25" x14ac:dyDescent="0.45">
      <c r="C47" s="5"/>
      <c r="G47" s="5"/>
      <c r="J47" s="5"/>
      <c r="O47"/>
      <c r="P47"/>
      <c r="Q47"/>
      <c r="R47"/>
      <c r="S47"/>
      <c r="T47"/>
      <c r="U47"/>
      <c r="V47"/>
      <c r="W47"/>
      <c r="X47"/>
      <c r="Y47"/>
    </row>
    <row r="48" spans="3:25" x14ac:dyDescent="0.45">
      <c r="C48" s="5"/>
      <c r="G48" s="5"/>
      <c r="J48" s="5"/>
      <c r="O48"/>
      <c r="P48"/>
      <c r="Q48"/>
      <c r="R48"/>
      <c r="S48"/>
      <c r="T48"/>
      <c r="U48"/>
      <c r="V48"/>
      <c r="W48"/>
      <c r="X48"/>
      <c r="Y48"/>
    </row>
    <row r="49" spans="3:25" x14ac:dyDescent="0.45">
      <c r="C49" s="5"/>
      <c r="G49" s="5"/>
      <c r="J49" s="5"/>
      <c r="O49"/>
      <c r="P49"/>
      <c r="Q49"/>
      <c r="R49"/>
      <c r="S49"/>
      <c r="T49"/>
      <c r="U49"/>
      <c r="V49"/>
      <c r="W49"/>
      <c r="X49"/>
      <c r="Y49"/>
    </row>
    <row r="50" spans="3:25" x14ac:dyDescent="0.45">
      <c r="C50" s="5"/>
      <c r="G50" s="5"/>
      <c r="J50" s="5"/>
      <c r="O50"/>
      <c r="P50"/>
      <c r="Q50"/>
      <c r="R50"/>
      <c r="S50"/>
      <c r="T50"/>
      <c r="U50"/>
      <c r="V50"/>
      <c r="W50"/>
      <c r="X50"/>
      <c r="Y50"/>
    </row>
    <row r="51" spans="3:25" x14ac:dyDescent="0.45">
      <c r="C51" s="5"/>
      <c r="G51" s="5"/>
      <c r="J51" s="5"/>
      <c r="O51"/>
      <c r="P51"/>
      <c r="Q51"/>
      <c r="R51"/>
      <c r="S51"/>
      <c r="T51"/>
      <c r="U51"/>
      <c r="V51"/>
      <c r="W51"/>
      <c r="X51"/>
      <c r="Y51"/>
    </row>
    <row r="52" spans="3:25" x14ac:dyDescent="0.45">
      <c r="C52" s="5"/>
      <c r="G52" s="5"/>
      <c r="J52" s="5"/>
      <c r="O52"/>
      <c r="P52"/>
      <c r="Q52"/>
      <c r="R52"/>
      <c r="S52"/>
      <c r="T52"/>
      <c r="U52"/>
      <c r="V52"/>
      <c r="W52"/>
      <c r="X52"/>
      <c r="Y52"/>
    </row>
    <row r="53" spans="3:25" x14ac:dyDescent="0.45">
      <c r="C53" s="5"/>
      <c r="G53" s="5"/>
      <c r="J53" s="5"/>
      <c r="O53"/>
      <c r="P53"/>
      <c r="Q53"/>
      <c r="R53"/>
      <c r="S53"/>
      <c r="T53"/>
      <c r="U53"/>
      <c r="V53"/>
      <c r="W53"/>
      <c r="X53"/>
      <c r="Y53"/>
    </row>
    <row r="54" spans="3:25" x14ac:dyDescent="0.45">
      <c r="C54" s="5"/>
      <c r="G54" s="5"/>
      <c r="J54" s="5"/>
      <c r="O54"/>
      <c r="P54"/>
      <c r="Q54"/>
      <c r="R54"/>
      <c r="S54"/>
      <c r="T54"/>
      <c r="U54"/>
      <c r="V54"/>
      <c r="W54"/>
      <c r="X54"/>
      <c r="Y54"/>
    </row>
    <row r="55" spans="3:25" x14ac:dyDescent="0.45">
      <c r="C55" s="5"/>
      <c r="G55" s="5"/>
      <c r="J55" s="5"/>
      <c r="O55"/>
      <c r="P55"/>
      <c r="Q55"/>
      <c r="R55"/>
      <c r="S55"/>
      <c r="T55"/>
      <c r="U55"/>
      <c r="V55"/>
      <c r="W55"/>
      <c r="X55"/>
      <c r="Y55"/>
    </row>
    <row r="56" spans="3:25" x14ac:dyDescent="0.45">
      <c r="C56" s="5"/>
      <c r="G56" s="5"/>
      <c r="J56" s="5"/>
      <c r="O56"/>
      <c r="P56"/>
      <c r="Q56"/>
      <c r="R56"/>
      <c r="S56"/>
      <c r="T56"/>
      <c r="U56"/>
      <c r="V56"/>
      <c r="W56"/>
      <c r="X56"/>
      <c r="Y56"/>
    </row>
  </sheetData>
  <conditionalFormatting sqref="F4:F20">
    <cfRule type="cellIs" dxfId="5" priority="3" operator="greaterThan">
      <formula>$B$3</formula>
    </cfRule>
  </conditionalFormatting>
  <conditionalFormatting sqref="N17">
    <cfRule type="cellIs" dxfId="4" priority="2" operator="equal">
      <formula>TRUE</formula>
    </cfRule>
  </conditionalFormatting>
  <conditionalFormatting sqref="M17">
    <cfRule type="cellIs" dxfId="3" priority="1" operator="equal">
      <formula>FALSE</formula>
    </cfRule>
  </conditionalFormatting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FFCC"/>
  </sheetPr>
  <dimension ref="A1:AB26"/>
  <sheetViews>
    <sheetView zoomScale="80" zoomScaleNormal="80" workbookViewId="0">
      <selection activeCell="H9" sqref="H9"/>
    </sheetView>
  </sheetViews>
  <sheetFormatPr baseColWidth="10" defaultColWidth="11.5" defaultRowHeight="15.6" x14ac:dyDescent="0.45"/>
  <cols>
    <col min="1" max="1" width="10.42578125" style="5" customWidth="1"/>
    <col min="2" max="2" width="9.85546875" style="5" customWidth="1"/>
    <col min="3" max="3" width="10.78515625" style="5" customWidth="1"/>
    <col min="4" max="4" width="8.35546875" style="3" customWidth="1"/>
    <col min="5" max="5" width="8.640625" style="5" customWidth="1"/>
    <col min="6" max="6" width="11.28515625" style="5" customWidth="1"/>
    <col min="7" max="7" width="11.35546875" style="5" customWidth="1"/>
    <col min="8" max="8" width="10.2109375" style="5" customWidth="1"/>
    <col min="9" max="9" width="8.35546875" style="5" customWidth="1"/>
    <col min="10" max="10" width="7.640625" style="6" customWidth="1"/>
    <col min="11" max="11" width="7.85546875" style="5" customWidth="1"/>
    <col min="12" max="12" width="6.92578125" style="5" customWidth="1"/>
    <col min="13" max="13" width="7.140625" style="6" customWidth="1"/>
    <col min="14" max="14" width="12.35546875" style="5" customWidth="1"/>
    <col min="15" max="15" width="12.2109375" style="5" customWidth="1"/>
    <col min="16" max="16" width="10.0703125" style="5" customWidth="1"/>
    <col min="17" max="24" width="11.5" style="5"/>
    <col min="25" max="25" width="9.0703125" style="5" customWidth="1"/>
    <col min="26" max="26" width="9.2109375" style="5" customWidth="1"/>
    <col min="27" max="27" width="10" style="5" customWidth="1"/>
    <col min="28" max="16384" width="11.5" style="5"/>
  </cols>
  <sheetData>
    <row r="1" spans="1:28" ht="16" thickBot="1" x14ac:dyDescent="0.5">
      <c r="A1" s="40" t="s">
        <v>20</v>
      </c>
      <c r="B1" s="37" t="s">
        <v>5</v>
      </c>
      <c r="C1" s="37" t="s">
        <v>22</v>
      </c>
      <c r="D1" s="2" t="s">
        <v>0</v>
      </c>
      <c r="E1" s="20" t="s">
        <v>20</v>
      </c>
      <c r="F1" s="3" t="s">
        <v>5</v>
      </c>
      <c r="G1" s="28" t="s">
        <v>23</v>
      </c>
      <c r="H1" s="94" t="s">
        <v>104</v>
      </c>
      <c r="I1" s="4" t="s">
        <v>4</v>
      </c>
      <c r="J1" s="2" t="s">
        <v>7</v>
      </c>
      <c r="K1" s="2" t="s">
        <v>8</v>
      </c>
      <c r="L1" s="2" t="s">
        <v>9</v>
      </c>
      <c r="M1" s="2"/>
      <c r="V1" s="90"/>
      <c r="W1" s="43" t="s">
        <v>36</v>
      </c>
      <c r="X1" s="43" t="s">
        <v>37</v>
      </c>
    </row>
    <row r="2" spans="1:28" ht="16" thickBot="1" x14ac:dyDescent="0.5">
      <c r="A2" s="37">
        <v>0</v>
      </c>
      <c r="B2" s="38">
        <v>2000000</v>
      </c>
      <c r="C2" s="38">
        <v>5.3590944574551136</v>
      </c>
      <c r="D2" s="3" t="s">
        <v>100</v>
      </c>
      <c r="E2" s="101">
        <f t="shared" ref="E2:E20" si="0">A2</f>
        <v>0</v>
      </c>
      <c r="F2" s="7">
        <f t="shared" ref="F2:F20" si="1">B2</f>
        <v>2000000</v>
      </c>
      <c r="G2" s="7">
        <f t="shared" ref="G2:G20" si="2">F2/C2</f>
        <v>373197.37800436997</v>
      </c>
      <c r="H2" s="95"/>
      <c r="I2" s="1" t="s">
        <v>11</v>
      </c>
      <c r="N2" s="55"/>
      <c r="O2" s="16" t="s">
        <v>32</v>
      </c>
      <c r="P2" s="16" t="s">
        <v>6</v>
      </c>
      <c r="V2" s="90"/>
      <c r="W2" s="47">
        <f>E2-$AA$7</f>
        <v>-983.99926893221038</v>
      </c>
      <c r="X2" s="48"/>
    </row>
    <row r="3" spans="1:28" ht="16" thickBot="1" x14ac:dyDescent="0.5">
      <c r="A3" s="37">
        <v>0</v>
      </c>
      <c r="B3" s="38">
        <v>2000000</v>
      </c>
      <c r="C3" s="38">
        <v>3.2433529531154859</v>
      </c>
      <c r="D3" s="60" t="s">
        <v>101</v>
      </c>
      <c r="E3" s="102">
        <f t="shared" si="0"/>
        <v>0</v>
      </c>
      <c r="F3" s="31">
        <f t="shared" si="1"/>
        <v>2000000</v>
      </c>
      <c r="G3" s="31">
        <f t="shared" si="2"/>
        <v>616645.80725907383</v>
      </c>
      <c r="H3" s="95"/>
      <c r="I3" s="61"/>
      <c r="J3" s="62"/>
      <c r="K3" s="61"/>
      <c r="L3" s="61"/>
      <c r="N3" s="16" t="s">
        <v>1</v>
      </c>
      <c r="O3" s="17">
        <f>SLOPE(G2:G20,E2:E20)</f>
        <v>10337.367663134206</v>
      </c>
      <c r="P3" s="17">
        <f>SLOPE(G4:G20,I4:I20)</f>
        <v>10185.535797028377</v>
      </c>
      <c r="V3" s="90"/>
      <c r="W3" s="47">
        <f>E3-$AA$7</f>
        <v>-983.99926893221038</v>
      </c>
      <c r="X3" s="48"/>
    </row>
    <row r="4" spans="1:28" ht="16" thickBot="1" x14ac:dyDescent="0.5">
      <c r="A4" s="39">
        <v>1</v>
      </c>
      <c r="B4" s="38">
        <v>10000</v>
      </c>
      <c r="C4" s="38">
        <v>1.06</v>
      </c>
      <c r="D4" s="12" t="s">
        <v>86</v>
      </c>
      <c r="E4" s="101">
        <f t="shared" si="0"/>
        <v>1</v>
      </c>
      <c r="F4" s="7">
        <f t="shared" si="1"/>
        <v>10000</v>
      </c>
      <c r="G4" s="7">
        <f t="shared" si="2"/>
        <v>9433.9622641509432</v>
      </c>
      <c r="H4" s="94">
        <f>G4-$G$3</f>
        <v>-607211.84499492287</v>
      </c>
      <c r="I4" s="8">
        <f t="shared" ref="I4:I20" si="3">($O$8)+E4</f>
        <v>502.41151070034118</v>
      </c>
      <c r="J4" s="49">
        <v>62.9</v>
      </c>
      <c r="K4" s="13" t="s">
        <v>8</v>
      </c>
      <c r="L4" s="13" t="s">
        <v>9</v>
      </c>
      <c r="N4" s="16" t="s">
        <v>12</v>
      </c>
      <c r="O4" s="22">
        <f>RSQ(G2:G20,E2:E20)</f>
        <v>0.87625875837339984</v>
      </c>
      <c r="P4" s="22">
        <f>RSQ(G4:G20,I4:I20)</f>
        <v>0.87497279109053527</v>
      </c>
      <c r="V4" s="90"/>
      <c r="W4" s="47">
        <f t="shared" ref="W4:W9" si="4">IF(E4&gt;0,E4-$AA$7,0)</f>
        <v>-982.99926893221038</v>
      </c>
      <c r="X4" s="47">
        <f t="shared" ref="X4:X9" si="5">IF(E4&gt;0,I4-$AB$7,0)</f>
        <v>-1098.7638888065881</v>
      </c>
      <c r="Z4" s="6"/>
    </row>
    <row r="5" spans="1:28" ht="16" thickBot="1" x14ac:dyDescent="0.5">
      <c r="A5" s="39">
        <v>5</v>
      </c>
      <c r="B5" s="38">
        <f>50000</f>
        <v>50000</v>
      </c>
      <c r="C5" s="38">
        <v>2</v>
      </c>
      <c r="D5" s="12" t="s">
        <v>87</v>
      </c>
      <c r="E5" s="101">
        <f t="shared" si="0"/>
        <v>5</v>
      </c>
      <c r="F5" s="7">
        <f t="shared" si="1"/>
        <v>50000</v>
      </c>
      <c r="G5" s="7">
        <f t="shared" si="2"/>
        <v>25000</v>
      </c>
      <c r="H5" s="94">
        <f t="shared" ref="H5:H20" si="6">G5-$G$3</f>
        <v>-591645.80725907383</v>
      </c>
      <c r="I5" s="8">
        <f t="shared" si="3"/>
        <v>506.41151070034118</v>
      </c>
      <c r="J5" s="49">
        <v>42</v>
      </c>
      <c r="K5" s="21" t="s">
        <v>21</v>
      </c>
      <c r="L5" s="13"/>
      <c r="N5" s="16" t="s">
        <v>2</v>
      </c>
      <c r="O5" s="17">
        <f>INTERCEPT(G2:G20,E2:E20)</f>
        <v>5183275.136636978</v>
      </c>
      <c r="P5" s="17">
        <f>INTERCEPT(G4:G20,I4:I20)</f>
        <v>794680.45404697768</v>
      </c>
      <c r="V5" s="90"/>
      <c r="W5" s="47">
        <f t="shared" si="4"/>
        <v>-978.99926893221038</v>
      </c>
      <c r="X5" s="47">
        <f t="shared" si="5"/>
        <v>-1094.7638888065881</v>
      </c>
      <c r="Z5" s="29" t="s">
        <v>24</v>
      </c>
      <c r="AA5" s="34">
        <f>_xlfn.T.INV.2T(0.05,F21-2)</f>
        <v>2.109815577833317</v>
      </c>
      <c r="AB5" s="34">
        <f>_xlfn.T.INV.2T(0.05,F21-4)</f>
        <v>2.1314495455597742</v>
      </c>
    </row>
    <row r="6" spans="1:28" ht="18" thickBot="1" x14ac:dyDescent="0.5">
      <c r="A6" s="39">
        <v>8.4366920827952647</v>
      </c>
      <c r="B6" s="38">
        <f>A6*100000</f>
        <v>843669.20827952644</v>
      </c>
      <c r="C6" s="38">
        <v>5.3590944574551136</v>
      </c>
      <c r="D6" s="12" t="s">
        <v>88</v>
      </c>
      <c r="E6" s="101">
        <f t="shared" si="0"/>
        <v>8.4366920827952647</v>
      </c>
      <c r="F6" s="7">
        <f t="shared" si="1"/>
        <v>843669.20827952644</v>
      </c>
      <c r="G6" s="7">
        <f t="shared" si="2"/>
        <v>157427.56821647097</v>
      </c>
      <c r="H6" s="94">
        <f t="shared" si="6"/>
        <v>-459218.23904260283</v>
      </c>
      <c r="I6" s="8">
        <f t="shared" si="3"/>
        <v>509.84820278313646</v>
      </c>
      <c r="J6" s="49">
        <v>22.7</v>
      </c>
      <c r="K6" s="8"/>
      <c r="L6" s="8"/>
      <c r="N6" s="16" t="s">
        <v>3</v>
      </c>
      <c r="O6" s="19">
        <f>O5/O3</f>
        <v>501.41151070034118</v>
      </c>
      <c r="P6" s="19"/>
      <c r="V6" s="90"/>
      <c r="W6" s="47">
        <f t="shared" si="4"/>
        <v>-975.56257684941511</v>
      </c>
      <c r="X6" s="47">
        <f t="shared" si="5"/>
        <v>-1091.3271967237929</v>
      </c>
      <c r="Z6" s="5" t="s">
        <v>33</v>
      </c>
      <c r="AA6" s="5">
        <f>SUMSQ(E2:E20)</f>
        <v>88479481.055990726</v>
      </c>
      <c r="AB6" s="5">
        <f>SUMSQ(E4:E20)</f>
        <v>88479481.055990726</v>
      </c>
    </row>
    <row r="7" spans="1:28" ht="16" thickBot="1" x14ac:dyDescent="0.5">
      <c r="A7" s="39">
        <v>16.705649999999999</v>
      </c>
      <c r="B7" s="38">
        <f>A7*10000</f>
        <v>167056.5</v>
      </c>
      <c r="C7" s="38">
        <v>3.2433529531154859</v>
      </c>
      <c r="D7" s="12" t="s">
        <v>89</v>
      </c>
      <c r="E7" s="101">
        <f t="shared" si="0"/>
        <v>16.705649999999999</v>
      </c>
      <c r="F7" s="7">
        <f t="shared" si="1"/>
        <v>167056.5</v>
      </c>
      <c r="G7" s="7">
        <f t="shared" si="2"/>
        <v>51507.345150187735</v>
      </c>
      <c r="H7" s="94">
        <f t="shared" si="6"/>
        <v>-565138.4621088861</v>
      </c>
      <c r="I7" s="8">
        <f t="shared" si="3"/>
        <v>518.11716070034117</v>
      </c>
      <c r="J7" s="49">
        <v>10.8</v>
      </c>
      <c r="K7" s="8"/>
      <c r="L7" s="8"/>
      <c r="N7" s="54" t="s">
        <v>42</v>
      </c>
      <c r="O7" s="53"/>
      <c r="P7" s="19">
        <f>(AVERAGE(G2:G3)-P5)/P3</f>
        <v>-29.429856945052439</v>
      </c>
      <c r="V7" s="90"/>
      <c r="W7" s="47">
        <f t="shared" si="4"/>
        <v>-967.29361893221039</v>
      </c>
      <c r="X7" s="47">
        <f t="shared" si="5"/>
        <v>-1083.0582388065882</v>
      </c>
      <c r="Z7" s="42" t="s">
        <v>35</v>
      </c>
      <c r="AA7" s="8">
        <f>AVERAGE(E2:E20)</f>
        <v>983.99926893221038</v>
      </c>
      <c r="AB7" s="8">
        <f>AVERAGE(I4:I20)</f>
        <v>1601.1753995069294</v>
      </c>
    </row>
    <row r="8" spans="1:28" ht="18" thickBot="1" x14ac:dyDescent="0.5">
      <c r="A8" s="39">
        <v>16.899403262222123</v>
      </c>
      <c r="B8" s="38">
        <f t="shared" ref="B8:B20" si="7">A8*100000</f>
        <v>1689940.3262222123</v>
      </c>
      <c r="C8" s="38">
        <v>1.096259290849275</v>
      </c>
      <c r="D8" s="12" t="s">
        <v>90</v>
      </c>
      <c r="E8" s="101">
        <f t="shared" si="0"/>
        <v>16.899403262222123</v>
      </c>
      <c r="F8" s="7">
        <f t="shared" si="1"/>
        <v>1689940.3262222123</v>
      </c>
      <c r="G8" s="7">
        <f t="shared" si="2"/>
        <v>1541551.6569196063</v>
      </c>
      <c r="H8" s="94">
        <f t="shared" si="6"/>
        <v>924905.84966053243</v>
      </c>
      <c r="I8" s="8">
        <f t="shared" si="3"/>
        <v>518.31091396256329</v>
      </c>
      <c r="J8" s="49">
        <v>5.5</v>
      </c>
      <c r="K8" s="8">
        <f>3*I8/J8</f>
        <v>282.71504397958</v>
      </c>
      <c r="L8" s="8">
        <f>I8*10/J8</f>
        <v>942.38347993193315</v>
      </c>
      <c r="N8" s="9" t="s">
        <v>10</v>
      </c>
      <c r="O8" s="10">
        <f>IF(O6&lt;0,0,O6)</f>
        <v>501.41151070034118</v>
      </c>
      <c r="P8" s="57">
        <f>IF(P7&lt;0,0,P7)</f>
        <v>0</v>
      </c>
      <c r="V8" s="90"/>
      <c r="W8" s="47">
        <f t="shared" si="4"/>
        <v>-967.09986566998828</v>
      </c>
      <c r="X8" s="47">
        <f t="shared" si="5"/>
        <v>-1082.8644855443661</v>
      </c>
      <c r="Z8" s="5" t="s">
        <v>34</v>
      </c>
      <c r="AA8" s="5">
        <f>SUMSQ(W2:W20)</f>
        <v>70082644.392067343</v>
      </c>
      <c r="AB8" s="5">
        <f>SUMSQ(X4:X20)</f>
        <v>67918310.66689989</v>
      </c>
    </row>
    <row r="9" spans="1:28" ht="16" thickBot="1" x14ac:dyDescent="0.5">
      <c r="A9" s="39">
        <v>62</v>
      </c>
      <c r="B9" s="38">
        <f t="shared" si="7"/>
        <v>6200000</v>
      </c>
      <c r="C9" s="38">
        <v>1.096259290849275</v>
      </c>
      <c r="D9" s="12" t="s">
        <v>91</v>
      </c>
      <c r="E9" s="101">
        <f t="shared" si="0"/>
        <v>62</v>
      </c>
      <c r="F9" s="7">
        <f t="shared" si="1"/>
        <v>6200000</v>
      </c>
      <c r="G9" s="7">
        <f t="shared" si="2"/>
        <v>5655596.3098810716</v>
      </c>
      <c r="H9" s="94">
        <f t="shared" si="6"/>
        <v>5038950.5026219981</v>
      </c>
      <c r="I9" s="8">
        <f t="shared" si="3"/>
        <v>563.41151070034118</v>
      </c>
      <c r="J9" s="49">
        <v>5.5</v>
      </c>
      <c r="K9" s="8">
        <f t="shared" ref="K9:K14" si="8">3*I9/J9</f>
        <v>307.31536947291335</v>
      </c>
      <c r="L9" s="8">
        <f t="shared" ref="L9:L14" si="9">I9*10/J9</f>
        <v>1024.3845649097113</v>
      </c>
      <c r="N9" s="6"/>
      <c r="V9" s="90"/>
      <c r="W9" s="47">
        <f t="shared" si="4"/>
        <v>-921.99926893221038</v>
      </c>
      <c r="X9" s="47">
        <f t="shared" si="5"/>
        <v>-1037.7638888065881</v>
      </c>
      <c r="Z9" s="35" t="s">
        <v>30</v>
      </c>
      <c r="AA9" s="5">
        <f>STEYX(G2:G20,E2:E20)</f>
        <v>7887362.3166991156</v>
      </c>
      <c r="AB9" s="5">
        <f>STEYX(G4:G20,I4:I20)</f>
        <v>8192881.6543879723</v>
      </c>
    </row>
    <row r="10" spans="1:28" ht="16" thickBot="1" x14ac:dyDescent="0.5">
      <c r="A10" s="39">
        <v>65.8</v>
      </c>
      <c r="B10" s="38">
        <v>6950000</v>
      </c>
      <c r="C10" s="38">
        <v>1</v>
      </c>
      <c r="D10" s="12" t="s">
        <v>92</v>
      </c>
      <c r="E10" s="101">
        <f t="shared" si="0"/>
        <v>65.8</v>
      </c>
      <c r="F10" s="7">
        <f t="shared" si="1"/>
        <v>6950000</v>
      </c>
      <c r="G10" s="7">
        <f t="shared" si="2"/>
        <v>6950000</v>
      </c>
      <c r="H10" s="94">
        <f t="shared" si="6"/>
        <v>6333354.1927409265</v>
      </c>
      <c r="I10" s="8">
        <f t="shared" si="3"/>
        <v>567.21151070034114</v>
      </c>
      <c r="J10" s="49">
        <v>15</v>
      </c>
      <c r="K10" s="8">
        <f t="shared" ref="K10:K11" si="10">3*I10/J10</f>
        <v>113.44230214006824</v>
      </c>
      <c r="L10" s="8">
        <f t="shared" ref="L10:L11" si="11">I10*10/J10</f>
        <v>378.14100713356072</v>
      </c>
      <c r="N10" s="9" t="s">
        <v>44</v>
      </c>
      <c r="O10" s="58">
        <f>(P8-O8)/O8</f>
        <v>-1</v>
      </c>
      <c r="V10" s="90"/>
      <c r="W10" s="47">
        <f t="shared" ref="W10:W11" si="12">IF(E10&gt;0,E10-$AA$7,0)</f>
        <v>-918.19926893221043</v>
      </c>
      <c r="X10" s="47">
        <f t="shared" ref="X10:X11" si="13">IF(E10&gt;0,I10-$AB$7,0)</f>
        <v>-1033.9638888065883</v>
      </c>
    </row>
    <row r="11" spans="1:28" ht="16" thickBot="1" x14ac:dyDescent="0.5">
      <c r="A11" s="39">
        <v>70</v>
      </c>
      <c r="B11" s="38">
        <v>7250000</v>
      </c>
      <c r="C11" s="38">
        <v>1.2</v>
      </c>
      <c r="D11" s="12" t="s">
        <v>93</v>
      </c>
      <c r="E11" s="101">
        <f t="shared" si="0"/>
        <v>70</v>
      </c>
      <c r="F11" s="7">
        <f t="shared" si="1"/>
        <v>7250000</v>
      </c>
      <c r="G11" s="7">
        <f t="shared" si="2"/>
        <v>6041666.666666667</v>
      </c>
      <c r="H11" s="94">
        <f t="shared" si="6"/>
        <v>5425020.8594075935</v>
      </c>
      <c r="I11" s="8">
        <f t="shared" si="3"/>
        <v>571.41151070034118</v>
      </c>
      <c r="J11" s="49">
        <v>26</v>
      </c>
      <c r="K11" s="8">
        <f t="shared" si="10"/>
        <v>65.932097388500907</v>
      </c>
      <c r="L11" s="8">
        <f t="shared" si="11"/>
        <v>219.7736579616697</v>
      </c>
      <c r="N11" s="72" t="s">
        <v>85</v>
      </c>
      <c r="O11" s="73">
        <f>AA5*AA16</f>
        <v>466.87776040256148</v>
      </c>
      <c r="P11" s="73">
        <f>AB5*AB16</f>
        <v>1325.7698926610624</v>
      </c>
      <c r="V11" s="90"/>
      <c r="W11" s="47">
        <f t="shared" si="12"/>
        <v>-913.99926893221038</v>
      </c>
      <c r="X11" s="47">
        <f t="shared" si="13"/>
        <v>-1029.7638888065881</v>
      </c>
    </row>
    <row r="12" spans="1:28" ht="16" thickBot="1" x14ac:dyDescent="0.5">
      <c r="A12" s="39">
        <v>75</v>
      </c>
      <c r="B12" s="38">
        <v>7500000</v>
      </c>
      <c r="C12" s="38">
        <v>1</v>
      </c>
      <c r="D12" s="12" t="s">
        <v>92</v>
      </c>
      <c r="E12" s="101">
        <f t="shared" si="0"/>
        <v>75</v>
      </c>
      <c r="F12" s="7">
        <f t="shared" si="1"/>
        <v>7500000</v>
      </c>
      <c r="G12" s="7">
        <f t="shared" si="2"/>
        <v>7500000</v>
      </c>
      <c r="H12" s="94">
        <f t="shared" si="6"/>
        <v>6883354.1927409265</v>
      </c>
      <c r="I12" s="8">
        <f t="shared" si="3"/>
        <v>576.41151070034118</v>
      </c>
      <c r="J12" s="49">
        <v>10</v>
      </c>
      <c r="K12" s="8">
        <f t="shared" ref="K12" si="14">3*I12/J12</f>
        <v>172.92345321010234</v>
      </c>
      <c r="L12" s="8">
        <f t="shared" ref="L12" si="15">I12*10/J12</f>
        <v>576.41151070034118</v>
      </c>
      <c r="N12" s="72"/>
      <c r="O12" s="73"/>
      <c r="P12" s="73"/>
      <c r="V12" s="90"/>
      <c r="W12" s="47">
        <f t="shared" ref="W12" si="16">IF(E12&gt;0,E12-$AA$7,0)</f>
        <v>-908.99926893221038</v>
      </c>
      <c r="X12" s="47">
        <f t="shared" ref="X12" si="17">IF(E12&gt;0,I12-$AB$7,0)</f>
        <v>-1024.7638888065881</v>
      </c>
    </row>
    <row r="13" spans="1:28" ht="16" thickBot="1" x14ac:dyDescent="0.5">
      <c r="A13" s="39">
        <v>84.635683101079607</v>
      </c>
      <c r="B13" s="38">
        <f t="shared" si="7"/>
        <v>8463568.3101079613</v>
      </c>
      <c r="C13" s="38">
        <v>1.096259290849275</v>
      </c>
      <c r="D13" s="12" t="s">
        <v>93</v>
      </c>
      <c r="E13" s="101">
        <f t="shared" si="0"/>
        <v>84.635683101079607</v>
      </c>
      <c r="F13" s="7">
        <f t="shared" si="1"/>
        <v>8463568.3101079613</v>
      </c>
      <c r="G13" s="7">
        <f t="shared" si="2"/>
        <v>7720407.3714633808</v>
      </c>
      <c r="H13" s="94">
        <f t="shared" si="6"/>
        <v>7103761.5642043073</v>
      </c>
      <c r="I13" s="8">
        <f t="shared" si="3"/>
        <v>586.0471938014208</v>
      </c>
      <c r="J13" s="49">
        <v>8.5</v>
      </c>
      <c r="K13" s="8">
        <f t="shared" si="8"/>
        <v>206.84018604756031</v>
      </c>
      <c r="L13" s="8">
        <f t="shared" si="9"/>
        <v>689.46728682520097</v>
      </c>
      <c r="N13" s="46" t="s">
        <v>31</v>
      </c>
      <c r="O13" s="87">
        <f>AA9*SQRT((AA6/(F21*AA8)))</f>
        <v>2033157.551442185</v>
      </c>
      <c r="P13" s="87">
        <f>AB9*SQRT((AB6/((F21-2)*AB8)))</f>
        <v>2267984.4191626105</v>
      </c>
      <c r="V13" s="90"/>
      <c r="W13" s="47">
        <f t="shared" ref="W13:W20" si="18">IF(E13&gt;0,E13-$AA$7,0)</f>
        <v>-899.36358583113076</v>
      </c>
      <c r="X13" s="47">
        <f t="shared" ref="X13:X20" si="19">IF(E13&gt;0,I13-$AB$7,0)</f>
        <v>-1015.1282057055085</v>
      </c>
    </row>
    <row r="14" spans="1:28" ht="16" thickBot="1" x14ac:dyDescent="0.5">
      <c r="A14" s="39">
        <v>172.65479347067421</v>
      </c>
      <c r="B14" s="38">
        <f t="shared" si="7"/>
        <v>17265479.347067419</v>
      </c>
      <c r="C14" s="38">
        <v>1.096259290849275</v>
      </c>
      <c r="D14" s="12" t="s">
        <v>94</v>
      </c>
      <c r="E14" s="101">
        <f t="shared" si="0"/>
        <v>172.65479347067421</v>
      </c>
      <c r="F14" s="7">
        <f t="shared" si="1"/>
        <v>17265479.347067419</v>
      </c>
      <c r="G14" s="7">
        <f t="shared" si="2"/>
        <v>15749448.594129412</v>
      </c>
      <c r="H14" s="94">
        <f t="shared" si="6"/>
        <v>15132802.786870338</v>
      </c>
      <c r="I14" s="8">
        <f t="shared" si="3"/>
        <v>674.06630417101542</v>
      </c>
      <c r="J14" s="49">
        <v>9.5</v>
      </c>
      <c r="K14" s="8">
        <f t="shared" si="8"/>
        <v>212.86304342242593</v>
      </c>
      <c r="L14" s="8">
        <f t="shared" si="9"/>
        <v>709.54347807475312</v>
      </c>
      <c r="N14" s="6" t="s">
        <v>38</v>
      </c>
      <c r="O14" s="8">
        <f>AA5*O13</f>
        <v>4289587.4742221655</v>
      </c>
      <c r="P14" s="8">
        <f>AB5*P13</f>
        <v>4834094.3595607942</v>
      </c>
      <c r="V14" s="90"/>
      <c r="W14" s="47">
        <f t="shared" si="18"/>
        <v>-811.34447546153615</v>
      </c>
      <c r="X14" s="47">
        <f t="shared" si="19"/>
        <v>-927.10909533591393</v>
      </c>
      <c r="Z14" s="35" t="s">
        <v>53</v>
      </c>
      <c r="AA14" s="69">
        <f>AVERAGE(G2:G20)</f>
        <v>15355237.35984451</v>
      </c>
      <c r="AB14" s="69">
        <f>AVERAGE(G4:G20)</f>
        <v>17103509.803046018</v>
      </c>
    </row>
    <row r="15" spans="1:28" ht="16" thickBot="1" x14ac:dyDescent="0.5">
      <c r="A15" s="39">
        <v>329.50898853484307</v>
      </c>
      <c r="B15" s="38">
        <f t="shared" si="7"/>
        <v>32950898.853484306</v>
      </c>
      <c r="C15" s="38">
        <v>0.9</v>
      </c>
      <c r="D15" s="12" t="s">
        <v>95</v>
      </c>
      <c r="E15" s="101">
        <f t="shared" si="0"/>
        <v>329.50898853484307</v>
      </c>
      <c r="F15" s="7">
        <f t="shared" si="1"/>
        <v>32950898.853484306</v>
      </c>
      <c r="G15" s="7">
        <f t="shared" si="2"/>
        <v>36612109.837204784</v>
      </c>
      <c r="H15" s="94">
        <f t="shared" si="6"/>
        <v>35995464.029945709</v>
      </c>
      <c r="I15" s="8">
        <f t="shared" si="3"/>
        <v>830.92049923518425</v>
      </c>
      <c r="J15" s="49">
        <v>2.1</v>
      </c>
      <c r="K15" s="8">
        <f t="shared" ref="K15:K17" si="20">3*I15/J15</f>
        <v>1187.0292846216917</v>
      </c>
      <c r="L15" s="8">
        <f t="shared" ref="L15:L17" si="21">I15*10/J15</f>
        <v>3956.7642820723058</v>
      </c>
      <c r="N15" s="86" t="s">
        <v>48</v>
      </c>
      <c r="O15" s="88">
        <f>O5+O14</f>
        <v>9472862.6108591445</v>
      </c>
      <c r="P15" s="88">
        <f>P5+P14</f>
        <v>5628774.8136077719</v>
      </c>
      <c r="V15" s="90"/>
      <c r="W15" s="47">
        <f t="shared" si="18"/>
        <v>-654.49028039736731</v>
      </c>
      <c r="X15" s="47">
        <f t="shared" si="19"/>
        <v>-770.2549002717451</v>
      </c>
      <c r="Z15" s="6" t="s">
        <v>54</v>
      </c>
      <c r="AB15" s="69">
        <f>AVERAGE(G2:G3)</f>
        <v>494921.59263172187</v>
      </c>
    </row>
    <row r="16" spans="1:28" ht="16" thickBot="1" x14ac:dyDescent="0.5">
      <c r="A16" s="39">
        <v>693.34997330492979</v>
      </c>
      <c r="B16" s="38">
        <f t="shared" si="7"/>
        <v>69334997.330492973</v>
      </c>
      <c r="C16" s="38">
        <v>6.5</v>
      </c>
      <c r="D16" s="12" t="s">
        <v>96</v>
      </c>
      <c r="E16" s="101">
        <f t="shared" si="0"/>
        <v>693.34997330492979</v>
      </c>
      <c r="F16" s="7">
        <f t="shared" si="1"/>
        <v>69334997.330492973</v>
      </c>
      <c r="G16" s="7">
        <f t="shared" si="2"/>
        <v>10666922.666229688</v>
      </c>
      <c r="H16" s="94">
        <f t="shared" si="6"/>
        <v>10050276.858970614</v>
      </c>
      <c r="I16" s="8">
        <f t="shared" si="3"/>
        <v>1194.7614840052711</v>
      </c>
      <c r="J16" s="49">
        <v>2.8</v>
      </c>
      <c r="K16" s="8">
        <f t="shared" si="20"/>
        <v>1280.1015900056477</v>
      </c>
      <c r="L16" s="8">
        <f t="shared" si="21"/>
        <v>4267.0053000188254</v>
      </c>
      <c r="N16" s="86" t="s">
        <v>49</v>
      </c>
      <c r="O16" s="88">
        <f>O5-O14</f>
        <v>893687.66241481248</v>
      </c>
      <c r="P16" s="88">
        <f>P5-P14</f>
        <v>-4039413.9055138165</v>
      </c>
      <c r="V16" s="90"/>
      <c r="W16" s="47">
        <f t="shared" si="18"/>
        <v>-290.64929562728059</v>
      </c>
      <c r="X16" s="47">
        <f t="shared" si="19"/>
        <v>-406.41391550165827</v>
      </c>
      <c r="Z16" s="72" t="s">
        <v>47</v>
      </c>
      <c r="AA16" s="8">
        <f>SQRT(AA9^2/O3^2*((1/F21)+(AA14^2/(O3^2*AA8))))</f>
        <v>221.28842222409949</v>
      </c>
      <c r="AB16" s="8">
        <f>SQRT(AB9^2/P3^2*((1/2)+(1/(F21-2))+((AB15-AB14)^2/(P3^2*AB8))))</f>
        <v>622.00388248593549</v>
      </c>
    </row>
    <row r="17" spans="1:24" ht="16" thickBot="1" x14ac:dyDescent="0.5">
      <c r="A17" s="39">
        <v>1688.6383691141828</v>
      </c>
      <c r="B17" s="38">
        <f t="shared" si="7"/>
        <v>168863836.91141829</v>
      </c>
      <c r="C17" s="38">
        <v>8.9</v>
      </c>
      <c r="D17" s="12" t="s">
        <v>97</v>
      </c>
      <c r="E17" s="101">
        <f t="shared" si="0"/>
        <v>1688.6383691141828</v>
      </c>
      <c r="F17" s="7">
        <f t="shared" si="1"/>
        <v>168863836.91141829</v>
      </c>
      <c r="G17" s="23">
        <f t="shared" si="2"/>
        <v>18973464.821507674</v>
      </c>
      <c r="H17" s="94">
        <f t="shared" si="6"/>
        <v>18356819.014248598</v>
      </c>
      <c r="I17" s="26">
        <f t="shared" si="3"/>
        <v>2190.049879814524</v>
      </c>
      <c r="J17" s="50">
        <v>8.1</v>
      </c>
      <c r="K17" s="26">
        <f t="shared" si="20"/>
        <v>811.12958511649049</v>
      </c>
      <c r="L17" s="26">
        <f t="shared" si="21"/>
        <v>2703.7652837216347</v>
      </c>
      <c r="N17" s="44" t="s">
        <v>39</v>
      </c>
      <c r="O17" s="64" t="b">
        <f>AND(O15&gt;0,0&gt;O16)</f>
        <v>0</v>
      </c>
      <c r="P17" s="65" t="b">
        <f>AND(P15&gt;0,0&gt;P16)</f>
        <v>1</v>
      </c>
      <c r="V17" s="90"/>
      <c r="W17" s="47">
        <f t="shared" si="18"/>
        <v>704.63910018197237</v>
      </c>
      <c r="X17" s="47">
        <f t="shared" si="19"/>
        <v>588.87448030759469</v>
      </c>
    </row>
    <row r="18" spans="1:24" ht="16" thickBot="1" x14ac:dyDescent="0.5">
      <c r="A18" s="39">
        <v>3431.1360580924907</v>
      </c>
      <c r="B18" s="38">
        <f t="shared" si="7"/>
        <v>343113605.80924904</v>
      </c>
      <c r="C18" s="38">
        <v>8.9</v>
      </c>
      <c r="D18" s="12" t="s">
        <v>98</v>
      </c>
      <c r="E18" s="101">
        <f t="shared" si="0"/>
        <v>3431.1360580924907</v>
      </c>
      <c r="F18" s="7">
        <f t="shared" si="1"/>
        <v>343113605.80924904</v>
      </c>
      <c r="G18" s="23">
        <f t="shared" si="2"/>
        <v>38552090.540365063</v>
      </c>
      <c r="H18" s="94">
        <f t="shared" si="6"/>
        <v>37935444.733105987</v>
      </c>
      <c r="I18" s="26">
        <f t="shared" si="3"/>
        <v>3932.547568792832</v>
      </c>
      <c r="J18" s="50">
        <v>8.1</v>
      </c>
      <c r="K18" s="26">
        <f t="shared" ref="K18:K20" si="22">3*I18/J18</f>
        <v>1456.4990995529008</v>
      </c>
      <c r="L18" s="26">
        <f t="shared" ref="L18:L20" si="23">I18*10/J18</f>
        <v>4854.9969985096695</v>
      </c>
      <c r="O18" s="11"/>
      <c r="V18" s="90"/>
      <c r="W18" s="47">
        <f t="shared" si="18"/>
        <v>2447.1367891602804</v>
      </c>
      <c r="X18" s="47">
        <f t="shared" si="19"/>
        <v>2331.3721692859026</v>
      </c>
    </row>
    <row r="19" spans="1:24" ht="16" thickBot="1" x14ac:dyDescent="0.5">
      <c r="A19" s="39">
        <v>5119.6557152939195</v>
      </c>
      <c r="B19" s="38">
        <f t="shared" si="7"/>
        <v>511965571.52939194</v>
      </c>
      <c r="C19" s="38">
        <v>8.9</v>
      </c>
      <c r="D19" s="12" t="s">
        <v>99</v>
      </c>
      <c r="E19" s="101">
        <f t="shared" si="0"/>
        <v>5119.6557152939195</v>
      </c>
      <c r="F19" s="7">
        <f t="shared" si="1"/>
        <v>511965571.52939194</v>
      </c>
      <c r="G19" s="23">
        <f t="shared" si="2"/>
        <v>57524221.520156398</v>
      </c>
      <c r="H19" s="94">
        <f t="shared" si="6"/>
        <v>56907575.712897323</v>
      </c>
      <c r="I19" s="26">
        <f t="shared" si="3"/>
        <v>5621.0672259942603</v>
      </c>
      <c r="J19" s="50">
        <v>8.1</v>
      </c>
      <c r="K19" s="26">
        <f t="shared" si="22"/>
        <v>2081.8767503682448</v>
      </c>
      <c r="L19" s="26">
        <f t="shared" si="23"/>
        <v>6939.589167894148</v>
      </c>
      <c r="M19" s="35"/>
      <c r="N19" s="97" t="s">
        <v>41</v>
      </c>
      <c r="O19" s="45"/>
      <c r="V19" s="90"/>
      <c r="W19" s="47">
        <f t="shared" si="18"/>
        <v>4135.6564463617087</v>
      </c>
      <c r="X19" s="47">
        <f t="shared" si="19"/>
        <v>4019.8918264873309</v>
      </c>
    </row>
    <row r="20" spans="1:24" ht="16" thickBot="1" x14ac:dyDescent="0.5">
      <c r="A20" s="39">
        <v>6855.5647834548627</v>
      </c>
      <c r="B20" s="38">
        <f t="shared" si="7"/>
        <v>685556478.34548628</v>
      </c>
      <c r="C20" s="38">
        <v>8.9</v>
      </c>
      <c r="D20" s="12" t="s">
        <v>114</v>
      </c>
      <c r="E20" s="102">
        <f t="shared" si="0"/>
        <v>6855.5647834548627</v>
      </c>
      <c r="F20" s="67">
        <f t="shared" si="1"/>
        <v>685556478.34548628</v>
      </c>
      <c r="G20" s="31">
        <f t="shared" si="2"/>
        <v>77028817.791627675</v>
      </c>
      <c r="H20" s="94">
        <f t="shared" si="6"/>
        <v>76412171.984368607</v>
      </c>
      <c r="I20" s="32">
        <f t="shared" si="3"/>
        <v>7356.9762941552035</v>
      </c>
      <c r="J20" s="51">
        <v>8.1</v>
      </c>
      <c r="K20" s="32">
        <f t="shared" si="22"/>
        <v>2724.8060348722979</v>
      </c>
      <c r="L20" s="32">
        <f t="shared" si="23"/>
        <v>9082.6867829076582</v>
      </c>
      <c r="N20" s="97" t="s">
        <v>40</v>
      </c>
      <c r="O20" s="11"/>
      <c r="V20" s="90"/>
      <c r="W20" s="47">
        <f t="shared" si="18"/>
        <v>5871.5655145226519</v>
      </c>
      <c r="X20" s="47">
        <f t="shared" si="19"/>
        <v>5755.8008946482742</v>
      </c>
    </row>
    <row r="21" spans="1:24" x14ac:dyDescent="0.45">
      <c r="A21" s="36" t="s">
        <v>50</v>
      </c>
      <c r="B21" s="36"/>
      <c r="C21" s="36"/>
      <c r="D21" s="12"/>
      <c r="E21" s="25" t="s">
        <v>43</v>
      </c>
      <c r="F21" s="33">
        <f>COUNT(F2:F20)</f>
        <v>19</v>
      </c>
      <c r="G21" s="23"/>
      <c r="H21" s="26"/>
      <c r="I21" s="27"/>
      <c r="J21" s="26"/>
      <c r="K21" s="26"/>
      <c r="L21" s="6"/>
      <c r="V21" s="90"/>
    </row>
    <row r="22" spans="1:24" ht="16" thickBot="1" x14ac:dyDescent="0.5">
      <c r="D22" s="12"/>
      <c r="E22" s="85"/>
      <c r="F22" s="71"/>
      <c r="G22" s="71"/>
      <c r="H22" s="26"/>
      <c r="I22" s="27"/>
      <c r="J22" s="26"/>
      <c r="K22" s="26"/>
      <c r="L22" s="6"/>
      <c r="V22" s="90"/>
    </row>
    <row r="23" spans="1:24" ht="18.399999999999999" thickTop="1" x14ac:dyDescent="0.5">
      <c r="D23" s="12"/>
      <c r="E23" s="63" t="s">
        <v>46</v>
      </c>
      <c r="F23" s="23"/>
      <c r="G23" s="23"/>
      <c r="H23" s="26"/>
      <c r="I23" s="27"/>
      <c r="J23" s="26"/>
      <c r="K23" s="26"/>
      <c r="L23" s="6"/>
      <c r="V23" s="90"/>
    </row>
    <row r="24" spans="1:24" ht="18" x14ac:dyDescent="0.5">
      <c r="D24" s="12"/>
      <c r="E24" s="63" t="s">
        <v>45</v>
      </c>
      <c r="F24" s="23"/>
      <c r="G24" s="23"/>
      <c r="H24" s="26"/>
      <c r="I24" s="27"/>
      <c r="J24" s="26"/>
      <c r="K24" s="26"/>
      <c r="L24" s="6"/>
      <c r="V24" s="90"/>
    </row>
    <row r="25" spans="1:24" x14ac:dyDescent="0.45">
      <c r="D25" s="12"/>
      <c r="E25" s="25"/>
      <c r="F25" s="23"/>
      <c r="G25" s="23"/>
      <c r="H25" s="26"/>
      <c r="I25" s="27"/>
      <c r="J25" s="26"/>
      <c r="K25" s="26"/>
      <c r="L25" s="6"/>
    </row>
    <row r="26" spans="1:24" x14ac:dyDescent="0.45">
      <c r="D26" s="12"/>
      <c r="E26" s="25"/>
      <c r="F26" s="23"/>
      <c r="G26" s="23"/>
      <c r="H26" s="26"/>
      <c r="I26" s="27"/>
      <c r="J26" s="26"/>
      <c r="K26" s="26"/>
      <c r="L26" s="6"/>
    </row>
  </sheetData>
  <conditionalFormatting sqref="H2:H20">
    <cfRule type="cellIs" dxfId="2" priority="3" operator="greaterThan">
      <formula>$G$3</formula>
    </cfRule>
  </conditionalFormatting>
  <conditionalFormatting sqref="O17">
    <cfRule type="containsText" dxfId="1" priority="2" operator="containsText" text="falso">
      <formula>NOT(ISERROR(SEARCH("falso",O17)))</formula>
    </cfRule>
  </conditionalFormatting>
  <conditionalFormatting sqref="P17">
    <cfRule type="containsText" dxfId="0" priority="1" operator="containsText" text="verdadero">
      <formula>NOT(ISERROR(SEARCH("verdadero",P17)))</formula>
    </cfRule>
  </conditionalFormatting>
  <pageMargins left="0.7" right="0.7" top="0.75" bottom="0.75" header="0.3" footer="0.3"/>
  <pageSetup paperSize="9" orientation="portrait" horizontalDpi="4294967293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:D17"/>
    </sheetView>
  </sheetViews>
  <sheetFormatPr baseColWidth="10" defaultRowHeight="14.8" x14ac:dyDescent="0.45"/>
  <sheetData/>
  <sortState ref="D4:D17">
    <sortCondition ref="D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8" x14ac:dyDescent="0.4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8" x14ac:dyDescent="0.4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8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CONCENTRACIONES</vt:lpstr>
      <vt:lpstr>modelo  calculos sin IS</vt:lpstr>
      <vt:lpstr>mod cal con IS</vt:lpstr>
      <vt:lpstr>Hoja2</vt:lpstr>
      <vt:lpstr>Hoja1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García García</dc:creator>
  <cp:lastModifiedBy>Juanjo</cp:lastModifiedBy>
  <dcterms:created xsi:type="dcterms:W3CDTF">2020-04-22T15:23:00Z</dcterms:created>
  <dcterms:modified xsi:type="dcterms:W3CDTF">2021-10-08T08:22:32Z</dcterms:modified>
</cp:coreProperties>
</file>