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4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5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6.xml" ContentType="application/vnd.openxmlformats-officedocument.drawingml.chartshapes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7.xml" ContentType="application/vnd.openxmlformats-officedocument.drawingml.chartshapes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8.xml" ContentType="application/vnd.openxmlformats-officedocument.drawing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9.xml" ContentType="application/vnd.openxmlformats-officedocument.drawingml.chartshapes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10.xml" ContentType="application/vnd.openxmlformats-officedocument.drawingml.chartshapes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11.xml" ContentType="application/vnd.openxmlformats-officedocument.drawing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12.xml" ContentType="application/vnd.openxmlformats-officedocument.drawingml.chartshapes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3.xml" ContentType="application/vnd.openxmlformats-officedocument.drawingml.chartshapes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4.xml" ContentType="application/vnd.openxmlformats-officedocument.drawing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1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johanna/Documents/UVA/Manuscritos/Photocatalysis/Revisión 3/"/>
    </mc:Choice>
  </mc:AlternateContent>
  <xr:revisionPtr revIDLastSave="0" documentId="13_ncr:1_{6B36FAD5-491F-8C43-9A08-7E95BC410439}" xr6:coauthVersionLast="47" xr6:coauthVersionMax="47" xr10:uidLastSave="{00000000-0000-0000-0000-000000000000}"/>
  <bookViews>
    <workbookView xWindow="12720" yWindow="500" windowWidth="14600" windowHeight="13380" firstSheet="4" activeTab="7" xr2:uid="{00000000-000D-0000-FFFF-FFFF00000000}"/>
  </bookViews>
  <sheets>
    <sheet name="SMX DATOS" sheetId="14" r:id="rId1"/>
    <sheet name="SDZ DATOS" sheetId="13" r:id="rId2"/>
    <sheet name="CIP DATOS" sheetId="11" r:id="rId3"/>
    <sheet name="TET DATOS" sheetId="10" r:id="rId4"/>
    <sheet name="SMX L-H" sheetId="16" r:id="rId5"/>
    <sheet name="SDZ L-H" sheetId="15" r:id="rId6"/>
    <sheet name="CIP L-H" sheetId="17" r:id="rId7"/>
    <sheet name="TET L-H" sheetId="9" r:id="rId8"/>
    <sheet name="TODAS LAS GRAFICAS" sheetId="8" r:id="rId9"/>
  </sheets>
  <externalReferences>
    <externalReference r:id="rId10"/>
  </externalReferences>
  <definedNames>
    <definedName name="solver_adj" localSheetId="6" hidden="1">'CIP L-H'!$G$40</definedName>
    <definedName name="solver_adj" localSheetId="5" hidden="1">'SDZ L-H'!$G$51</definedName>
    <definedName name="solver_adj" localSheetId="4" hidden="1">'SMX L-H'!$G$52</definedName>
    <definedName name="solver_adj" localSheetId="7" hidden="1">'TET L-H'!$G$33:$G$34</definedName>
    <definedName name="solver_cvg" localSheetId="6" hidden="1">0.0001</definedName>
    <definedName name="solver_cvg" localSheetId="5" hidden="1">"""""""""""""""""""""""""""""""""""""""""""""""""""""""""""""""""""""""""""""""""""""""""""""""""""""""""""""""""""""""""""""""0.0001"""""""""""""""""""""""""""""""""""""""""""""""""""""""""""""""""""""""""""""""""""""""""""""""""""""""""""""""""""""""""""""""</definedName>
    <definedName name="solver_cvg" localSheetId="4" hidden="1">0.0001</definedName>
    <definedName name="solver_cvg" localSheetId="7" hidden="1">0.0001</definedName>
    <definedName name="solver_drv" localSheetId="6" hidden="1">1</definedName>
    <definedName name="solver_drv" localSheetId="5" hidden="1">1</definedName>
    <definedName name="solver_drv" localSheetId="4" hidden="1">1</definedName>
    <definedName name="solver_drv" localSheetId="7" hidden="1">1</definedName>
    <definedName name="solver_eng" localSheetId="6" hidden="1">1</definedName>
    <definedName name="solver_eng" localSheetId="5" hidden="1">1</definedName>
    <definedName name="solver_eng" localSheetId="4" hidden="1">1</definedName>
    <definedName name="solver_eng" localSheetId="7" hidden="1">1</definedName>
    <definedName name="solver_est" localSheetId="6" hidden="1">1</definedName>
    <definedName name="solver_est" localSheetId="5" hidden="1">1</definedName>
    <definedName name="solver_est" localSheetId="4" hidden="1">1</definedName>
    <definedName name="solver_est" localSheetId="7" hidden="1">1</definedName>
    <definedName name="solver_itr" localSheetId="6" hidden="1">2147483647</definedName>
    <definedName name="solver_itr" localSheetId="5" hidden="1">2147483647</definedName>
    <definedName name="solver_itr" localSheetId="4" hidden="1">2147483647</definedName>
    <definedName name="solver_itr" localSheetId="7" hidden="1">2147483647</definedName>
    <definedName name="solver_lin" localSheetId="6" hidden="1">2</definedName>
    <definedName name="solver_lin" localSheetId="5" hidden="1">2</definedName>
    <definedName name="solver_lin" localSheetId="4" hidden="1">2</definedName>
    <definedName name="solver_lin" localSheetId="7" hidden="1">2</definedName>
    <definedName name="solver_mip" localSheetId="6" hidden="1">2147483647</definedName>
    <definedName name="solver_mip" localSheetId="5" hidden="1">2147483647</definedName>
    <definedName name="solver_mip" localSheetId="4" hidden="1">2147483647</definedName>
    <definedName name="solver_mip" localSheetId="7" hidden="1">2147483647</definedName>
    <definedName name="solver_mni" localSheetId="6" hidden="1">30</definedName>
    <definedName name="solver_mni" localSheetId="5" hidden="1">30</definedName>
    <definedName name="solver_mni" localSheetId="4" hidden="1">30</definedName>
    <definedName name="solver_mni" localSheetId="7" hidden="1">30</definedName>
    <definedName name="solver_mrt" localSheetId="6" hidden="1">0.075</definedName>
    <definedName name="solver_mrt" localSheetId="5" hidden="1">"""""""""""""""""""""""""""""""""""""""""""""""""""""""""""""""""""""""""""""""""""""""""""""""""""""""""""""""""""""""""""""""0.075"""""""""""""""""""""""""""""""""""""""""""""""""""""""""""""""""""""""""""""""""""""""""""""""""""""""""""""""""""""""""""""""</definedName>
    <definedName name="solver_mrt" localSheetId="4" hidden="1">0.075</definedName>
    <definedName name="solver_mrt" localSheetId="7" hidden="1">0.075</definedName>
    <definedName name="solver_msl" localSheetId="6" hidden="1">2</definedName>
    <definedName name="solver_msl" localSheetId="5" hidden="1">2</definedName>
    <definedName name="solver_msl" localSheetId="4" hidden="1">2</definedName>
    <definedName name="solver_msl" localSheetId="7" hidden="1">2</definedName>
    <definedName name="solver_neg" localSheetId="6" hidden="1">1</definedName>
    <definedName name="solver_neg" localSheetId="5" hidden="1">1</definedName>
    <definedName name="solver_neg" localSheetId="4" hidden="1">1</definedName>
    <definedName name="solver_neg" localSheetId="7" hidden="1">1</definedName>
    <definedName name="solver_nod" localSheetId="6" hidden="1">2147483647</definedName>
    <definedName name="solver_nod" localSheetId="5" hidden="1">2147483647</definedName>
    <definedName name="solver_nod" localSheetId="4" hidden="1">2147483647</definedName>
    <definedName name="solver_nod" localSheetId="7" hidden="1">2147483647</definedName>
    <definedName name="solver_num" localSheetId="6" hidden="1">0</definedName>
    <definedName name="solver_num" localSheetId="5" hidden="1">0</definedName>
    <definedName name="solver_num" localSheetId="4" hidden="1">0</definedName>
    <definedName name="solver_num" localSheetId="7" hidden="1">0</definedName>
    <definedName name="solver_nwt" localSheetId="6" hidden="1">1</definedName>
    <definedName name="solver_nwt" localSheetId="5" hidden="1">1</definedName>
    <definedName name="solver_nwt" localSheetId="4" hidden="1">1</definedName>
    <definedName name="solver_nwt" localSheetId="7" hidden="1">1</definedName>
    <definedName name="solver_opt" localSheetId="6" hidden="1">'CIP L-H'!$G$32</definedName>
    <definedName name="solver_opt" localSheetId="5" hidden="1">'SDZ L-H'!$G$43</definedName>
    <definedName name="solver_opt" localSheetId="4" hidden="1">'SMX L-H'!$G$47</definedName>
    <definedName name="solver_opt" localSheetId="7" hidden="1">'TET L-H'!$G$29</definedName>
    <definedName name="solver_pre" localSheetId="6" hidden="1">0.000001</definedName>
    <definedName name="solver_pre" localSheetId="5" hidden="1">"""""""""""""""""""""""""""""""""""""""""""""""""""""""""""""""""""""""""""""""""""""""""""""""""""""""""""""""""""""""""""""""0.000001"""""""""""""""""""""""""""""""""""""""""""""""""""""""""""""""""""""""""""""""""""""""""""""""""""""""""""""""""""""""""""""""</definedName>
    <definedName name="solver_pre" localSheetId="4" hidden="1">0.000001</definedName>
    <definedName name="solver_pre" localSheetId="7" hidden="1">0.000001</definedName>
    <definedName name="solver_rbv" localSheetId="6" hidden="1">1</definedName>
    <definedName name="solver_rbv" localSheetId="5" hidden="1">1</definedName>
    <definedName name="solver_rbv" localSheetId="4" hidden="1">1</definedName>
    <definedName name="solver_rbv" localSheetId="7" hidden="1">1</definedName>
    <definedName name="solver_rlx" localSheetId="6" hidden="1">2</definedName>
    <definedName name="solver_rlx" localSheetId="5" hidden="1">2</definedName>
    <definedName name="solver_rlx" localSheetId="4" hidden="1">2</definedName>
    <definedName name="solver_rlx" localSheetId="7" hidden="1">2</definedName>
    <definedName name="solver_rsd" localSheetId="6" hidden="1">0</definedName>
    <definedName name="solver_rsd" localSheetId="5" hidden="1">0</definedName>
    <definedName name="solver_rsd" localSheetId="4" hidden="1">0</definedName>
    <definedName name="solver_rsd" localSheetId="7" hidden="1">0</definedName>
    <definedName name="solver_scl" localSheetId="6" hidden="1">1</definedName>
    <definedName name="solver_scl" localSheetId="5" hidden="1">1</definedName>
    <definedName name="solver_scl" localSheetId="4" hidden="1">1</definedName>
    <definedName name="solver_scl" localSheetId="7" hidden="1">1</definedName>
    <definedName name="solver_sho" localSheetId="6" hidden="1">2</definedName>
    <definedName name="solver_sho" localSheetId="5" hidden="1">2</definedName>
    <definedName name="solver_sho" localSheetId="4" hidden="1">2</definedName>
    <definedName name="solver_sho" localSheetId="7" hidden="1">2</definedName>
    <definedName name="solver_ssz" localSheetId="6" hidden="1">100</definedName>
    <definedName name="solver_ssz" localSheetId="5" hidden="1">100</definedName>
    <definedName name="solver_ssz" localSheetId="4" hidden="1">100</definedName>
    <definedName name="solver_ssz" localSheetId="7" hidden="1">100</definedName>
    <definedName name="solver_tim" localSheetId="6" hidden="1">2147483647</definedName>
    <definedName name="solver_tim" localSheetId="5" hidden="1">2147483647</definedName>
    <definedName name="solver_tim" localSheetId="4" hidden="1">2147483647</definedName>
    <definedName name="solver_tim" localSheetId="7" hidden="1">2147483647</definedName>
    <definedName name="solver_tol" localSheetId="6" hidden="1">0.01</definedName>
    <definedName name="solver_tol" localSheetId="5" hidden="1">1</definedName>
    <definedName name="solver_tol" localSheetId="4" hidden="1">0.01</definedName>
    <definedName name="solver_tol" localSheetId="7" hidden="1">0.01</definedName>
    <definedName name="solver_typ" localSheetId="6" hidden="1">3</definedName>
    <definedName name="solver_typ" localSheetId="5" hidden="1">2</definedName>
    <definedName name="solver_typ" localSheetId="4" hidden="1">2</definedName>
    <definedName name="solver_typ" localSheetId="7" hidden="1">2</definedName>
    <definedName name="solver_val" localSheetId="6" hidden="1">0</definedName>
    <definedName name="solver_val" localSheetId="5" hidden="1">0</definedName>
    <definedName name="solver_val" localSheetId="4" hidden="1">0</definedName>
    <definedName name="solver_val" localSheetId="7" hidden="1">0</definedName>
    <definedName name="solver_ver" localSheetId="6" hidden="1">2</definedName>
    <definedName name="solver_ver" localSheetId="5" hidden="1">2</definedName>
    <definedName name="solver_ver" localSheetId="4" hidden="1">2</definedName>
    <definedName name="solver_ver" localSheetId="7" hidden="1">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9" l="1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30" i="17"/>
  <c r="D11" i="17"/>
  <c r="D12" i="17"/>
  <c r="D13" i="17"/>
  <c r="G13" i="17" s="1"/>
  <c r="D14" i="17"/>
  <c r="G14" i="17" s="1"/>
  <c r="D15" i="17"/>
  <c r="D16" i="17"/>
  <c r="D17" i="17"/>
  <c r="G17" i="17" s="1"/>
  <c r="D18" i="17"/>
  <c r="G18" i="17" s="1"/>
  <c r="D19" i="17"/>
  <c r="D20" i="17"/>
  <c r="D21" i="17"/>
  <c r="G21" i="17" s="1"/>
  <c r="D22" i="17"/>
  <c r="D23" i="17"/>
  <c r="D24" i="17"/>
  <c r="D25" i="17"/>
  <c r="G25" i="17" s="1"/>
  <c r="D26" i="17"/>
  <c r="G26" i="17" s="1"/>
  <c r="D27" i="17"/>
  <c r="D28" i="17"/>
  <c r="D29" i="17"/>
  <c r="G29" i="17" s="1"/>
  <c r="G30" i="17"/>
  <c r="D31" i="17"/>
  <c r="D12" i="15"/>
  <c r="D13" i="15"/>
  <c r="D14" i="15"/>
  <c r="D15" i="15"/>
  <c r="G15" i="15" s="1"/>
  <c r="D16" i="15"/>
  <c r="D17" i="15"/>
  <c r="D18" i="15"/>
  <c r="G18" i="15" s="1"/>
  <c r="D19" i="15"/>
  <c r="G19" i="15" s="1"/>
  <c r="D20" i="15"/>
  <c r="D21" i="15"/>
  <c r="D22" i="15"/>
  <c r="D23" i="15"/>
  <c r="G23" i="15" s="1"/>
  <c r="D24" i="15"/>
  <c r="D25" i="15"/>
  <c r="D26" i="15"/>
  <c r="G26" i="15" s="1"/>
  <c r="D27" i="15"/>
  <c r="G27" i="15" s="1"/>
  <c r="D28" i="15"/>
  <c r="D29" i="15"/>
  <c r="D30" i="15"/>
  <c r="G30" i="15" s="1"/>
  <c r="D31" i="15"/>
  <c r="G31" i="15" s="1"/>
  <c r="D32" i="15"/>
  <c r="D33" i="15"/>
  <c r="D34" i="15"/>
  <c r="G34" i="15" s="1"/>
  <c r="D35" i="15"/>
  <c r="G35" i="15" s="1"/>
  <c r="D36" i="15"/>
  <c r="D37" i="15"/>
  <c r="D38" i="15"/>
  <c r="D39" i="15"/>
  <c r="G39" i="15" s="1"/>
  <c r="D40" i="15"/>
  <c r="D41" i="15"/>
  <c r="D42" i="15"/>
  <c r="G42" i="15" s="1"/>
  <c r="D46" i="16"/>
  <c r="G46" i="16" s="1"/>
  <c r="D13" i="16"/>
  <c r="D14" i="16"/>
  <c r="D15" i="16"/>
  <c r="D16" i="16"/>
  <c r="D17" i="16"/>
  <c r="D18" i="16"/>
  <c r="G18" i="16" s="1"/>
  <c r="D19" i="16"/>
  <c r="G19" i="16" s="1"/>
  <c r="D20" i="16"/>
  <c r="G20" i="16" s="1"/>
  <c r="D21" i="16"/>
  <c r="D22" i="16"/>
  <c r="G22" i="16" s="1"/>
  <c r="D23" i="16"/>
  <c r="G23" i="16" s="1"/>
  <c r="D24" i="16"/>
  <c r="G24" i="16" s="1"/>
  <c r="D25" i="16"/>
  <c r="D26" i="16"/>
  <c r="G26" i="16" s="1"/>
  <c r="D27" i="16"/>
  <c r="G27" i="16" s="1"/>
  <c r="D28" i="16"/>
  <c r="G28" i="16" s="1"/>
  <c r="D29" i="16"/>
  <c r="D30" i="16"/>
  <c r="G30" i="16" s="1"/>
  <c r="D31" i="16"/>
  <c r="G31" i="16" s="1"/>
  <c r="D32" i="16"/>
  <c r="G32" i="16" s="1"/>
  <c r="D33" i="16"/>
  <c r="D34" i="16"/>
  <c r="G34" i="16" s="1"/>
  <c r="D35" i="16"/>
  <c r="D36" i="16"/>
  <c r="G36" i="16" s="1"/>
  <c r="D37" i="16"/>
  <c r="D38" i="16"/>
  <c r="G38" i="16" s="1"/>
  <c r="D39" i="16"/>
  <c r="G39" i="16" s="1"/>
  <c r="D40" i="16"/>
  <c r="G40" i="16" s="1"/>
  <c r="D41" i="16"/>
  <c r="D42" i="16"/>
  <c r="D43" i="16"/>
  <c r="G43" i="16" s="1"/>
  <c r="D44" i="16"/>
  <c r="G44" i="16" s="1"/>
  <c r="D45" i="16"/>
  <c r="G15" i="16"/>
  <c r="G16" i="16"/>
  <c r="G35" i="16"/>
  <c r="G42" i="16"/>
  <c r="G13" i="15"/>
  <c r="G16" i="15"/>
  <c r="G17" i="15"/>
  <c r="G21" i="15"/>
  <c r="G22" i="15"/>
  <c r="G24" i="15"/>
  <c r="G25" i="15"/>
  <c r="G28" i="15"/>
  <c r="G29" i="15"/>
  <c r="G32" i="15"/>
  <c r="G33" i="15"/>
  <c r="G36" i="15"/>
  <c r="G37" i="15"/>
  <c r="G38" i="15"/>
  <c r="G41" i="15"/>
  <c r="G17" i="16"/>
  <c r="G21" i="16"/>
  <c r="G25" i="16"/>
  <c r="G29" i="16"/>
  <c r="G33" i="16"/>
  <c r="G37" i="16"/>
  <c r="G41" i="16"/>
  <c r="G45" i="16"/>
  <c r="G13" i="16"/>
  <c r="G12" i="15"/>
  <c r="G12" i="17"/>
  <c r="G16" i="17"/>
  <c r="G20" i="17"/>
  <c r="G24" i="17"/>
  <c r="G28" i="17"/>
  <c r="G20" i="15"/>
  <c r="G40" i="15"/>
  <c r="E12" i="15"/>
  <c r="E21" i="9"/>
  <c r="G15" i="17"/>
  <c r="G19" i="17"/>
  <c r="G23" i="17"/>
  <c r="G27" i="17"/>
  <c r="G31" i="17"/>
  <c r="G11" i="17"/>
  <c r="G31" i="9" l="1"/>
  <c r="G34" i="17"/>
  <c r="G49" i="16"/>
  <c r="G14" i="16"/>
  <c r="G47" i="16" s="1"/>
  <c r="G48" i="15"/>
  <c r="G14" i="15"/>
  <c r="G43" i="15" s="1"/>
  <c r="G22" i="17"/>
  <c r="G32" i="17" s="1"/>
  <c r="E26" i="9" l="1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G28" i="9"/>
  <c r="G24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2" i="9"/>
  <c r="E23" i="9"/>
  <c r="E24" i="9"/>
  <c r="E25" i="9"/>
  <c r="E27" i="9"/>
  <c r="E28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5" i="9"/>
  <c r="G26" i="9"/>
  <c r="G27" i="9"/>
  <c r="A57" i="17" l="1"/>
  <c r="A74" i="15"/>
  <c r="A77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59" i="16"/>
  <c r="A68" i="15"/>
  <c r="A69" i="15"/>
  <c r="A70" i="15"/>
  <c r="A71" i="15"/>
  <c r="A57" i="15"/>
  <c r="A58" i="15"/>
  <c r="A59" i="15"/>
  <c r="A60" i="15"/>
  <c r="A61" i="15"/>
  <c r="A62" i="15"/>
  <c r="A63" i="15"/>
  <c r="A64" i="15"/>
  <c r="A65" i="15"/>
  <c r="A66" i="15"/>
  <c r="A67" i="15"/>
  <c r="A56" i="15"/>
  <c r="A50" i="17"/>
  <c r="A51" i="17"/>
  <c r="A52" i="17"/>
  <c r="A53" i="17"/>
  <c r="A54" i="17"/>
  <c r="A46" i="17"/>
  <c r="A47" i="17"/>
  <c r="A48" i="17"/>
  <c r="A49" i="17"/>
  <c r="A45" i="17"/>
  <c r="Z51" i="10" l="1"/>
  <c r="Z36" i="10"/>
  <c r="AC23" i="10"/>
  <c r="AB23" i="10"/>
  <c r="Z20" i="10"/>
  <c r="AD34" i="11"/>
  <c r="AD20" i="11"/>
  <c r="AE37" i="11"/>
  <c r="AB51" i="11"/>
  <c r="AB36" i="11"/>
  <c r="AD22" i="11"/>
  <c r="Z24" i="11"/>
  <c r="AE19" i="13"/>
  <c r="AG19" i="13" s="1"/>
  <c r="AC20" i="13"/>
  <c r="AA20" i="13"/>
  <c r="AD52" i="13"/>
  <c r="AC52" i="13"/>
  <c r="Z52" i="13"/>
  <c r="AB52" i="13" s="1"/>
  <c r="Y52" i="13"/>
  <c r="AA52" i="13" s="1"/>
  <c r="AD51" i="13"/>
  <c r="AC51" i="13"/>
  <c r="Z51" i="13"/>
  <c r="AB51" i="13" s="1"/>
  <c r="Y51" i="13"/>
  <c r="AA51" i="13" s="1"/>
  <c r="AD50" i="13"/>
  <c r="AC50" i="13"/>
  <c r="AA50" i="13"/>
  <c r="Z50" i="13"/>
  <c r="AB50" i="13" s="1"/>
  <c r="Y50" i="13"/>
  <c r="AD49" i="13"/>
  <c r="AC49" i="13"/>
  <c r="AB49" i="13"/>
  <c r="Z49" i="13"/>
  <c r="Y49" i="13"/>
  <c r="AA49" i="13" s="1"/>
  <c r="AD48" i="13"/>
  <c r="AC48" i="13"/>
  <c r="AA48" i="13"/>
  <c r="Z48" i="13"/>
  <c r="AB48" i="13" s="1"/>
  <c r="Y48" i="13"/>
  <c r="AD47" i="13"/>
  <c r="AC47" i="13"/>
  <c r="AB47" i="13"/>
  <c r="Z47" i="13"/>
  <c r="Y47" i="13"/>
  <c r="AA47" i="13" s="1"/>
  <c r="AD46" i="13"/>
  <c r="AC46" i="13"/>
  <c r="AA46" i="13"/>
  <c r="Z46" i="13"/>
  <c r="AB46" i="13" s="1"/>
  <c r="Y46" i="13"/>
  <c r="AD45" i="13"/>
  <c r="AC45" i="13"/>
  <c r="AB45" i="13"/>
  <c r="Z45" i="13"/>
  <c r="Y45" i="13"/>
  <c r="AA45" i="13" s="1"/>
  <c r="AD44" i="13"/>
  <c r="AC44" i="13"/>
  <c r="AA44" i="13"/>
  <c r="Z44" i="13"/>
  <c r="AB44" i="13" s="1"/>
  <c r="Y44" i="13"/>
  <c r="AD43" i="13"/>
  <c r="AC43" i="13"/>
  <c r="AB43" i="13"/>
  <c r="Z43" i="13"/>
  <c r="Y43" i="13"/>
  <c r="AA43" i="13" s="1"/>
  <c r="AD39" i="13"/>
  <c r="AC39" i="13"/>
  <c r="AA39" i="13"/>
  <c r="Z39" i="13"/>
  <c r="AB39" i="13" s="1"/>
  <c r="Y39" i="13"/>
  <c r="AD38" i="13"/>
  <c r="AC38" i="13"/>
  <c r="AB38" i="13"/>
  <c r="Z38" i="13"/>
  <c r="Y38" i="13"/>
  <c r="AA38" i="13" s="1"/>
  <c r="AD37" i="13"/>
  <c r="AC37" i="13"/>
  <c r="AA37" i="13"/>
  <c r="Z37" i="13"/>
  <c r="AB37" i="13" s="1"/>
  <c r="Y37" i="13"/>
  <c r="AD36" i="13"/>
  <c r="AC36" i="13"/>
  <c r="AB36" i="13"/>
  <c r="Z36" i="13"/>
  <c r="Y36" i="13"/>
  <c r="AA36" i="13" s="1"/>
  <c r="AD35" i="13"/>
  <c r="AC35" i="13"/>
  <c r="AA35" i="13"/>
  <c r="Z35" i="13"/>
  <c r="AB35" i="13" s="1"/>
  <c r="Y35" i="13"/>
  <c r="AD34" i="13"/>
  <c r="AC34" i="13"/>
  <c r="AB34" i="13"/>
  <c r="Z34" i="13"/>
  <c r="Y34" i="13"/>
  <c r="AA34" i="13" s="1"/>
  <c r="AD33" i="13"/>
  <c r="AC33" i="13"/>
  <c r="AA33" i="13"/>
  <c r="Z33" i="13"/>
  <c r="AB33" i="13" s="1"/>
  <c r="Y33" i="13"/>
  <c r="AD32" i="13"/>
  <c r="AC32" i="13"/>
  <c r="AB32" i="13"/>
  <c r="Z32" i="13"/>
  <c r="Y32" i="13"/>
  <c r="AA32" i="13" s="1"/>
  <c r="AD31" i="13"/>
  <c r="AC31" i="13"/>
  <c r="AA31" i="13"/>
  <c r="Z31" i="13"/>
  <c r="AB31" i="13" s="1"/>
  <c r="Y31" i="13"/>
  <c r="AD30" i="13"/>
  <c r="AC30" i="13"/>
  <c r="AB30" i="13"/>
  <c r="Z30" i="13"/>
  <c r="Y30" i="13"/>
  <c r="AA30" i="13" s="1"/>
  <c r="AD26" i="13"/>
  <c r="AC26" i="13"/>
  <c r="AA26" i="13"/>
  <c r="Z26" i="13"/>
  <c r="AB26" i="13" s="1"/>
  <c r="Y26" i="13"/>
  <c r="AD25" i="13"/>
  <c r="AC25" i="13"/>
  <c r="AB25" i="13"/>
  <c r="Z25" i="13"/>
  <c r="Y25" i="13"/>
  <c r="AA25" i="13" s="1"/>
  <c r="AD24" i="13"/>
  <c r="AC24" i="13"/>
  <c r="AA24" i="13"/>
  <c r="Z24" i="13"/>
  <c r="AB24" i="13" s="1"/>
  <c r="Y24" i="13"/>
  <c r="AD23" i="13"/>
  <c r="AC23" i="13"/>
  <c r="AB23" i="13"/>
  <c r="Z23" i="13"/>
  <c r="Y23" i="13"/>
  <c r="AA23" i="13" s="1"/>
  <c r="AD22" i="13"/>
  <c r="AC22" i="13"/>
  <c r="AA22" i="13"/>
  <c r="Z22" i="13"/>
  <c r="AB22" i="13" s="1"/>
  <c r="Y22" i="13"/>
  <c r="AD21" i="13"/>
  <c r="AC21" i="13"/>
  <c r="AB21" i="13"/>
  <c r="Z21" i="13"/>
  <c r="Y21" i="13"/>
  <c r="AA21" i="13" s="1"/>
  <c r="AD20" i="13"/>
  <c r="Z20" i="13"/>
  <c r="AB20" i="13" s="1"/>
  <c r="Y20" i="13"/>
  <c r="AD19" i="13"/>
  <c r="AC19" i="13"/>
  <c r="AB19" i="13"/>
  <c r="Z19" i="13"/>
  <c r="Y19" i="13"/>
  <c r="AA19" i="13" s="1"/>
  <c r="AD18" i="13"/>
  <c r="AC18" i="13"/>
  <c r="AA18" i="13"/>
  <c r="Z18" i="13"/>
  <c r="AB18" i="13" s="1"/>
  <c r="Y18" i="13"/>
  <c r="AD17" i="13"/>
  <c r="AC17" i="13"/>
  <c r="AE17" i="13" s="1"/>
  <c r="AB17" i="13"/>
  <c r="Z17" i="13"/>
  <c r="Y17" i="13"/>
  <c r="AA17" i="13" s="1"/>
  <c r="AD13" i="13"/>
  <c r="AC13" i="13"/>
  <c r="AA13" i="13"/>
  <c r="Z13" i="13"/>
  <c r="AB13" i="13" s="1"/>
  <c r="Y13" i="13"/>
  <c r="AD12" i="13"/>
  <c r="AC12" i="13"/>
  <c r="AB12" i="13"/>
  <c r="Z12" i="13"/>
  <c r="Y12" i="13"/>
  <c r="AA12" i="13" s="1"/>
  <c r="AD11" i="13"/>
  <c r="AC11" i="13"/>
  <c r="AA11" i="13"/>
  <c r="Z11" i="13"/>
  <c r="AB11" i="13" s="1"/>
  <c r="Y11" i="13"/>
  <c r="AD10" i="13"/>
  <c r="AC10" i="13"/>
  <c r="AB10" i="13"/>
  <c r="Z10" i="13"/>
  <c r="Y10" i="13"/>
  <c r="AA10" i="13" s="1"/>
  <c r="AD9" i="13"/>
  <c r="AC9" i="13"/>
  <c r="AA9" i="13"/>
  <c r="Z9" i="13"/>
  <c r="AB9" i="13" s="1"/>
  <c r="Y9" i="13"/>
  <c r="AD8" i="13"/>
  <c r="AC8" i="13"/>
  <c r="AB8" i="13"/>
  <c r="Z8" i="13"/>
  <c r="Y8" i="13"/>
  <c r="AA8" i="13" s="1"/>
  <c r="AD7" i="13"/>
  <c r="AC7" i="13"/>
  <c r="AA7" i="13"/>
  <c r="Z7" i="13"/>
  <c r="AB7" i="13" s="1"/>
  <c r="Y7" i="13"/>
  <c r="AD6" i="13"/>
  <c r="AC6" i="13"/>
  <c r="AB6" i="13"/>
  <c r="Z6" i="13"/>
  <c r="Y6" i="13"/>
  <c r="AA6" i="13" s="1"/>
  <c r="AD5" i="13"/>
  <c r="AC5" i="13"/>
  <c r="AA5" i="13"/>
  <c r="Z5" i="13"/>
  <c r="AB5" i="13" s="1"/>
  <c r="Y5" i="13"/>
  <c r="AD4" i="13"/>
  <c r="AC4" i="13"/>
  <c r="AB4" i="13"/>
  <c r="Z4" i="13"/>
  <c r="Y4" i="13"/>
  <c r="AA4" i="13" s="1"/>
  <c r="AE12" i="13"/>
  <c r="AE20" i="13"/>
  <c r="AG20" i="13" s="1"/>
  <c r="AF11" i="14"/>
  <c r="AD47" i="14"/>
  <c r="AD34" i="14"/>
  <c r="AD23" i="14"/>
  <c r="AB49" i="14"/>
  <c r="AB37" i="14"/>
  <c r="AB25" i="14"/>
  <c r="AB13" i="14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13" i="16"/>
  <c r="D65" i="17"/>
  <c r="D64" i="17"/>
  <c r="E47" i="17"/>
  <c r="I67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11" i="17"/>
  <c r="E46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45" i="17"/>
  <c r="D45" i="17"/>
  <c r="AH13" i="17"/>
  <c r="AH14" i="17" s="1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12" i="15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59" i="16"/>
  <c r="I94" i="16"/>
  <c r="I93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56" i="15"/>
  <c r="D56" i="15"/>
  <c r="D86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T4" i="14" l="1"/>
  <c r="E92" i="16" l="1"/>
  <c r="D92" i="16"/>
  <c r="E91" i="16"/>
  <c r="D91" i="16"/>
  <c r="E90" i="16"/>
  <c r="D90" i="16"/>
  <c r="E89" i="16"/>
  <c r="D89" i="16"/>
  <c r="E88" i="16"/>
  <c r="D88" i="16"/>
  <c r="E87" i="16"/>
  <c r="D87" i="16"/>
  <c r="E86" i="16"/>
  <c r="D86" i="16"/>
  <c r="E85" i="16"/>
  <c r="D85" i="16"/>
  <c r="E84" i="16"/>
  <c r="D84" i="16"/>
  <c r="E83" i="16"/>
  <c r="D83" i="16"/>
  <c r="E82" i="16"/>
  <c r="D82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D12" i="16"/>
  <c r="E11" i="16"/>
  <c r="D11" i="16"/>
  <c r="D57" i="15"/>
  <c r="D58" i="15"/>
  <c r="D59" i="15"/>
  <c r="D60" i="15"/>
  <c r="D61" i="15"/>
  <c r="D62" i="15"/>
  <c r="D63" i="15"/>
  <c r="D64" i="15"/>
  <c r="D65" i="15"/>
  <c r="D6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AH13" i="15"/>
  <c r="AH14" i="15" s="1"/>
  <c r="G12" i="16" l="1"/>
  <c r="G11" i="16"/>
  <c r="T52" i="14"/>
  <c r="S52" i="14"/>
  <c r="R52" i="14"/>
  <c r="W52" i="14" s="1"/>
  <c r="J52" i="14"/>
  <c r="N52" i="14" s="1"/>
  <c r="G52" i="14"/>
  <c r="M52" i="14" s="1"/>
  <c r="D52" i="14"/>
  <c r="L52" i="14" s="1"/>
  <c r="T51" i="14"/>
  <c r="S51" i="14"/>
  <c r="R51" i="14"/>
  <c r="J51" i="14"/>
  <c r="N51" i="14" s="1"/>
  <c r="G51" i="14"/>
  <c r="M51" i="14" s="1"/>
  <c r="D51" i="14"/>
  <c r="L51" i="14" s="1"/>
  <c r="T50" i="14"/>
  <c r="S50" i="14"/>
  <c r="R50" i="14"/>
  <c r="J50" i="14"/>
  <c r="N50" i="14" s="1"/>
  <c r="G50" i="14"/>
  <c r="M50" i="14" s="1"/>
  <c r="D50" i="14"/>
  <c r="L50" i="14" s="1"/>
  <c r="T49" i="14"/>
  <c r="S49" i="14"/>
  <c r="W49" i="14" s="1"/>
  <c r="R49" i="14"/>
  <c r="N49" i="14"/>
  <c r="J49" i="14"/>
  <c r="G49" i="14"/>
  <c r="M49" i="14" s="1"/>
  <c r="D49" i="14"/>
  <c r="L49" i="14" s="1"/>
  <c r="T48" i="14"/>
  <c r="S48" i="14"/>
  <c r="R48" i="14"/>
  <c r="N48" i="14"/>
  <c r="J48" i="14"/>
  <c r="G48" i="14"/>
  <c r="M48" i="14" s="1"/>
  <c r="D48" i="14"/>
  <c r="L48" i="14" s="1"/>
  <c r="T47" i="14"/>
  <c r="S47" i="14"/>
  <c r="R47" i="14"/>
  <c r="M47" i="14"/>
  <c r="J47" i="14"/>
  <c r="N47" i="14" s="1"/>
  <c r="G47" i="14"/>
  <c r="D47" i="14"/>
  <c r="L47" i="14" s="1"/>
  <c r="P47" i="14" s="1"/>
  <c r="T46" i="14"/>
  <c r="S46" i="14"/>
  <c r="R46" i="14"/>
  <c r="L46" i="14"/>
  <c r="J46" i="14"/>
  <c r="N46" i="14" s="1"/>
  <c r="G46" i="14"/>
  <c r="M46" i="14" s="1"/>
  <c r="D46" i="14"/>
  <c r="T45" i="14"/>
  <c r="S45" i="14"/>
  <c r="R45" i="14"/>
  <c r="J45" i="14"/>
  <c r="N45" i="14" s="1"/>
  <c r="G45" i="14"/>
  <c r="M45" i="14" s="1"/>
  <c r="D45" i="14"/>
  <c r="L45" i="14" s="1"/>
  <c r="T44" i="14"/>
  <c r="S44" i="14"/>
  <c r="R44" i="14"/>
  <c r="N44" i="14"/>
  <c r="J44" i="14"/>
  <c r="G44" i="14"/>
  <c r="M44" i="14" s="1"/>
  <c r="D44" i="14"/>
  <c r="L44" i="14" s="1"/>
  <c r="T43" i="14"/>
  <c r="S43" i="14"/>
  <c r="R43" i="14"/>
  <c r="M43" i="14"/>
  <c r="J43" i="14"/>
  <c r="N43" i="14" s="1"/>
  <c r="G43" i="14"/>
  <c r="D43" i="14"/>
  <c r="L43" i="14" s="1"/>
  <c r="T39" i="14"/>
  <c r="U39" i="14" s="1"/>
  <c r="S39" i="14"/>
  <c r="R39" i="14"/>
  <c r="L39" i="14"/>
  <c r="J39" i="14"/>
  <c r="N39" i="14" s="1"/>
  <c r="G39" i="14"/>
  <c r="M39" i="14" s="1"/>
  <c r="D39" i="14"/>
  <c r="T38" i="14"/>
  <c r="S38" i="14"/>
  <c r="W38" i="14" s="1"/>
  <c r="R38" i="14"/>
  <c r="J38" i="14"/>
  <c r="N38" i="14" s="1"/>
  <c r="G38" i="14"/>
  <c r="M38" i="14" s="1"/>
  <c r="D38" i="14"/>
  <c r="L38" i="14" s="1"/>
  <c r="T37" i="14"/>
  <c r="S37" i="14"/>
  <c r="R37" i="14"/>
  <c r="N37" i="14"/>
  <c r="J37" i="14"/>
  <c r="G37" i="14"/>
  <c r="M37" i="14" s="1"/>
  <c r="D37" i="14"/>
  <c r="L37" i="14" s="1"/>
  <c r="T36" i="14"/>
  <c r="S36" i="14"/>
  <c r="R36" i="14"/>
  <c r="M36" i="14"/>
  <c r="J36" i="14"/>
  <c r="N36" i="14" s="1"/>
  <c r="G36" i="14"/>
  <c r="D36" i="14"/>
  <c r="L36" i="14" s="1"/>
  <c r="T35" i="14"/>
  <c r="S35" i="14"/>
  <c r="R35" i="14"/>
  <c r="J35" i="14"/>
  <c r="N35" i="14" s="1"/>
  <c r="G35" i="14"/>
  <c r="M35" i="14" s="1"/>
  <c r="D35" i="14"/>
  <c r="L35" i="14" s="1"/>
  <c r="T34" i="14"/>
  <c r="S34" i="14"/>
  <c r="R34" i="14"/>
  <c r="J34" i="14"/>
  <c r="N34" i="14" s="1"/>
  <c r="G34" i="14"/>
  <c r="M34" i="14" s="1"/>
  <c r="D34" i="14"/>
  <c r="L34" i="14" s="1"/>
  <c r="T33" i="14"/>
  <c r="S33" i="14"/>
  <c r="R33" i="14"/>
  <c r="J33" i="14"/>
  <c r="N33" i="14" s="1"/>
  <c r="G33" i="14"/>
  <c r="M33" i="14" s="1"/>
  <c r="D33" i="14"/>
  <c r="L33" i="14" s="1"/>
  <c r="T32" i="14"/>
  <c r="S32" i="14"/>
  <c r="R32" i="14"/>
  <c r="J32" i="14"/>
  <c r="N32" i="14" s="1"/>
  <c r="G32" i="14"/>
  <c r="M32" i="14" s="1"/>
  <c r="D32" i="14"/>
  <c r="L32" i="14" s="1"/>
  <c r="T31" i="14"/>
  <c r="S31" i="14"/>
  <c r="R31" i="14"/>
  <c r="J31" i="14"/>
  <c r="N31" i="14" s="1"/>
  <c r="G31" i="14"/>
  <c r="M31" i="14" s="1"/>
  <c r="D31" i="14"/>
  <c r="L31" i="14" s="1"/>
  <c r="T30" i="14"/>
  <c r="S30" i="14"/>
  <c r="W30" i="14" s="1"/>
  <c r="R30" i="14"/>
  <c r="U30" i="14" s="1"/>
  <c r="J30" i="14"/>
  <c r="N30" i="14" s="1"/>
  <c r="G30" i="14"/>
  <c r="M30" i="14" s="1"/>
  <c r="D30" i="14"/>
  <c r="L30" i="14" s="1"/>
  <c r="T26" i="14"/>
  <c r="S26" i="14"/>
  <c r="R26" i="14"/>
  <c r="N26" i="14"/>
  <c r="J26" i="14"/>
  <c r="G26" i="14"/>
  <c r="M26" i="14" s="1"/>
  <c r="D26" i="14"/>
  <c r="L26" i="14" s="1"/>
  <c r="T25" i="14"/>
  <c r="S25" i="14"/>
  <c r="R25" i="14"/>
  <c r="J25" i="14"/>
  <c r="N25" i="14" s="1"/>
  <c r="G25" i="14"/>
  <c r="M25" i="14" s="1"/>
  <c r="D25" i="14"/>
  <c r="L25" i="14" s="1"/>
  <c r="T24" i="14"/>
  <c r="S24" i="14"/>
  <c r="R24" i="14"/>
  <c r="W24" i="14" s="1"/>
  <c r="J24" i="14"/>
  <c r="N24" i="14" s="1"/>
  <c r="G24" i="14"/>
  <c r="M24" i="14" s="1"/>
  <c r="D24" i="14"/>
  <c r="L24" i="14" s="1"/>
  <c r="T23" i="14"/>
  <c r="S23" i="14"/>
  <c r="R23" i="14"/>
  <c r="U23" i="14" s="1"/>
  <c r="J23" i="14"/>
  <c r="N23" i="14" s="1"/>
  <c r="G23" i="14"/>
  <c r="M23" i="14" s="1"/>
  <c r="D23" i="14"/>
  <c r="L23" i="14" s="1"/>
  <c r="T22" i="14"/>
  <c r="S22" i="14"/>
  <c r="R22" i="14"/>
  <c r="J22" i="14"/>
  <c r="N22" i="14" s="1"/>
  <c r="G22" i="14"/>
  <c r="M22" i="14" s="1"/>
  <c r="D22" i="14"/>
  <c r="L22" i="14" s="1"/>
  <c r="T21" i="14"/>
  <c r="S21" i="14"/>
  <c r="R21" i="14"/>
  <c r="J21" i="14"/>
  <c r="N21" i="14" s="1"/>
  <c r="G21" i="14"/>
  <c r="M21" i="14" s="1"/>
  <c r="D21" i="14"/>
  <c r="L21" i="14" s="1"/>
  <c r="T20" i="14"/>
  <c r="S20" i="14"/>
  <c r="R20" i="14"/>
  <c r="W20" i="14" s="1"/>
  <c r="J20" i="14"/>
  <c r="N20" i="14" s="1"/>
  <c r="G20" i="14"/>
  <c r="M20" i="14" s="1"/>
  <c r="D20" i="14"/>
  <c r="L20" i="14" s="1"/>
  <c r="T19" i="14"/>
  <c r="S19" i="14"/>
  <c r="R19" i="14"/>
  <c r="U19" i="14" s="1"/>
  <c r="J19" i="14"/>
  <c r="N19" i="14" s="1"/>
  <c r="G19" i="14"/>
  <c r="M19" i="14" s="1"/>
  <c r="D19" i="14"/>
  <c r="L19" i="14" s="1"/>
  <c r="T18" i="14"/>
  <c r="S18" i="14"/>
  <c r="R18" i="14"/>
  <c r="J18" i="14"/>
  <c r="N18" i="14" s="1"/>
  <c r="G18" i="14"/>
  <c r="M18" i="14" s="1"/>
  <c r="D18" i="14"/>
  <c r="L18" i="14" s="1"/>
  <c r="T17" i="14"/>
  <c r="S17" i="14"/>
  <c r="R17" i="14"/>
  <c r="W17" i="14" s="1"/>
  <c r="J17" i="14"/>
  <c r="N17" i="14" s="1"/>
  <c r="G17" i="14"/>
  <c r="M17" i="14" s="1"/>
  <c r="D17" i="14"/>
  <c r="L17" i="14" s="1"/>
  <c r="T13" i="14"/>
  <c r="S13" i="14"/>
  <c r="R13" i="14"/>
  <c r="W13" i="14" s="1"/>
  <c r="J13" i="14"/>
  <c r="N13" i="14" s="1"/>
  <c r="G13" i="14"/>
  <c r="M13" i="14" s="1"/>
  <c r="D13" i="14"/>
  <c r="L13" i="14" s="1"/>
  <c r="T12" i="14"/>
  <c r="S12" i="14"/>
  <c r="R12" i="14"/>
  <c r="J12" i="14"/>
  <c r="N12" i="14" s="1"/>
  <c r="G12" i="14"/>
  <c r="M12" i="14" s="1"/>
  <c r="D12" i="14"/>
  <c r="L12" i="14" s="1"/>
  <c r="T11" i="14"/>
  <c r="S11" i="14"/>
  <c r="R11" i="14"/>
  <c r="N11" i="14"/>
  <c r="J11" i="14"/>
  <c r="G11" i="14"/>
  <c r="M11" i="14" s="1"/>
  <c r="D11" i="14"/>
  <c r="L11" i="14" s="1"/>
  <c r="T10" i="14"/>
  <c r="S10" i="14"/>
  <c r="R10" i="14"/>
  <c r="J10" i="14"/>
  <c r="N10" i="14" s="1"/>
  <c r="G10" i="14"/>
  <c r="M10" i="14" s="1"/>
  <c r="D10" i="14"/>
  <c r="L10" i="14" s="1"/>
  <c r="T9" i="14"/>
  <c r="S9" i="14"/>
  <c r="R9" i="14"/>
  <c r="W9" i="14" s="1"/>
  <c r="J9" i="14"/>
  <c r="N9" i="14" s="1"/>
  <c r="G9" i="14"/>
  <c r="M9" i="14" s="1"/>
  <c r="D9" i="14"/>
  <c r="L9" i="14" s="1"/>
  <c r="T8" i="14"/>
  <c r="S8" i="14"/>
  <c r="R8" i="14"/>
  <c r="J8" i="14"/>
  <c r="N8" i="14" s="1"/>
  <c r="G8" i="14"/>
  <c r="M8" i="14" s="1"/>
  <c r="D8" i="14"/>
  <c r="L8" i="14" s="1"/>
  <c r="T7" i="14"/>
  <c r="S7" i="14"/>
  <c r="R7" i="14"/>
  <c r="N7" i="14"/>
  <c r="J7" i="14"/>
  <c r="G7" i="14"/>
  <c r="M7" i="14" s="1"/>
  <c r="D7" i="14"/>
  <c r="L7" i="14" s="1"/>
  <c r="T6" i="14"/>
  <c r="S6" i="14"/>
  <c r="R6" i="14"/>
  <c r="W6" i="14" s="1"/>
  <c r="M6" i="14"/>
  <c r="J6" i="14"/>
  <c r="N6" i="14" s="1"/>
  <c r="G6" i="14"/>
  <c r="D6" i="14"/>
  <c r="L6" i="14" s="1"/>
  <c r="T5" i="14"/>
  <c r="S5" i="14"/>
  <c r="R5" i="14"/>
  <c r="N5" i="14"/>
  <c r="J5" i="14"/>
  <c r="G5" i="14"/>
  <c r="M5" i="14" s="1"/>
  <c r="D5" i="14"/>
  <c r="L5" i="14" s="1"/>
  <c r="P5" i="14" s="1"/>
  <c r="S4" i="14"/>
  <c r="R4" i="14"/>
  <c r="J4" i="14"/>
  <c r="N4" i="14" s="1"/>
  <c r="G4" i="14"/>
  <c r="M4" i="14" s="1"/>
  <c r="D4" i="14"/>
  <c r="L4" i="14" s="1"/>
  <c r="T52" i="13"/>
  <c r="S52" i="13"/>
  <c r="R52" i="13"/>
  <c r="U52" i="13" s="1"/>
  <c r="J52" i="13"/>
  <c r="N52" i="13" s="1"/>
  <c r="G52" i="13"/>
  <c r="M52" i="13" s="1"/>
  <c r="D52" i="13"/>
  <c r="L52" i="13" s="1"/>
  <c r="T51" i="13"/>
  <c r="S51" i="13"/>
  <c r="R51" i="13"/>
  <c r="J51" i="13"/>
  <c r="N51" i="13" s="1"/>
  <c r="G51" i="13"/>
  <c r="M51" i="13" s="1"/>
  <c r="D51" i="13"/>
  <c r="L51" i="13" s="1"/>
  <c r="T50" i="13"/>
  <c r="S50" i="13"/>
  <c r="R50" i="13"/>
  <c r="L50" i="13"/>
  <c r="J50" i="13"/>
  <c r="N50" i="13" s="1"/>
  <c r="G50" i="13"/>
  <c r="M50" i="13" s="1"/>
  <c r="D50" i="13"/>
  <c r="T49" i="13"/>
  <c r="S49" i="13"/>
  <c r="R49" i="13"/>
  <c r="M49" i="13"/>
  <c r="J49" i="13"/>
  <c r="N49" i="13" s="1"/>
  <c r="G49" i="13"/>
  <c r="D49" i="13"/>
  <c r="L49" i="13" s="1"/>
  <c r="T48" i="13"/>
  <c r="U48" i="13" s="1"/>
  <c r="S48" i="13"/>
  <c r="R48" i="13"/>
  <c r="N48" i="13"/>
  <c r="J48" i="13"/>
  <c r="G48" i="13"/>
  <c r="M48" i="13" s="1"/>
  <c r="D48" i="13"/>
  <c r="L48" i="13" s="1"/>
  <c r="O48" i="13" s="1"/>
  <c r="T47" i="13"/>
  <c r="S47" i="13"/>
  <c r="R47" i="13"/>
  <c r="W47" i="13" s="1"/>
  <c r="X47" i="13" s="1"/>
  <c r="L47" i="13"/>
  <c r="O47" i="13" s="1"/>
  <c r="J47" i="13"/>
  <c r="N47" i="13" s="1"/>
  <c r="G47" i="13"/>
  <c r="M47" i="13" s="1"/>
  <c r="D47" i="13"/>
  <c r="T46" i="13"/>
  <c r="S46" i="13"/>
  <c r="R46" i="13"/>
  <c r="N46" i="13"/>
  <c r="L46" i="13"/>
  <c r="J46" i="13"/>
  <c r="G46" i="13"/>
  <c r="M46" i="13" s="1"/>
  <c r="D46" i="13"/>
  <c r="T45" i="13"/>
  <c r="S45" i="13"/>
  <c r="R45" i="13"/>
  <c r="N45" i="13"/>
  <c r="M45" i="13"/>
  <c r="J45" i="13"/>
  <c r="G45" i="13"/>
  <c r="D45" i="13"/>
  <c r="L45" i="13" s="1"/>
  <c r="T44" i="13"/>
  <c r="S44" i="13"/>
  <c r="R44" i="13"/>
  <c r="J44" i="13"/>
  <c r="N44" i="13" s="1"/>
  <c r="G44" i="13"/>
  <c r="M44" i="13" s="1"/>
  <c r="D44" i="13"/>
  <c r="L44" i="13" s="1"/>
  <c r="T43" i="13"/>
  <c r="S43" i="13"/>
  <c r="R43" i="13"/>
  <c r="J43" i="13"/>
  <c r="N43" i="13" s="1"/>
  <c r="G43" i="13"/>
  <c r="M43" i="13" s="1"/>
  <c r="D43" i="13"/>
  <c r="L43" i="13" s="1"/>
  <c r="T39" i="13"/>
  <c r="S39" i="13"/>
  <c r="R39" i="13"/>
  <c r="J39" i="13"/>
  <c r="N39" i="13" s="1"/>
  <c r="G39" i="13"/>
  <c r="M39" i="13" s="1"/>
  <c r="D39" i="13"/>
  <c r="L39" i="13" s="1"/>
  <c r="P39" i="13" s="1"/>
  <c r="T38" i="13"/>
  <c r="S38" i="13"/>
  <c r="R38" i="13"/>
  <c r="J38" i="13"/>
  <c r="N38" i="13" s="1"/>
  <c r="G38" i="13"/>
  <c r="M38" i="13" s="1"/>
  <c r="D38" i="13"/>
  <c r="L38" i="13" s="1"/>
  <c r="T37" i="13"/>
  <c r="S37" i="13"/>
  <c r="R37" i="13"/>
  <c r="L37" i="13"/>
  <c r="J37" i="13"/>
  <c r="N37" i="13" s="1"/>
  <c r="G37" i="13"/>
  <c r="M37" i="13" s="1"/>
  <c r="D37" i="13"/>
  <c r="T36" i="13"/>
  <c r="S36" i="13"/>
  <c r="R36" i="13"/>
  <c r="M36" i="13"/>
  <c r="J36" i="13"/>
  <c r="N36" i="13" s="1"/>
  <c r="G36" i="13"/>
  <c r="D36" i="13"/>
  <c r="L36" i="13" s="1"/>
  <c r="T35" i="13"/>
  <c r="S35" i="13"/>
  <c r="R35" i="13"/>
  <c r="N35" i="13"/>
  <c r="J35" i="13"/>
  <c r="G35" i="13"/>
  <c r="M35" i="13" s="1"/>
  <c r="D35" i="13"/>
  <c r="L35" i="13" s="1"/>
  <c r="T34" i="13"/>
  <c r="S34" i="13"/>
  <c r="R34" i="13"/>
  <c r="N34" i="13"/>
  <c r="M34" i="13"/>
  <c r="J34" i="13"/>
  <c r="G34" i="13"/>
  <c r="D34" i="13"/>
  <c r="L34" i="13" s="1"/>
  <c r="T33" i="13"/>
  <c r="S33" i="13"/>
  <c r="R33" i="13"/>
  <c r="W33" i="13" s="1"/>
  <c r="L33" i="13"/>
  <c r="P33" i="13" s="1"/>
  <c r="J33" i="13"/>
  <c r="N33" i="13" s="1"/>
  <c r="G33" i="13"/>
  <c r="M33" i="13" s="1"/>
  <c r="D33" i="13"/>
  <c r="T32" i="13"/>
  <c r="U32" i="13" s="1"/>
  <c r="S32" i="13"/>
  <c r="R32" i="13"/>
  <c r="L32" i="13"/>
  <c r="J32" i="13"/>
  <c r="N32" i="13" s="1"/>
  <c r="G32" i="13"/>
  <c r="M32" i="13" s="1"/>
  <c r="D32" i="13"/>
  <c r="W31" i="13"/>
  <c r="T31" i="13"/>
  <c r="S31" i="13"/>
  <c r="R31" i="13"/>
  <c r="N31" i="13"/>
  <c r="J31" i="13"/>
  <c r="G31" i="13"/>
  <c r="M31" i="13" s="1"/>
  <c r="D31" i="13"/>
  <c r="L31" i="13" s="1"/>
  <c r="T30" i="13"/>
  <c r="S30" i="13"/>
  <c r="R30" i="13"/>
  <c r="N30" i="13"/>
  <c r="M30" i="13"/>
  <c r="J30" i="13"/>
  <c r="G30" i="13"/>
  <c r="D30" i="13"/>
  <c r="L30" i="13" s="1"/>
  <c r="T26" i="13"/>
  <c r="S26" i="13"/>
  <c r="R26" i="13"/>
  <c r="W26" i="13" s="1"/>
  <c r="N26" i="13"/>
  <c r="J26" i="13"/>
  <c r="G26" i="13"/>
  <c r="M26" i="13" s="1"/>
  <c r="D26" i="13"/>
  <c r="L26" i="13" s="1"/>
  <c r="O26" i="13" s="1"/>
  <c r="T25" i="13"/>
  <c r="S25" i="13"/>
  <c r="R25" i="13"/>
  <c r="W25" i="13" s="1"/>
  <c r="J25" i="13"/>
  <c r="N25" i="13" s="1"/>
  <c r="G25" i="13"/>
  <c r="M25" i="13" s="1"/>
  <c r="D25" i="13"/>
  <c r="L25" i="13" s="1"/>
  <c r="T24" i="13"/>
  <c r="S24" i="13"/>
  <c r="R24" i="13"/>
  <c r="N24" i="13"/>
  <c r="J24" i="13"/>
  <c r="G24" i="13"/>
  <c r="M24" i="13" s="1"/>
  <c r="D24" i="13"/>
  <c r="L24" i="13" s="1"/>
  <c r="P24" i="13" s="1"/>
  <c r="T23" i="13"/>
  <c r="S23" i="13"/>
  <c r="R23" i="13"/>
  <c r="M23" i="13"/>
  <c r="J23" i="13"/>
  <c r="N23" i="13" s="1"/>
  <c r="G23" i="13"/>
  <c r="D23" i="13"/>
  <c r="L23" i="13" s="1"/>
  <c r="T22" i="13"/>
  <c r="S22" i="13"/>
  <c r="R22" i="13"/>
  <c r="W22" i="13" s="1"/>
  <c r="N22" i="13"/>
  <c r="J22" i="13"/>
  <c r="G22" i="13"/>
  <c r="M22" i="13" s="1"/>
  <c r="D22" i="13"/>
  <c r="L22" i="13" s="1"/>
  <c r="T21" i="13"/>
  <c r="S21" i="13"/>
  <c r="R21" i="13"/>
  <c r="J21" i="13"/>
  <c r="N21" i="13" s="1"/>
  <c r="G21" i="13"/>
  <c r="M21" i="13" s="1"/>
  <c r="D21" i="13"/>
  <c r="L21" i="13" s="1"/>
  <c r="T20" i="13"/>
  <c r="S20" i="13"/>
  <c r="R20" i="13"/>
  <c r="N20" i="13"/>
  <c r="J20" i="13"/>
  <c r="G20" i="13"/>
  <c r="M20" i="13" s="1"/>
  <c r="D20" i="13"/>
  <c r="L20" i="13" s="1"/>
  <c r="P20" i="13" s="1"/>
  <c r="T19" i="13"/>
  <c r="S19" i="13"/>
  <c r="R19" i="13"/>
  <c r="M19" i="13"/>
  <c r="J19" i="13"/>
  <c r="N19" i="13" s="1"/>
  <c r="G19" i="13"/>
  <c r="D19" i="13"/>
  <c r="L19" i="13" s="1"/>
  <c r="T18" i="13"/>
  <c r="S18" i="13"/>
  <c r="R18" i="13"/>
  <c r="U18" i="13" s="1"/>
  <c r="N18" i="13"/>
  <c r="J18" i="13"/>
  <c r="G18" i="13"/>
  <c r="M18" i="13" s="1"/>
  <c r="D18" i="13"/>
  <c r="L18" i="13" s="1"/>
  <c r="T17" i="13"/>
  <c r="S17" i="13"/>
  <c r="R17" i="13"/>
  <c r="J17" i="13"/>
  <c r="N17" i="13" s="1"/>
  <c r="G17" i="13"/>
  <c r="M17" i="13" s="1"/>
  <c r="D17" i="13"/>
  <c r="L17" i="13" s="1"/>
  <c r="T13" i="13"/>
  <c r="S13" i="13"/>
  <c r="R13" i="13"/>
  <c r="N13" i="13"/>
  <c r="J13" i="13"/>
  <c r="G13" i="13"/>
  <c r="M13" i="13" s="1"/>
  <c r="D13" i="13"/>
  <c r="L13" i="13" s="1"/>
  <c r="P13" i="13" s="1"/>
  <c r="T12" i="13"/>
  <c r="S12" i="13"/>
  <c r="R12" i="13"/>
  <c r="M12" i="13"/>
  <c r="J12" i="13"/>
  <c r="N12" i="13" s="1"/>
  <c r="G12" i="13"/>
  <c r="D12" i="13"/>
  <c r="L12" i="13" s="1"/>
  <c r="T11" i="13"/>
  <c r="S11" i="13"/>
  <c r="R11" i="13"/>
  <c r="U11" i="13" s="1"/>
  <c r="N11" i="13"/>
  <c r="J11" i="13"/>
  <c r="G11" i="13"/>
  <c r="M11" i="13" s="1"/>
  <c r="D11" i="13"/>
  <c r="L11" i="13" s="1"/>
  <c r="T10" i="13"/>
  <c r="S10" i="13"/>
  <c r="R10" i="13"/>
  <c r="J10" i="13"/>
  <c r="N10" i="13" s="1"/>
  <c r="G10" i="13"/>
  <c r="M10" i="13" s="1"/>
  <c r="D10" i="13"/>
  <c r="L10" i="13" s="1"/>
  <c r="T9" i="13"/>
  <c r="S9" i="13"/>
  <c r="R9" i="13"/>
  <c r="N9" i="13"/>
  <c r="J9" i="13"/>
  <c r="G9" i="13"/>
  <c r="M9" i="13" s="1"/>
  <c r="D9" i="13"/>
  <c r="L9" i="13" s="1"/>
  <c r="P9" i="13" s="1"/>
  <c r="T8" i="13"/>
  <c r="S8" i="13"/>
  <c r="R8" i="13"/>
  <c r="M8" i="13"/>
  <c r="J8" i="13"/>
  <c r="N8" i="13" s="1"/>
  <c r="G8" i="13"/>
  <c r="D8" i="13"/>
  <c r="L8" i="13" s="1"/>
  <c r="T7" i="13"/>
  <c r="S7" i="13"/>
  <c r="R7" i="13"/>
  <c r="N7" i="13"/>
  <c r="J7" i="13"/>
  <c r="G7" i="13"/>
  <c r="M7" i="13" s="1"/>
  <c r="D7" i="13"/>
  <c r="L7" i="13" s="1"/>
  <c r="T6" i="13"/>
  <c r="S6" i="13"/>
  <c r="R6" i="13"/>
  <c r="M6" i="13"/>
  <c r="J6" i="13"/>
  <c r="N6" i="13" s="1"/>
  <c r="G6" i="13"/>
  <c r="D6" i="13"/>
  <c r="L6" i="13" s="1"/>
  <c r="T5" i="13"/>
  <c r="S5" i="13"/>
  <c r="R5" i="13"/>
  <c r="M5" i="13"/>
  <c r="J5" i="13"/>
  <c r="N5" i="13" s="1"/>
  <c r="G5" i="13"/>
  <c r="D5" i="13"/>
  <c r="L5" i="13" s="1"/>
  <c r="T4" i="13"/>
  <c r="S4" i="13"/>
  <c r="R4" i="13"/>
  <c r="W4" i="13" s="1"/>
  <c r="N4" i="13"/>
  <c r="J4" i="13"/>
  <c r="G4" i="13"/>
  <c r="M4" i="13" s="1"/>
  <c r="D4" i="13"/>
  <c r="L4" i="13" s="1"/>
  <c r="O4" i="13" s="1"/>
  <c r="T52" i="11"/>
  <c r="S52" i="11"/>
  <c r="W52" i="11" s="1"/>
  <c r="R52" i="11"/>
  <c r="U52" i="11" s="1"/>
  <c r="J52" i="11"/>
  <c r="N52" i="11" s="1"/>
  <c r="G52" i="11"/>
  <c r="M52" i="11" s="1"/>
  <c r="D52" i="11"/>
  <c r="L52" i="11" s="1"/>
  <c r="T51" i="11"/>
  <c r="S51" i="11"/>
  <c r="R51" i="11"/>
  <c r="U51" i="11" s="1"/>
  <c r="J51" i="11"/>
  <c r="N51" i="11" s="1"/>
  <c r="G51" i="11"/>
  <c r="M51" i="11" s="1"/>
  <c r="D51" i="11"/>
  <c r="L51" i="11" s="1"/>
  <c r="T50" i="11"/>
  <c r="S50" i="11"/>
  <c r="R50" i="11"/>
  <c r="J50" i="11"/>
  <c r="N50" i="11" s="1"/>
  <c r="G50" i="11"/>
  <c r="M50" i="11" s="1"/>
  <c r="D50" i="11"/>
  <c r="L50" i="11" s="1"/>
  <c r="T49" i="11"/>
  <c r="S49" i="11"/>
  <c r="R49" i="11"/>
  <c r="J49" i="11"/>
  <c r="N49" i="11" s="1"/>
  <c r="G49" i="11"/>
  <c r="M49" i="11" s="1"/>
  <c r="D49" i="11"/>
  <c r="L49" i="11" s="1"/>
  <c r="T48" i="11"/>
  <c r="S48" i="11"/>
  <c r="R48" i="11"/>
  <c r="U48" i="11" s="1"/>
  <c r="J48" i="11"/>
  <c r="N48" i="11" s="1"/>
  <c r="G48" i="11"/>
  <c r="M48" i="11" s="1"/>
  <c r="D48" i="11"/>
  <c r="L48" i="11" s="1"/>
  <c r="O48" i="11" s="1"/>
  <c r="T47" i="11"/>
  <c r="S47" i="11"/>
  <c r="R47" i="11"/>
  <c r="U47" i="11" s="1"/>
  <c r="J47" i="11"/>
  <c r="N47" i="11" s="1"/>
  <c r="G47" i="11"/>
  <c r="M47" i="11" s="1"/>
  <c r="D47" i="11"/>
  <c r="L47" i="11" s="1"/>
  <c r="T46" i="11"/>
  <c r="S46" i="11"/>
  <c r="W46" i="11" s="1"/>
  <c r="R46" i="11"/>
  <c r="J46" i="11"/>
  <c r="N46" i="11" s="1"/>
  <c r="G46" i="11"/>
  <c r="M46" i="11" s="1"/>
  <c r="D46" i="11"/>
  <c r="L46" i="11" s="1"/>
  <c r="T45" i="11"/>
  <c r="S45" i="11"/>
  <c r="R45" i="11"/>
  <c r="U45" i="11" s="1"/>
  <c r="J45" i="11"/>
  <c r="N45" i="11" s="1"/>
  <c r="G45" i="11"/>
  <c r="M45" i="11" s="1"/>
  <c r="D45" i="11"/>
  <c r="L45" i="11" s="1"/>
  <c r="T44" i="11"/>
  <c r="S44" i="11"/>
  <c r="R44" i="11"/>
  <c r="W44" i="11" s="1"/>
  <c r="J44" i="11"/>
  <c r="N44" i="11" s="1"/>
  <c r="G44" i="11"/>
  <c r="M44" i="11" s="1"/>
  <c r="D44" i="11"/>
  <c r="L44" i="11" s="1"/>
  <c r="O44" i="11" s="1"/>
  <c r="T43" i="11"/>
  <c r="S43" i="11"/>
  <c r="R43" i="11"/>
  <c r="U43" i="11" s="1"/>
  <c r="J43" i="11"/>
  <c r="N43" i="11" s="1"/>
  <c r="G43" i="11"/>
  <c r="M43" i="11" s="1"/>
  <c r="D43" i="11"/>
  <c r="L43" i="11" s="1"/>
  <c r="T39" i="11"/>
  <c r="S39" i="11"/>
  <c r="W39" i="11" s="1"/>
  <c r="R39" i="11"/>
  <c r="J39" i="11"/>
  <c r="N39" i="11" s="1"/>
  <c r="G39" i="11"/>
  <c r="M39" i="11" s="1"/>
  <c r="D39" i="11"/>
  <c r="L39" i="11" s="1"/>
  <c r="T38" i="11"/>
  <c r="S38" i="11"/>
  <c r="R38" i="11"/>
  <c r="J38" i="11"/>
  <c r="N38" i="11" s="1"/>
  <c r="G38" i="11"/>
  <c r="M38" i="11" s="1"/>
  <c r="D38" i="11"/>
  <c r="L38" i="11" s="1"/>
  <c r="T37" i="11"/>
  <c r="S37" i="11"/>
  <c r="R37" i="11"/>
  <c r="L37" i="11"/>
  <c r="J37" i="11"/>
  <c r="N37" i="11" s="1"/>
  <c r="G37" i="11"/>
  <c r="M37" i="11" s="1"/>
  <c r="D37" i="11"/>
  <c r="T36" i="11"/>
  <c r="S36" i="11"/>
  <c r="R36" i="11"/>
  <c r="J36" i="11"/>
  <c r="N36" i="11" s="1"/>
  <c r="G36" i="11"/>
  <c r="M36" i="11" s="1"/>
  <c r="D36" i="11"/>
  <c r="L36" i="11" s="1"/>
  <c r="T35" i="11"/>
  <c r="S35" i="11"/>
  <c r="R35" i="11"/>
  <c r="N35" i="11"/>
  <c r="J35" i="11"/>
  <c r="G35" i="11"/>
  <c r="M35" i="11" s="1"/>
  <c r="D35" i="11"/>
  <c r="L35" i="11" s="1"/>
  <c r="T34" i="11"/>
  <c r="S34" i="11"/>
  <c r="R34" i="11"/>
  <c r="M34" i="11"/>
  <c r="J34" i="11"/>
  <c r="N34" i="11" s="1"/>
  <c r="G34" i="11"/>
  <c r="D34" i="11"/>
  <c r="L34" i="11" s="1"/>
  <c r="U33" i="11"/>
  <c r="T33" i="11"/>
  <c r="S33" i="11"/>
  <c r="R33" i="11"/>
  <c r="W33" i="11" s="1"/>
  <c r="L33" i="11"/>
  <c r="O33" i="11" s="1"/>
  <c r="J33" i="11"/>
  <c r="N33" i="11" s="1"/>
  <c r="G33" i="11"/>
  <c r="M33" i="11" s="1"/>
  <c r="D33" i="11"/>
  <c r="T32" i="11"/>
  <c r="S32" i="11"/>
  <c r="R32" i="11"/>
  <c r="J32" i="11"/>
  <c r="N32" i="11" s="1"/>
  <c r="G32" i="11"/>
  <c r="M32" i="11" s="1"/>
  <c r="D32" i="11"/>
  <c r="L32" i="11" s="1"/>
  <c r="T31" i="11"/>
  <c r="S31" i="11"/>
  <c r="R31" i="11"/>
  <c r="U31" i="11" s="1"/>
  <c r="N31" i="11"/>
  <c r="J31" i="11"/>
  <c r="G31" i="11"/>
  <c r="M31" i="11" s="1"/>
  <c r="D31" i="11"/>
  <c r="L31" i="11" s="1"/>
  <c r="T30" i="11"/>
  <c r="S30" i="11"/>
  <c r="R30" i="11"/>
  <c r="U30" i="11" s="1"/>
  <c r="M30" i="11"/>
  <c r="J30" i="11"/>
  <c r="N30" i="11" s="1"/>
  <c r="G30" i="11"/>
  <c r="D30" i="11"/>
  <c r="L30" i="11" s="1"/>
  <c r="U26" i="11"/>
  <c r="T26" i="11"/>
  <c r="S26" i="11"/>
  <c r="R26" i="11"/>
  <c r="W26" i="11" s="1"/>
  <c r="L26" i="11"/>
  <c r="J26" i="11"/>
  <c r="N26" i="11" s="1"/>
  <c r="G26" i="11"/>
  <c r="M26" i="11" s="1"/>
  <c r="D26" i="11"/>
  <c r="T25" i="11"/>
  <c r="S25" i="11"/>
  <c r="R25" i="11"/>
  <c r="L25" i="11"/>
  <c r="J25" i="11"/>
  <c r="N25" i="11" s="1"/>
  <c r="G25" i="11"/>
  <c r="M25" i="11" s="1"/>
  <c r="D25" i="11"/>
  <c r="T24" i="11"/>
  <c r="S24" i="11"/>
  <c r="R24" i="11"/>
  <c r="J24" i="11"/>
  <c r="N24" i="11" s="1"/>
  <c r="G24" i="11"/>
  <c r="M24" i="11" s="1"/>
  <c r="D24" i="11"/>
  <c r="L24" i="11" s="1"/>
  <c r="T23" i="11"/>
  <c r="S23" i="11"/>
  <c r="R23" i="11"/>
  <c r="U23" i="11" s="1"/>
  <c r="J23" i="11"/>
  <c r="N23" i="11" s="1"/>
  <c r="G23" i="11"/>
  <c r="M23" i="11" s="1"/>
  <c r="D23" i="11"/>
  <c r="L23" i="11" s="1"/>
  <c r="T22" i="11"/>
  <c r="S22" i="11"/>
  <c r="R22" i="11"/>
  <c r="L22" i="11"/>
  <c r="P22" i="11" s="1"/>
  <c r="J22" i="11"/>
  <c r="N22" i="11" s="1"/>
  <c r="G22" i="11"/>
  <c r="M22" i="11" s="1"/>
  <c r="D22" i="11"/>
  <c r="T21" i="11"/>
  <c r="S21" i="11"/>
  <c r="R21" i="11"/>
  <c r="J21" i="11"/>
  <c r="N21" i="11" s="1"/>
  <c r="G21" i="11"/>
  <c r="M21" i="11" s="1"/>
  <c r="D21" i="11"/>
  <c r="L21" i="11" s="1"/>
  <c r="T20" i="11"/>
  <c r="S20" i="11"/>
  <c r="R20" i="11"/>
  <c r="N20" i="11"/>
  <c r="J20" i="11"/>
  <c r="G20" i="11"/>
  <c r="M20" i="11" s="1"/>
  <c r="D20" i="11"/>
  <c r="L20" i="11" s="1"/>
  <c r="T19" i="11"/>
  <c r="S19" i="11"/>
  <c r="R19" i="11"/>
  <c r="N19" i="11"/>
  <c r="J19" i="11"/>
  <c r="G19" i="11"/>
  <c r="M19" i="11" s="1"/>
  <c r="D19" i="11"/>
  <c r="L19" i="11" s="1"/>
  <c r="T18" i="11"/>
  <c r="S18" i="11"/>
  <c r="R18" i="11"/>
  <c r="L18" i="11"/>
  <c r="O18" i="11" s="1"/>
  <c r="J18" i="11"/>
  <c r="N18" i="11" s="1"/>
  <c r="G18" i="11"/>
  <c r="M18" i="11" s="1"/>
  <c r="D18" i="11"/>
  <c r="T17" i="11"/>
  <c r="S17" i="11"/>
  <c r="R17" i="11"/>
  <c r="O17" i="11"/>
  <c r="J17" i="11"/>
  <c r="N17" i="11" s="1"/>
  <c r="G17" i="11"/>
  <c r="M17" i="11" s="1"/>
  <c r="D17" i="11"/>
  <c r="L17" i="11" s="1"/>
  <c r="P17" i="11" s="1"/>
  <c r="T13" i="11"/>
  <c r="S13" i="11"/>
  <c r="R13" i="11"/>
  <c r="N13" i="11"/>
  <c r="J13" i="11"/>
  <c r="G13" i="11"/>
  <c r="M13" i="11" s="1"/>
  <c r="D13" i="11"/>
  <c r="L13" i="11" s="1"/>
  <c r="T12" i="11"/>
  <c r="S12" i="11"/>
  <c r="R12" i="11"/>
  <c r="M12" i="11"/>
  <c r="J12" i="11"/>
  <c r="N12" i="11" s="1"/>
  <c r="G12" i="11"/>
  <c r="D12" i="11"/>
  <c r="L12" i="11" s="1"/>
  <c r="T11" i="11"/>
  <c r="S11" i="11"/>
  <c r="R11" i="11"/>
  <c r="L11" i="11"/>
  <c r="P11" i="11" s="1"/>
  <c r="J11" i="11"/>
  <c r="N11" i="11" s="1"/>
  <c r="G11" i="11"/>
  <c r="M11" i="11" s="1"/>
  <c r="D11" i="11"/>
  <c r="T10" i="11"/>
  <c r="S10" i="11"/>
  <c r="W10" i="11" s="1"/>
  <c r="R10" i="11"/>
  <c r="J10" i="11"/>
  <c r="N10" i="11" s="1"/>
  <c r="G10" i="11"/>
  <c r="M10" i="11" s="1"/>
  <c r="D10" i="11"/>
  <c r="L10" i="11" s="1"/>
  <c r="T9" i="11"/>
  <c r="S9" i="11"/>
  <c r="R9" i="11"/>
  <c r="J9" i="11"/>
  <c r="N9" i="11" s="1"/>
  <c r="G9" i="11"/>
  <c r="M9" i="11" s="1"/>
  <c r="D9" i="11"/>
  <c r="L9" i="11" s="1"/>
  <c r="T8" i="11"/>
  <c r="S8" i="11"/>
  <c r="R8" i="11"/>
  <c r="M8" i="11"/>
  <c r="J8" i="11"/>
  <c r="N8" i="11" s="1"/>
  <c r="G8" i="11"/>
  <c r="D8" i="11"/>
  <c r="L8" i="11" s="1"/>
  <c r="O8" i="11" s="1"/>
  <c r="T7" i="11"/>
  <c r="S7" i="11"/>
  <c r="R7" i="11"/>
  <c r="L7" i="11"/>
  <c r="P7" i="11" s="1"/>
  <c r="J7" i="11"/>
  <c r="N7" i="11" s="1"/>
  <c r="G7" i="11"/>
  <c r="M7" i="11" s="1"/>
  <c r="D7" i="11"/>
  <c r="W6" i="11"/>
  <c r="T6" i="11"/>
  <c r="S6" i="11"/>
  <c r="R6" i="11"/>
  <c r="U6" i="11" s="1"/>
  <c r="L6" i="11"/>
  <c r="J6" i="11"/>
  <c r="N6" i="11" s="1"/>
  <c r="G6" i="11"/>
  <c r="M6" i="11" s="1"/>
  <c r="D6" i="11"/>
  <c r="T5" i="11"/>
  <c r="S5" i="11"/>
  <c r="R5" i="11"/>
  <c r="N5" i="11"/>
  <c r="M5" i="11"/>
  <c r="J5" i="11"/>
  <c r="G5" i="11"/>
  <c r="D5" i="11"/>
  <c r="L5" i="11" s="1"/>
  <c r="U4" i="11"/>
  <c r="T4" i="11"/>
  <c r="S4" i="11"/>
  <c r="R4" i="11"/>
  <c r="W4" i="11" s="1"/>
  <c r="L4" i="11"/>
  <c r="J4" i="11"/>
  <c r="N4" i="11" s="1"/>
  <c r="G4" i="11"/>
  <c r="M4" i="11" s="1"/>
  <c r="D4" i="11"/>
  <c r="P36" i="13" l="1"/>
  <c r="O36" i="13"/>
  <c r="O44" i="13"/>
  <c r="P44" i="13"/>
  <c r="P4" i="11"/>
  <c r="I57" i="15"/>
  <c r="J57" i="15" s="1"/>
  <c r="X4" i="13"/>
  <c r="U21" i="11"/>
  <c r="W21" i="11"/>
  <c r="X4" i="11"/>
  <c r="U10" i="11"/>
  <c r="X11" i="11"/>
  <c r="I63" i="17" s="1"/>
  <c r="J63" i="17" s="1"/>
  <c r="U11" i="11"/>
  <c r="W11" i="11"/>
  <c r="W24" i="11"/>
  <c r="U24" i="11"/>
  <c r="O25" i="11"/>
  <c r="W32" i="11"/>
  <c r="U39" i="11"/>
  <c r="U44" i="11"/>
  <c r="U46" i="11"/>
  <c r="U50" i="11"/>
  <c r="U31" i="13"/>
  <c r="W44" i="13"/>
  <c r="U44" i="13"/>
  <c r="O50" i="13"/>
  <c r="U4" i="14"/>
  <c r="W4" i="14"/>
  <c r="U5" i="14"/>
  <c r="W5" i="14"/>
  <c r="U8" i="14"/>
  <c r="W8" i="14"/>
  <c r="U9" i="14"/>
  <c r="U12" i="14"/>
  <c r="W12" i="14"/>
  <c r="U13" i="14"/>
  <c r="W18" i="14"/>
  <c r="W21" i="14"/>
  <c r="W25" i="14"/>
  <c r="W31" i="14"/>
  <c r="W32" i="14"/>
  <c r="U32" i="14"/>
  <c r="W35" i="14"/>
  <c r="U38" i="14"/>
  <c r="W45" i="14"/>
  <c r="U45" i="14"/>
  <c r="W50" i="14"/>
  <c r="U50" i="14"/>
  <c r="X52" i="14"/>
  <c r="AD52" i="14"/>
  <c r="AF52" i="14" s="1"/>
  <c r="W35" i="11"/>
  <c r="U35" i="11"/>
  <c r="U38" i="11"/>
  <c r="W38" i="11"/>
  <c r="X39" i="11"/>
  <c r="I54" i="17" s="1"/>
  <c r="J54" i="17" s="1"/>
  <c r="X44" i="11"/>
  <c r="X46" i="11"/>
  <c r="U49" i="11"/>
  <c r="W50" i="11"/>
  <c r="U4" i="13"/>
  <c r="U5" i="13"/>
  <c r="W5" i="13"/>
  <c r="W10" i="13"/>
  <c r="U17" i="13"/>
  <c r="W17" i="13"/>
  <c r="W21" i="13"/>
  <c r="U21" i="13"/>
  <c r="U22" i="13"/>
  <c r="U26" i="13"/>
  <c r="O32" i="13"/>
  <c r="U33" i="13"/>
  <c r="W36" i="13"/>
  <c r="U36" i="13"/>
  <c r="O39" i="13"/>
  <c r="W43" i="13"/>
  <c r="U43" i="13"/>
  <c r="U50" i="13"/>
  <c r="P52" i="13"/>
  <c r="W52" i="13"/>
  <c r="W11" i="14"/>
  <c r="U11" i="14"/>
  <c r="AD17" i="14"/>
  <c r="AF17" i="14" s="1"/>
  <c r="X17" i="14"/>
  <c r="X20" i="14"/>
  <c r="AD20" i="14"/>
  <c r="AF20" i="14" s="1"/>
  <c r="X24" i="14"/>
  <c r="AD24" i="14"/>
  <c r="AF24" i="14" s="1"/>
  <c r="Z30" i="14"/>
  <c r="AB30" i="14" s="1"/>
  <c r="X38" i="14"/>
  <c r="AD38" i="14"/>
  <c r="AF38" i="14" s="1"/>
  <c r="U44" i="14"/>
  <c r="W44" i="14"/>
  <c r="U49" i="14"/>
  <c r="X6" i="11"/>
  <c r="O10" i="11"/>
  <c r="X24" i="11"/>
  <c r="I56" i="17" s="1"/>
  <c r="J56" i="17" s="1"/>
  <c r="O4" i="11"/>
  <c r="W13" i="11"/>
  <c r="AD46" i="11" s="1"/>
  <c r="U13" i="11"/>
  <c r="Z4" i="11" s="1"/>
  <c r="W17" i="11"/>
  <c r="U17" i="11"/>
  <c r="U18" i="11"/>
  <c r="Z18" i="11" s="1"/>
  <c r="AB18" i="11" s="1"/>
  <c r="W18" i="11"/>
  <c r="AD18" i="11" s="1"/>
  <c r="AF18" i="11" s="1"/>
  <c r="U19" i="11"/>
  <c r="W19" i="11"/>
  <c r="AD19" i="11" s="1"/>
  <c r="AF19" i="11" s="1"/>
  <c r="W20" i="11"/>
  <c r="U22" i="11"/>
  <c r="W22" i="11"/>
  <c r="AF22" i="11" s="1"/>
  <c r="P25" i="11"/>
  <c r="X26" i="11"/>
  <c r="I60" i="17" s="1"/>
  <c r="J60" i="17" s="1"/>
  <c r="AD26" i="11"/>
  <c r="AF26" i="11" s="1"/>
  <c r="W31" i="11"/>
  <c r="X33" i="11"/>
  <c r="AD33" i="11"/>
  <c r="U34" i="11"/>
  <c r="W34" i="11"/>
  <c r="AF34" i="11" s="1"/>
  <c r="X35" i="11"/>
  <c r="I48" i="17" s="1"/>
  <c r="J48" i="17" s="1"/>
  <c r="X37" i="11"/>
  <c r="I50" i="17" s="1"/>
  <c r="J50" i="17" s="1"/>
  <c r="W37" i="11"/>
  <c r="AD37" i="11" s="1"/>
  <c r="AF37" i="11" s="1"/>
  <c r="U37" i="11"/>
  <c r="W48" i="11"/>
  <c r="X52" i="11"/>
  <c r="I47" i="17" s="1"/>
  <c r="J47" i="17" s="1"/>
  <c r="AD52" i="11"/>
  <c r="AF52" i="11" s="1"/>
  <c r="U8" i="13"/>
  <c r="W8" i="13"/>
  <c r="P11" i="13"/>
  <c r="W12" i="13"/>
  <c r="U12" i="13"/>
  <c r="P18" i="13"/>
  <c r="U20" i="13"/>
  <c r="W20" i="13"/>
  <c r="P22" i="13"/>
  <c r="X22" i="13"/>
  <c r="X25" i="13"/>
  <c r="X26" i="13"/>
  <c r="X31" i="13"/>
  <c r="O33" i="13"/>
  <c r="X33" i="13"/>
  <c r="O37" i="13"/>
  <c r="W37" i="13"/>
  <c r="X37" i="13" s="1"/>
  <c r="U37" i="13"/>
  <c r="U38" i="13"/>
  <c r="W38" i="13"/>
  <c r="W39" i="13"/>
  <c r="U39" i="13"/>
  <c r="O43" i="13"/>
  <c r="P47" i="13"/>
  <c r="O51" i="13"/>
  <c r="AD6" i="14"/>
  <c r="AF6" i="14" s="1"/>
  <c r="X6" i="14"/>
  <c r="U7" i="14"/>
  <c r="W7" i="14"/>
  <c r="X9" i="14"/>
  <c r="AD9" i="14"/>
  <c r="AF9" i="14" s="1"/>
  <c r="X13" i="14"/>
  <c r="AD13" i="14"/>
  <c r="AF13" i="14" s="1"/>
  <c r="AD30" i="14"/>
  <c r="AF30" i="14" s="1"/>
  <c r="X30" i="14"/>
  <c r="AC30" i="14" s="1"/>
  <c r="AE30" i="14" s="1"/>
  <c r="W34" i="14"/>
  <c r="U34" i="14"/>
  <c r="U35" i="14"/>
  <c r="W37" i="14"/>
  <c r="U37" i="14"/>
  <c r="W43" i="14"/>
  <c r="U43" i="14"/>
  <c r="W48" i="14"/>
  <c r="U48" i="14"/>
  <c r="X49" i="14"/>
  <c r="AD49" i="14"/>
  <c r="AF49" i="14" s="1"/>
  <c r="W51" i="14"/>
  <c r="X10" i="11"/>
  <c r="I62" i="17" s="1"/>
  <c r="J62" i="17" s="1"/>
  <c r="AD10" i="11"/>
  <c r="AF10" i="11" s="1"/>
  <c r="O21" i="11"/>
  <c r="X7" i="11"/>
  <c r="I57" i="17" s="1"/>
  <c r="J57" i="17" s="1"/>
  <c r="W9" i="11"/>
  <c r="U5" i="11"/>
  <c r="W7" i="11"/>
  <c r="AD7" i="11" s="1"/>
  <c r="AF7" i="11" s="1"/>
  <c r="U7" i="11"/>
  <c r="Z7" i="11" s="1"/>
  <c r="AB7" i="11" s="1"/>
  <c r="U12" i="11"/>
  <c r="W12" i="11"/>
  <c r="AD12" i="11" s="1"/>
  <c r="AF12" i="11" s="1"/>
  <c r="W25" i="11"/>
  <c r="AD25" i="11" s="1"/>
  <c r="AF25" i="11" s="1"/>
  <c r="U25" i="11"/>
  <c r="U32" i="11"/>
  <c r="Z32" i="11" s="1"/>
  <c r="AB32" i="11" s="1"/>
  <c r="U36" i="11"/>
  <c r="W36" i="11"/>
  <c r="AD36" i="11" s="1"/>
  <c r="AF36" i="11" s="1"/>
  <c r="W43" i="11"/>
  <c r="W47" i="11"/>
  <c r="W51" i="11"/>
  <c r="P7" i="13"/>
  <c r="W7" i="13"/>
  <c r="X7" i="13" s="1"/>
  <c r="U7" i="13"/>
  <c r="U9" i="13"/>
  <c r="W11" i="13"/>
  <c r="U13" i="13"/>
  <c r="W18" i="13"/>
  <c r="W19" i="13"/>
  <c r="U19" i="13"/>
  <c r="U24" i="13"/>
  <c r="O25" i="13"/>
  <c r="O31" i="13"/>
  <c r="U34" i="13"/>
  <c r="W34" i="13"/>
  <c r="W35" i="13"/>
  <c r="U35" i="13"/>
  <c r="X44" i="13"/>
  <c r="W46" i="13"/>
  <c r="U46" i="13"/>
  <c r="U47" i="13"/>
  <c r="W48" i="13"/>
  <c r="W50" i="13"/>
  <c r="U51" i="13"/>
  <c r="U10" i="14"/>
  <c r="W10" i="14"/>
  <c r="W19" i="14"/>
  <c r="Z19" i="14" s="1"/>
  <c r="AB19" i="14" s="1"/>
  <c r="U20" i="14"/>
  <c r="W22" i="14"/>
  <c r="O23" i="14"/>
  <c r="W23" i="14"/>
  <c r="U24" i="14"/>
  <c r="W26" i="14"/>
  <c r="U31" i="14"/>
  <c r="W33" i="14"/>
  <c r="W36" i="14"/>
  <c r="U36" i="14"/>
  <c r="W39" i="14"/>
  <c r="Z39" i="14" s="1"/>
  <c r="AB39" i="14" s="1"/>
  <c r="W46" i="14"/>
  <c r="U46" i="14"/>
  <c r="W47" i="14"/>
  <c r="U47" i="14"/>
  <c r="O4" i="14"/>
  <c r="P4" i="14"/>
  <c r="P6" i="14"/>
  <c r="O6" i="14"/>
  <c r="O7" i="14"/>
  <c r="P7" i="14"/>
  <c r="P8" i="14"/>
  <c r="O8" i="14"/>
  <c r="P10" i="14"/>
  <c r="P12" i="14"/>
  <c r="O12" i="14"/>
  <c r="O18" i="14"/>
  <c r="P18" i="14"/>
  <c r="P20" i="14"/>
  <c r="P21" i="14"/>
  <c r="O21" i="14"/>
  <c r="P24" i="14"/>
  <c r="P25" i="14"/>
  <c r="O25" i="14"/>
  <c r="P32" i="14"/>
  <c r="O32" i="14"/>
  <c r="P45" i="14"/>
  <c r="O45" i="14"/>
  <c r="O46" i="14"/>
  <c r="P50" i="14"/>
  <c r="P51" i="14"/>
  <c r="O51" i="14"/>
  <c r="P9" i="14"/>
  <c r="O11" i="14"/>
  <c r="P11" i="14"/>
  <c r="P13" i="14"/>
  <c r="P17" i="14"/>
  <c r="O17" i="14"/>
  <c r="P23" i="14"/>
  <c r="P38" i="14"/>
  <c r="O38" i="14"/>
  <c r="O44" i="14"/>
  <c r="P44" i="14"/>
  <c r="O5" i="14"/>
  <c r="U6" i="14"/>
  <c r="P30" i="14"/>
  <c r="O30" i="14"/>
  <c r="P34" i="14"/>
  <c r="O34" i="14"/>
  <c r="O37" i="14"/>
  <c r="P37" i="14"/>
  <c r="P39" i="14"/>
  <c r="P43" i="14"/>
  <c r="O43" i="14"/>
  <c r="P46" i="14"/>
  <c r="P49" i="14"/>
  <c r="O49" i="14"/>
  <c r="O52" i="14"/>
  <c r="P52" i="14"/>
  <c r="P19" i="14"/>
  <c r="O19" i="14"/>
  <c r="O22" i="14"/>
  <c r="P22" i="14"/>
  <c r="O26" i="14"/>
  <c r="P26" i="14"/>
  <c r="P31" i="14"/>
  <c r="O33" i="14"/>
  <c r="P33" i="14"/>
  <c r="P35" i="14"/>
  <c r="P36" i="14"/>
  <c r="O36" i="14"/>
  <c r="O48" i="14"/>
  <c r="P48" i="14"/>
  <c r="O10" i="14"/>
  <c r="U18" i="14"/>
  <c r="U22" i="14"/>
  <c r="U26" i="14"/>
  <c r="U33" i="14"/>
  <c r="O47" i="14"/>
  <c r="U52" i="14"/>
  <c r="O9" i="14"/>
  <c r="O13" i="14"/>
  <c r="U17" i="14"/>
  <c r="O20" i="14"/>
  <c r="U21" i="14"/>
  <c r="O24" i="14"/>
  <c r="U25" i="14"/>
  <c r="O31" i="14"/>
  <c r="O35" i="14"/>
  <c r="O39" i="14"/>
  <c r="O50" i="14"/>
  <c r="U51" i="14"/>
  <c r="Y6" i="14"/>
  <c r="AA6" i="14" s="1"/>
  <c r="Y13" i="14"/>
  <c r="AA13" i="14" s="1"/>
  <c r="O5" i="13"/>
  <c r="P5" i="13"/>
  <c r="U45" i="13"/>
  <c r="W45" i="13"/>
  <c r="P6" i="13"/>
  <c r="O6" i="13"/>
  <c r="P8" i="13"/>
  <c r="O8" i="13"/>
  <c r="X8" i="13"/>
  <c r="W9" i="13"/>
  <c r="P12" i="13"/>
  <c r="O12" i="13"/>
  <c r="X12" i="13"/>
  <c r="I85" i="15" s="1"/>
  <c r="J85" i="15" s="1"/>
  <c r="W13" i="13"/>
  <c r="AF4" i="13" s="1"/>
  <c r="P19" i="13"/>
  <c r="O19" i="13"/>
  <c r="X19" i="13"/>
  <c r="X20" i="13"/>
  <c r="P23" i="13"/>
  <c r="O23" i="13"/>
  <c r="U23" i="13"/>
  <c r="W23" i="13"/>
  <c r="W24" i="13"/>
  <c r="P25" i="13"/>
  <c r="P26" i="13"/>
  <c r="P34" i="13"/>
  <c r="O34" i="13"/>
  <c r="P35" i="13"/>
  <c r="X36" i="13"/>
  <c r="X38" i="13"/>
  <c r="X39" i="13"/>
  <c r="P43" i="13"/>
  <c r="O46" i="13"/>
  <c r="P48" i="13"/>
  <c r="O52" i="13"/>
  <c r="P38" i="13"/>
  <c r="O38" i="13"/>
  <c r="O7" i="13"/>
  <c r="P10" i="13"/>
  <c r="O10" i="13"/>
  <c r="O11" i="13"/>
  <c r="P17" i="13"/>
  <c r="O17" i="13"/>
  <c r="O18" i="13"/>
  <c r="P21" i="13"/>
  <c r="O21" i="13"/>
  <c r="O22" i="13"/>
  <c r="P30" i="13"/>
  <c r="O30" i="13"/>
  <c r="P31" i="13"/>
  <c r="W32" i="13"/>
  <c r="X34" i="13"/>
  <c r="X35" i="13"/>
  <c r="P49" i="13"/>
  <c r="O49" i="13"/>
  <c r="P50" i="13"/>
  <c r="W51" i="13"/>
  <c r="P4" i="13"/>
  <c r="X5" i="13"/>
  <c r="W6" i="13"/>
  <c r="U6" i="13"/>
  <c r="U30" i="13"/>
  <c r="W30" i="13"/>
  <c r="P32" i="13"/>
  <c r="O35" i="13"/>
  <c r="P37" i="13"/>
  <c r="P45" i="13"/>
  <c r="O45" i="13"/>
  <c r="P46" i="13"/>
  <c r="U49" i="13"/>
  <c r="W49" i="13"/>
  <c r="P51" i="13"/>
  <c r="O9" i="13"/>
  <c r="U10" i="13"/>
  <c r="O13" i="13"/>
  <c r="O20" i="13"/>
  <c r="O24" i="13"/>
  <c r="U25" i="13"/>
  <c r="P5" i="11"/>
  <c r="O5" i="11"/>
  <c r="O6" i="11"/>
  <c r="P30" i="11"/>
  <c r="O30" i="11"/>
  <c r="P34" i="11"/>
  <c r="O34" i="11"/>
  <c r="P38" i="11"/>
  <c r="O38" i="11"/>
  <c r="P45" i="11"/>
  <c r="O45" i="11"/>
  <c r="P49" i="11"/>
  <c r="O49" i="11"/>
  <c r="W5" i="11"/>
  <c r="P12" i="11"/>
  <c r="O12" i="11"/>
  <c r="X12" i="11"/>
  <c r="I64" i="17" s="1"/>
  <c r="J64" i="17" s="1"/>
  <c r="P13" i="11"/>
  <c r="O13" i="11"/>
  <c r="P18" i="11"/>
  <c r="P6" i="11"/>
  <c r="O7" i="11"/>
  <c r="P8" i="11"/>
  <c r="P10" i="11"/>
  <c r="P19" i="11"/>
  <c r="O19" i="11"/>
  <c r="P21" i="11"/>
  <c r="P23" i="11"/>
  <c r="O23" i="11"/>
  <c r="P24" i="11"/>
  <c r="O24" i="11"/>
  <c r="P32" i="11"/>
  <c r="O32" i="11"/>
  <c r="P36" i="11"/>
  <c r="O36" i="11"/>
  <c r="P43" i="11"/>
  <c r="O43" i="11"/>
  <c r="P47" i="11"/>
  <c r="O47" i="11"/>
  <c r="P51" i="11"/>
  <c r="O51" i="11"/>
  <c r="U8" i="11"/>
  <c r="Z8" i="11" s="1"/>
  <c r="AB8" i="11" s="1"/>
  <c r="W8" i="11"/>
  <c r="P9" i="11"/>
  <c r="O9" i="11"/>
  <c r="U9" i="11"/>
  <c r="Z9" i="11" s="1"/>
  <c r="AB9" i="11" s="1"/>
  <c r="O11" i="11"/>
  <c r="X19" i="11"/>
  <c r="P20" i="11"/>
  <c r="O20" i="11"/>
  <c r="U20" i="11"/>
  <c r="Z20" i="11" s="1"/>
  <c r="AB20" i="11" s="1"/>
  <c r="O22" i="11"/>
  <c r="O26" i="11"/>
  <c r="P31" i="11"/>
  <c r="O31" i="11"/>
  <c r="P35" i="11"/>
  <c r="O35" i="11"/>
  <c r="O37" i="11"/>
  <c r="P39" i="11"/>
  <c r="O39" i="11"/>
  <c r="P46" i="11"/>
  <c r="O46" i="11"/>
  <c r="P50" i="11"/>
  <c r="O50" i="11"/>
  <c r="O52" i="11"/>
  <c r="P26" i="11"/>
  <c r="P33" i="11"/>
  <c r="P37" i="11"/>
  <c r="P44" i="11"/>
  <c r="P48" i="11"/>
  <c r="P52" i="11"/>
  <c r="W23" i="11"/>
  <c r="W30" i="11"/>
  <c r="X34" i="11"/>
  <c r="X38" i="11"/>
  <c r="I52" i="17" s="1"/>
  <c r="J52" i="17" s="1"/>
  <c r="W45" i="11"/>
  <c r="W49" i="11"/>
  <c r="Y52" i="11"/>
  <c r="AA52" i="11" s="1"/>
  <c r="Y44" i="11"/>
  <c r="AA44" i="11" s="1"/>
  <c r="Y46" i="11"/>
  <c r="AA46" i="11" s="1"/>
  <c r="Y35" i="11"/>
  <c r="AA35" i="11" s="1"/>
  <c r="I69" i="15" l="1"/>
  <c r="J69" i="15" s="1"/>
  <c r="I80" i="15"/>
  <c r="J80" i="15" s="1"/>
  <c r="X49" i="11"/>
  <c r="Y49" i="11" s="1"/>
  <c r="AA49" i="11" s="1"/>
  <c r="AD49" i="11"/>
  <c r="AF49" i="11" s="1"/>
  <c r="X30" i="11"/>
  <c r="AD30" i="11"/>
  <c r="X51" i="13"/>
  <c r="AF51" i="13"/>
  <c r="AH51" i="13" s="1"/>
  <c r="J17" i="15" s="1"/>
  <c r="I67" i="15"/>
  <c r="J67" i="15" s="1"/>
  <c r="I68" i="15"/>
  <c r="J68" i="15" s="1"/>
  <c r="I81" i="15"/>
  <c r="J81" i="15" s="1"/>
  <c r="Z51" i="14"/>
  <c r="AB51" i="14" s="1"/>
  <c r="Z52" i="14"/>
  <c r="AB52" i="14" s="1"/>
  <c r="AH52" i="14" s="1"/>
  <c r="J20" i="16" s="1"/>
  <c r="Y52" i="14"/>
  <c r="AA52" i="14" s="1"/>
  <c r="Z22" i="14"/>
  <c r="AB22" i="14" s="1"/>
  <c r="AB6" i="14"/>
  <c r="Z6" i="14"/>
  <c r="Z46" i="14"/>
  <c r="AB46" i="14" s="1"/>
  <c r="AD36" i="14"/>
  <c r="AF36" i="14" s="1"/>
  <c r="X36" i="14"/>
  <c r="Z24" i="14"/>
  <c r="AB24" i="14" s="1"/>
  <c r="AH24" i="14" s="1"/>
  <c r="J35" i="16" s="1"/>
  <c r="Y24" i="14"/>
  <c r="AA24" i="14" s="1"/>
  <c r="Z20" i="14"/>
  <c r="AB20" i="14" s="1"/>
  <c r="AH20" i="14" s="1"/>
  <c r="J31" i="16" s="1"/>
  <c r="Y20" i="14"/>
  <c r="AA20" i="14" s="1"/>
  <c r="V46" i="13"/>
  <c r="AF35" i="13"/>
  <c r="X18" i="13"/>
  <c r="AF18" i="13"/>
  <c r="AH18" i="13" s="1"/>
  <c r="X47" i="11"/>
  <c r="Y47" i="11" s="1"/>
  <c r="AA47" i="11" s="1"/>
  <c r="AD47" i="11"/>
  <c r="V12" i="11"/>
  <c r="Z12" i="11"/>
  <c r="AB12" i="11" s="1"/>
  <c r="X9" i="11"/>
  <c r="AD9" i="11"/>
  <c r="AF9" i="11" s="1"/>
  <c r="AH9" i="11" s="1"/>
  <c r="J27" i="17" s="1"/>
  <c r="AC49" i="14"/>
  <c r="AE49" i="14" s="1"/>
  <c r="AG49" i="14" s="1"/>
  <c r="I16" i="16" s="1"/>
  <c r="I62" i="16"/>
  <c r="J62" i="16" s="1"/>
  <c r="AD43" i="14"/>
  <c r="AF43" i="14" s="1"/>
  <c r="X43" i="14"/>
  <c r="AC43" i="14" s="1"/>
  <c r="AE43" i="14" s="1"/>
  <c r="AG43" i="14" s="1"/>
  <c r="V34" i="14"/>
  <c r="Z34" i="14"/>
  <c r="AB34" i="14" s="1"/>
  <c r="Z7" i="14"/>
  <c r="AB7" i="14" s="1"/>
  <c r="AF38" i="13"/>
  <c r="AH38" i="13" s="1"/>
  <c r="J26" i="15" s="1"/>
  <c r="I62" i="15"/>
  <c r="J62" i="15" s="1"/>
  <c r="I78" i="15"/>
  <c r="J78" i="15" s="1"/>
  <c r="AF20" i="13"/>
  <c r="AF12" i="13"/>
  <c r="Z47" i="11"/>
  <c r="AB47" i="11" s="1"/>
  <c r="Z22" i="11"/>
  <c r="AB22" i="11" s="1"/>
  <c r="AH18" i="11"/>
  <c r="AD17" i="11"/>
  <c r="AF17" i="11" s="1"/>
  <c r="X17" i="11"/>
  <c r="Z49" i="14"/>
  <c r="Y49" i="14"/>
  <c r="AA49" i="14" s="1"/>
  <c r="Y30" i="14"/>
  <c r="AA30" i="14" s="1"/>
  <c r="AC24" i="14"/>
  <c r="AE24" i="14" s="1"/>
  <c r="I81" i="16"/>
  <c r="J81" i="16" s="1"/>
  <c r="X52" i="13"/>
  <c r="AF52" i="13"/>
  <c r="AH52" i="13" s="1"/>
  <c r="J19" i="15" s="1"/>
  <c r="V43" i="13"/>
  <c r="AF21" i="13"/>
  <c r="AH21" i="13" s="1"/>
  <c r="J29" i="15" s="1"/>
  <c r="X21" i="13"/>
  <c r="AF5" i="13"/>
  <c r="AH5" i="13" s="1"/>
  <c r="Z49" i="11"/>
  <c r="AB49" i="11" s="1"/>
  <c r="AD44" i="11"/>
  <c r="AD38" i="11"/>
  <c r="AF38" i="11" s="1"/>
  <c r="Z33" i="11"/>
  <c r="AB33" i="11" s="1"/>
  <c r="X50" i="14"/>
  <c r="AD50" i="14"/>
  <c r="AF50" i="14" s="1"/>
  <c r="X35" i="14"/>
  <c r="AD35" i="14"/>
  <c r="AF35" i="14" s="1"/>
  <c r="AD25" i="14"/>
  <c r="AF25" i="14" s="1"/>
  <c r="X25" i="14"/>
  <c r="X12" i="14"/>
  <c r="AD12" i="14"/>
  <c r="AF12" i="14" s="1"/>
  <c r="X8" i="14"/>
  <c r="AD8" i="14"/>
  <c r="AF8" i="14" s="1"/>
  <c r="Z5" i="14"/>
  <c r="AB5" i="14" s="1"/>
  <c r="Z39" i="11"/>
  <c r="AB39" i="11" s="1"/>
  <c r="Z11" i="11"/>
  <c r="AB11" i="11" s="1"/>
  <c r="AD4" i="11"/>
  <c r="AF4" i="11" s="1"/>
  <c r="X22" i="11"/>
  <c r="I53" i="17" s="1"/>
  <c r="J53" i="17" s="1"/>
  <c r="X23" i="11"/>
  <c r="I55" i="17" s="1"/>
  <c r="J55" i="17" s="1"/>
  <c r="AD23" i="11"/>
  <c r="AF23" i="11" s="1"/>
  <c r="X6" i="13"/>
  <c r="AF6" i="13"/>
  <c r="AH6" i="13" s="1"/>
  <c r="J33" i="15" s="1"/>
  <c r="I66" i="15"/>
  <c r="J66" i="15" s="1"/>
  <c r="X45" i="13"/>
  <c r="AF45" i="13"/>
  <c r="AH45" i="13" s="1"/>
  <c r="Z25" i="14"/>
  <c r="AB17" i="14"/>
  <c r="AH17" i="14" s="1"/>
  <c r="Z17" i="14"/>
  <c r="Y17" i="14"/>
  <c r="AA17" i="14" s="1"/>
  <c r="Z18" i="14"/>
  <c r="AB18" i="14" s="1"/>
  <c r="X46" i="14"/>
  <c r="AD46" i="14"/>
  <c r="AF46" i="14" s="1"/>
  <c r="X33" i="14"/>
  <c r="AD33" i="14"/>
  <c r="AF33" i="14" s="1"/>
  <c r="X23" i="14"/>
  <c r="AF23" i="14"/>
  <c r="X19" i="14"/>
  <c r="AD19" i="14"/>
  <c r="AF19" i="14" s="1"/>
  <c r="AH19" i="14" s="1"/>
  <c r="J30" i="16" s="1"/>
  <c r="X50" i="13"/>
  <c r="AF50" i="13"/>
  <c r="AH50" i="13" s="1"/>
  <c r="J16" i="15" s="1"/>
  <c r="AF46" i="13"/>
  <c r="AH46" i="13" s="1"/>
  <c r="J12" i="15" s="1"/>
  <c r="X46" i="13"/>
  <c r="AF34" i="13"/>
  <c r="AH34" i="13" s="1"/>
  <c r="J22" i="15" s="1"/>
  <c r="V39" i="13"/>
  <c r="V45" i="13"/>
  <c r="V50" i="13"/>
  <c r="V32" i="13"/>
  <c r="V30" i="13"/>
  <c r="V21" i="13"/>
  <c r="V25" i="13"/>
  <c r="V6" i="13"/>
  <c r="V10" i="13"/>
  <c r="V4" i="13"/>
  <c r="V33" i="13"/>
  <c r="V22" i="13"/>
  <c r="V26" i="13"/>
  <c r="V11" i="13"/>
  <c r="V48" i="13"/>
  <c r="V34" i="13"/>
  <c r="V23" i="13"/>
  <c r="V8" i="13"/>
  <c r="V13" i="13"/>
  <c r="V47" i="13"/>
  <c r="V51" i="13"/>
  <c r="V18" i="13"/>
  <c r="V7" i="13"/>
  <c r="V52" i="13"/>
  <c r="V19" i="13"/>
  <c r="V17" i="13"/>
  <c r="V12" i="13"/>
  <c r="V9" i="13"/>
  <c r="V37" i="13"/>
  <c r="V49" i="13"/>
  <c r="V31" i="13"/>
  <c r="V35" i="13"/>
  <c r="V20" i="13"/>
  <c r="V24" i="13"/>
  <c r="V5" i="13"/>
  <c r="AF7" i="13"/>
  <c r="X43" i="11"/>
  <c r="AD43" i="11"/>
  <c r="V25" i="11"/>
  <c r="Z25" i="11"/>
  <c r="AB25" i="11" s="1"/>
  <c r="V48" i="14"/>
  <c r="Z48" i="14"/>
  <c r="AB48" i="14" s="1"/>
  <c r="V37" i="14"/>
  <c r="Z37" i="14"/>
  <c r="X34" i="14"/>
  <c r="AF34" i="14"/>
  <c r="Z23" i="14"/>
  <c r="AB23" i="14" s="1"/>
  <c r="AC6" i="14"/>
  <c r="AE6" i="14" s="1"/>
  <c r="AG6" i="14" s="1"/>
  <c r="I39" i="16" s="1"/>
  <c r="I85" i="16"/>
  <c r="J85" i="16" s="1"/>
  <c r="V38" i="13"/>
  <c r="AF33" i="13"/>
  <c r="AF26" i="13"/>
  <c r="AF22" i="13"/>
  <c r="AH22" i="13" s="1"/>
  <c r="J30" i="15" s="1"/>
  <c r="AH20" i="13"/>
  <c r="J28" i="15" s="1"/>
  <c r="Z43" i="11"/>
  <c r="AB43" i="11" s="1"/>
  <c r="X20" i="11"/>
  <c r="AF20" i="11"/>
  <c r="AH20" i="11" s="1"/>
  <c r="Z13" i="11"/>
  <c r="AB13" i="11" s="1"/>
  <c r="V47" i="11"/>
  <c r="V51" i="11"/>
  <c r="V32" i="11"/>
  <c r="V36" i="11"/>
  <c r="V30" i="11"/>
  <c r="V21" i="11"/>
  <c r="V26" i="11"/>
  <c r="V7" i="11"/>
  <c r="V11" i="11"/>
  <c r="V44" i="11"/>
  <c r="V48" i="11"/>
  <c r="V52" i="11"/>
  <c r="V33" i="11"/>
  <c r="V37" i="11"/>
  <c r="V18" i="11"/>
  <c r="V22" i="11"/>
  <c r="V17" i="11"/>
  <c r="V8" i="11"/>
  <c r="V13" i="11"/>
  <c r="V50" i="11"/>
  <c r="V35" i="11"/>
  <c r="V20" i="11"/>
  <c r="V6" i="11"/>
  <c r="V45" i="11"/>
  <c r="V43" i="11"/>
  <c r="V38" i="11"/>
  <c r="V23" i="11"/>
  <c r="V9" i="11"/>
  <c r="V46" i="11"/>
  <c r="V31" i="11"/>
  <c r="V39" i="11"/>
  <c r="V24" i="11"/>
  <c r="V10" i="11"/>
  <c r="V49" i="11"/>
  <c r="V34" i="11"/>
  <c r="V19" i="11"/>
  <c r="V5" i="11"/>
  <c r="V4" i="11"/>
  <c r="X44" i="14"/>
  <c r="AD44" i="14"/>
  <c r="AF44" i="14" s="1"/>
  <c r="V11" i="14"/>
  <c r="AB11" i="14"/>
  <c r="Z11" i="14"/>
  <c r="AF43" i="13"/>
  <c r="V36" i="13"/>
  <c r="AH26" i="13"/>
  <c r="J35" i="15" s="1"/>
  <c r="AF17" i="13"/>
  <c r="AH17" i="13" s="1"/>
  <c r="X17" i="13"/>
  <c r="Z38" i="11"/>
  <c r="AB38" i="11" s="1"/>
  <c r="AB45" i="14"/>
  <c r="Z45" i="14"/>
  <c r="Z32" i="14"/>
  <c r="AB32" i="14" s="1"/>
  <c r="AD21" i="14"/>
  <c r="AF21" i="14" s="1"/>
  <c r="X21" i="14"/>
  <c r="AB12" i="14"/>
  <c r="Z12" i="14"/>
  <c r="V8" i="14"/>
  <c r="Z8" i="14"/>
  <c r="AB8" i="14" s="1"/>
  <c r="V44" i="13"/>
  <c r="Z50" i="11"/>
  <c r="AB50" i="11" s="1"/>
  <c r="X36" i="11"/>
  <c r="AB24" i="11"/>
  <c r="AD21" i="11"/>
  <c r="AF21" i="11" s="1"/>
  <c r="AB4" i="11"/>
  <c r="X45" i="11"/>
  <c r="Y45" i="11" s="1"/>
  <c r="AA45" i="11" s="1"/>
  <c r="AD45" i="11"/>
  <c r="X8" i="11"/>
  <c r="AD8" i="11"/>
  <c r="AF8" i="11" s="1"/>
  <c r="AH8" i="11" s="1"/>
  <c r="J25" i="17" s="1"/>
  <c r="X49" i="13"/>
  <c r="AF49" i="13"/>
  <c r="AH49" i="13" s="1"/>
  <c r="J15" i="15" s="1"/>
  <c r="X30" i="13"/>
  <c r="AF30" i="13"/>
  <c r="AH30" i="13" s="1"/>
  <c r="X32" i="13"/>
  <c r="AF32" i="13"/>
  <c r="I71" i="15"/>
  <c r="J71" i="15" s="1"/>
  <c r="X24" i="13"/>
  <c r="AF24" i="13"/>
  <c r="AB33" i="14"/>
  <c r="Z33" i="14"/>
  <c r="Y33" i="14"/>
  <c r="AA33" i="14" s="1"/>
  <c r="Z47" i="14"/>
  <c r="AB47" i="14" s="1"/>
  <c r="X39" i="14"/>
  <c r="AD39" i="14"/>
  <c r="AF39" i="14" s="1"/>
  <c r="AH39" i="14" s="1"/>
  <c r="J28" i="16" s="1"/>
  <c r="AB31" i="14"/>
  <c r="Z31" i="14"/>
  <c r="AD10" i="14"/>
  <c r="AF10" i="14" s="1"/>
  <c r="X10" i="14"/>
  <c r="X48" i="13"/>
  <c r="AF48" i="13"/>
  <c r="X11" i="13"/>
  <c r="AF11" i="13"/>
  <c r="AH25" i="11"/>
  <c r="J24" i="17" s="1"/>
  <c r="AH7" i="11"/>
  <c r="J23" i="17" s="1"/>
  <c r="Z23" i="11"/>
  <c r="AB23" i="11" s="1"/>
  <c r="AD51" i="14"/>
  <c r="AF51" i="14" s="1"/>
  <c r="X51" i="14"/>
  <c r="X48" i="14"/>
  <c r="Y48" i="14" s="1"/>
  <c r="AA48" i="14" s="1"/>
  <c r="AD48" i="14"/>
  <c r="AF48" i="14" s="1"/>
  <c r="X37" i="14"/>
  <c r="AD37" i="14"/>
  <c r="AF37" i="14" s="1"/>
  <c r="I88" i="16"/>
  <c r="J88" i="16" s="1"/>
  <c r="AC9" i="14"/>
  <c r="AE9" i="14" s="1"/>
  <c r="AH6" i="14"/>
  <c r="J39" i="16" s="1"/>
  <c r="I65" i="15"/>
  <c r="J65" i="15" s="1"/>
  <c r="I79" i="15"/>
  <c r="J79" i="15" s="1"/>
  <c r="I74" i="15"/>
  <c r="J74" i="15" s="1"/>
  <c r="AF8" i="13"/>
  <c r="Z51" i="11"/>
  <c r="Z37" i="11"/>
  <c r="AB37" i="11" s="1"/>
  <c r="X31" i="11"/>
  <c r="Y31" i="11" s="1"/>
  <c r="AA31" i="11" s="1"/>
  <c r="AD31" i="11"/>
  <c r="X18" i="11"/>
  <c r="AD13" i="11"/>
  <c r="AF13" i="11" s="1"/>
  <c r="AH13" i="11" s="1"/>
  <c r="J31" i="17" s="1"/>
  <c r="X13" i="11"/>
  <c r="AD6" i="11"/>
  <c r="AF6" i="11" s="1"/>
  <c r="V44" i="14"/>
  <c r="AB44" i="14"/>
  <c r="Z44" i="14"/>
  <c r="Y44" i="14"/>
  <c r="AA44" i="14" s="1"/>
  <c r="AC20" i="14"/>
  <c r="AE20" i="14" s="1"/>
  <c r="I77" i="16"/>
  <c r="J77" i="16" s="1"/>
  <c r="X11" i="14"/>
  <c r="AD11" i="14"/>
  <c r="AH11" i="14" s="1"/>
  <c r="J44" i="16" s="1"/>
  <c r="X43" i="13"/>
  <c r="AF36" i="13"/>
  <c r="AH36" i="13" s="1"/>
  <c r="J24" i="15" s="1"/>
  <c r="AH4" i="13"/>
  <c r="AD39" i="11"/>
  <c r="AF39" i="11" s="1"/>
  <c r="AH39" i="11" s="1"/>
  <c r="J20" i="17" s="1"/>
  <c r="Z35" i="11"/>
  <c r="AB35" i="11" s="1"/>
  <c r="AC52" i="14"/>
  <c r="AE52" i="14" s="1"/>
  <c r="AG52" i="14" s="1"/>
  <c r="I20" i="16" s="1"/>
  <c r="I66" i="16"/>
  <c r="J66" i="16" s="1"/>
  <c r="X45" i="14"/>
  <c r="AD45" i="14"/>
  <c r="AF45" i="14" s="1"/>
  <c r="AH45" i="14" s="1"/>
  <c r="AD32" i="14"/>
  <c r="AF32" i="14" s="1"/>
  <c r="X32" i="14"/>
  <c r="X18" i="14"/>
  <c r="AD18" i="14"/>
  <c r="AF18" i="14" s="1"/>
  <c r="AD4" i="14"/>
  <c r="AF4" i="14" s="1"/>
  <c r="X4" i="14"/>
  <c r="AC4" i="14" s="1"/>
  <c r="AE4" i="14" s="1"/>
  <c r="AF44" i="13"/>
  <c r="AH44" i="13" s="1"/>
  <c r="Z46" i="11"/>
  <c r="AB46" i="11" s="1"/>
  <c r="X32" i="11"/>
  <c r="AD32" i="11"/>
  <c r="AD24" i="11"/>
  <c r="AF24" i="11" s="1"/>
  <c r="AH24" i="11" s="1"/>
  <c r="J22" i="17" s="1"/>
  <c r="Z10" i="11"/>
  <c r="AB10" i="11" s="1"/>
  <c r="AH10" i="11" s="1"/>
  <c r="J28" i="17" s="1"/>
  <c r="Z31" i="11"/>
  <c r="AB31" i="11" s="1"/>
  <c r="Z21" i="11"/>
  <c r="AB21" i="11" s="1"/>
  <c r="Z48" i="11"/>
  <c r="AB48" i="11" s="1"/>
  <c r="X5" i="11"/>
  <c r="Y5" i="11" s="1"/>
  <c r="AA5" i="11" s="1"/>
  <c r="AD5" i="11"/>
  <c r="AF5" i="11" s="1"/>
  <c r="AE38" i="13"/>
  <c r="I70" i="15"/>
  <c r="J70" i="15" s="1"/>
  <c r="X23" i="13"/>
  <c r="AF23" i="13"/>
  <c r="AH23" i="13" s="1"/>
  <c r="J31" i="15" s="1"/>
  <c r="I72" i="15"/>
  <c r="J72" i="15" s="1"/>
  <c r="X13" i="13"/>
  <c r="AF13" i="13"/>
  <c r="X9" i="13"/>
  <c r="AF9" i="13"/>
  <c r="AH9" i="13" s="1"/>
  <c r="J38" i="15" s="1"/>
  <c r="AB21" i="14"/>
  <c r="Z21" i="14"/>
  <c r="Y21" i="14"/>
  <c r="AA21" i="14" s="1"/>
  <c r="Z26" i="14"/>
  <c r="AB26" i="14" s="1"/>
  <c r="AF47" i="14"/>
  <c r="X47" i="14"/>
  <c r="V36" i="14"/>
  <c r="Z36" i="14"/>
  <c r="AB36" i="14" s="1"/>
  <c r="Y36" i="14"/>
  <c r="AA36" i="14" s="1"/>
  <c r="X26" i="14"/>
  <c r="Y26" i="14" s="1"/>
  <c r="AA26" i="14" s="1"/>
  <c r="AD26" i="14"/>
  <c r="AF26" i="14" s="1"/>
  <c r="X22" i="14"/>
  <c r="Y22" i="14" s="1"/>
  <c r="AA22" i="14" s="1"/>
  <c r="AD22" i="14"/>
  <c r="AF22" i="14" s="1"/>
  <c r="V10" i="14"/>
  <c r="Z10" i="14"/>
  <c r="AB10" i="14" s="1"/>
  <c r="AH35" i="13"/>
  <c r="J23" i="15" s="1"/>
  <c r="AF19" i="13"/>
  <c r="X51" i="11"/>
  <c r="AD51" i="11"/>
  <c r="AF51" i="11" s="1"/>
  <c r="AH51" i="11" s="1"/>
  <c r="J12" i="17" s="1"/>
  <c r="Z36" i="11"/>
  <c r="AH36" i="11" s="1"/>
  <c r="J15" i="17" s="1"/>
  <c r="AH12" i="11"/>
  <c r="J30" i="17" s="1"/>
  <c r="Z5" i="11"/>
  <c r="AB5" i="11" s="1"/>
  <c r="AH49" i="14"/>
  <c r="J16" i="16" s="1"/>
  <c r="AB43" i="14"/>
  <c r="Z43" i="14"/>
  <c r="Y43" i="14"/>
  <c r="AA43" i="14" s="1"/>
  <c r="Z35" i="14"/>
  <c r="AB35" i="14" s="1"/>
  <c r="Y35" i="14"/>
  <c r="AA35" i="14" s="1"/>
  <c r="AH30" i="14"/>
  <c r="I92" i="16"/>
  <c r="J92" i="16" s="1"/>
  <c r="AC13" i="14"/>
  <c r="AE13" i="14" s="1"/>
  <c r="AG13" i="14" s="1"/>
  <c r="I46" i="16" s="1"/>
  <c r="X7" i="14"/>
  <c r="AD7" i="14"/>
  <c r="AF7" i="14" s="1"/>
  <c r="AF39" i="13"/>
  <c r="AF37" i="13"/>
  <c r="AH37" i="13" s="1"/>
  <c r="J25" i="15" s="1"/>
  <c r="AF31" i="13"/>
  <c r="AH31" i="13" s="1"/>
  <c r="J18" i="15" s="1"/>
  <c r="AF25" i="13"/>
  <c r="AH25" i="13" s="1"/>
  <c r="J34" i="15" s="1"/>
  <c r="X48" i="11"/>
  <c r="Y48" i="11" s="1"/>
  <c r="AA48" i="11" s="1"/>
  <c r="AD48" i="11"/>
  <c r="AH37" i="11"/>
  <c r="J16" i="17" s="1"/>
  <c r="Z34" i="11"/>
  <c r="AB34" i="11" s="1"/>
  <c r="AH34" i="11" s="1"/>
  <c r="Z30" i="11"/>
  <c r="AB30" i="11" s="1"/>
  <c r="AH22" i="11"/>
  <c r="J19" i="17" s="1"/>
  <c r="Z19" i="11"/>
  <c r="AB19" i="11" s="1"/>
  <c r="AH19" i="11" s="1"/>
  <c r="Z17" i="11"/>
  <c r="AB17" i="11" s="1"/>
  <c r="AC38" i="14"/>
  <c r="AE38" i="14" s="1"/>
  <c r="AG38" i="14" s="1"/>
  <c r="I27" i="16" s="1"/>
  <c r="I73" i="16"/>
  <c r="J73" i="16" s="1"/>
  <c r="AC17" i="14"/>
  <c r="AE17" i="14" s="1"/>
  <c r="AF47" i="13"/>
  <c r="AH47" i="13" s="1"/>
  <c r="J13" i="15" s="1"/>
  <c r="AH33" i="13"/>
  <c r="J21" i="15" s="1"/>
  <c r="AF10" i="13"/>
  <c r="X10" i="13"/>
  <c r="X50" i="11"/>
  <c r="AD50" i="11"/>
  <c r="AF50" i="11" s="1"/>
  <c r="AH50" i="11" s="1"/>
  <c r="J11" i="17" s="1"/>
  <c r="Z45" i="11"/>
  <c r="AB45" i="11" s="1"/>
  <c r="AD35" i="11"/>
  <c r="AF35" i="11" s="1"/>
  <c r="AH35" i="11" s="1"/>
  <c r="J14" i="17" s="1"/>
  <c r="V50" i="14"/>
  <c r="Z50" i="14"/>
  <c r="AB50" i="14" s="1"/>
  <c r="Z38" i="14"/>
  <c r="AB38" i="14" s="1"/>
  <c r="AH38" i="14" s="1"/>
  <c r="J27" i="16" s="1"/>
  <c r="Y38" i="14"/>
  <c r="AA38" i="14" s="1"/>
  <c r="X31" i="14"/>
  <c r="AD31" i="14"/>
  <c r="AF31" i="14" s="1"/>
  <c r="AH31" i="14" s="1"/>
  <c r="J18" i="16" s="1"/>
  <c r="V7" i="14"/>
  <c r="Z13" i="14"/>
  <c r="AH13" i="14" s="1"/>
  <c r="J46" i="16" s="1"/>
  <c r="V12" i="14"/>
  <c r="V47" i="14"/>
  <c r="V43" i="14"/>
  <c r="V35" i="14"/>
  <c r="V18" i="14"/>
  <c r="V22" i="14"/>
  <c r="V26" i="14"/>
  <c r="V9" i="14"/>
  <c r="V45" i="14"/>
  <c r="V49" i="14"/>
  <c r="V31" i="14"/>
  <c r="V38" i="14"/>
  <c r="V19" i="14"/>
  <c r="V23" i="14"/>
  <c r="V17" i="14"/>
  <c r="V13" i="14"/>
  <c r="V51" i="14"/>
  <c r="V32" i="14"/>
  <c r="V39" i="14"/>
  <c r="V20" i="14"/>
  <c r="V24" i="14"/>
  <c r="V5" i="14"/>
  <c r="V4" i="14"/>
  <c r="V46" i="14"/>
  <c r="V52" i="14"/>
  <c r="V33" i="14"/>
  <c r="V30" i="14"/>
  <c r="V21" i="14"/>
  <c r="V25" i="14"/>
  <c r="V6" i="14"/>
  <c r="Z9" i="14"/>
  <c r="AB9" i="14" s="1"/>
  <c r="AH9" i="14" s="1"/>
  <c r="J42" i="16" s="1"/>
  <c r="X5" i="14"/>
  <c r="AD5" i="14"/>
  <c r="AF5" i="14" s="1"/>
  <c r="Z4" i="14"/>
  <c r="AB4" i="14" s="1"/>
  <c r="Z44" i="11"/>
  <c r="AB44" i="11" s="1"/>
  <c r="X25" i="11"/>
  <c r="I58" i="17" s="1"/>
  <c r="J58" i="17" s="1"/>
  <c r="AD11" i="11"/>
  <c r="AF11" i="11" s="1"/>
  <c r="AH11" i="11" s="1"/>
  <c r="J29" i="17" s="1"/>
  <c r="Z6" i="11"/>
  <c r="AB6" i="11" s="1"/>
  <c r="Z26" i="11"/>
  <c r="AB26" i="11" s="1"/>
  <c r="AH26" i="11" s="1"/>
  <c r="J26" i="17" s="1"/>
  <c r="X21" i="11"/>
  <c r="I51" i="17" s="1"/>
  <c r="J51" i="17" s="1"/>
  <c r="Z52" i="11"/>
  <c r="AB52" i="11" s="1"/>
  <c r="AH52" i="11" s="1"/>
  <c r="J13" i="17" s="1"/>
  <c r="AC50" i="14"/>
  <c r="AE50" i="14" s="1"/>
  <c r="Y50" i="14"/>
  <c r="AA50" i="14" s="1"/>
  <c r="I63" i="16"/>
  <c r="J63" i="16" s="1"/>
  <c r="Y7" i="14"/>
  <c r="AA7" i="14" s="1"/>
  <c r="Y9" i="14"/>
  <c r="AA9" i="14" s="1"/>
  <c r="AG9" i="14" s="1"/>
  <c r="I42" i="16" s="1"/>
  <c r="Y4" i="14"/>
  <c r="AA4" i="14" s="1"/>
  <c r="Y5" i="14"/>
  <c r="AA5" i="14" s="1"/>
  <c r="AG30" i="14"/>
  <c r="Y8" i="14"/>
  <c r="AA8" i="14" s="1"/>
  <c r="Y11" i="11"/>
  <c r="AA11" i="11" s="1"/>
  <c r="Y22" i="11"/>
  <c r="AA22" i="11" s="1"/>
  <c r="Y20" i="11"/>
  <c r="AA20" i="11" s="1"/>
  <c r="Y10" i="11"/>
  <c r="AA10" i="11" s="1"/>
  <c r="Y21" i="11"/>
  <c r="AA21" i="11" s="1"/>
  <c r="Y13" i="11"/>
  <c r="AA13" i="11" s="1"/>
  <c r="Y38" i="11"/>
  <c r="AA38" i="11" s="1"/>
  <c r="Y39" i="11"/>
  <c r="AA39" i="11" s="1"/>
  <c r="Y30" i="11"/>
  <c r="Y32" i="11"/>
  <c r="AA32" i="11" s="1"/>
  <c r="Y18" i="11"/>
  <c r="AA18" i="11" s="1"/>
  <c r="Y26" i="11"/>
  <c r="AA26" i="11" s="1"/>
  <c r="Y19" i="11"/>
  <c r="AA19" i="11" s="1"/>
  <c r="Y23" i="11"/>
  <c r="AA23" i="11" s="1"/>
  <c r="Y12" i="11"/>
  <c r="AA12" i="11" s="1"/>
  <c r="Y4" i="11"/>
  <c r="AA4" i="11" s="1"/>
  <c r="Y24" i="11"/>
  <c r="AA24" i="11" s="1"/>
  <c r="Y43" i="11"/>
  <c r="AA43" i="11" s="1"/>
  <c r="Y33" i="11"/>
  <c r="AA33" i="11" s="1"/>
  <c r="Y7" i="11"/>
  <c r="AA7" i="11" s="1"/>
  <c r="Y37" i="11"/>
  <c r="AA37" i="11" s="1"/>
  <c r="Y17" i="11"/>
  <c r="AA17" i="11" s="1"/>
  <c r="Y25" i="11"/>
  <c r="AA25" i="11" s="1"/>
  <c r="AA30" i="11"/>
  <c r="Y34" i="11"/>
  <c r="AA34" i="11" s="1"/>
  <c r="AH11" i="13" l="1"/>
  <c r="J40" i="15" s="1"/>
  <c r="AG12" i="13"/>
  <c r="I41" i="15" s="1"/>
  <c r="I86" i="16"/>
  <c r="J86" i="16" s="1"/>
  <c r="AC7" i="14"/>
  <c r="AE7" i="14" s="1"/>
  <c r="AH22" i="14"/>
  <c r="J33" i="16" s="1"/>
  <c r="AC47" i="14"/>
  <c r="AE47" i="14" s="1"/>
  <c r="I60" i="16"/>
  <c r="J60" i="16" s="1"/>
  <c r="I86" i="15"/>
  <c r="J86" i="15" s="1"/>
  <c r="AE5" i="13"/>
  <c r="AG5" i="13" s="1"/>
  <c r="AE47" i="13"/>
  <c r="AG47" i="13" s="1"/>
  <c r="I13" i="15" s="1"/>
  <c r="AE4" i="13"/>
  <c r="AG4" i="13" s="1"/>
  <c r="AE8" i="13"/>
  <c r="AG8" i="13" s="1"/>
  <c r="I37" i="15" s="1"/>
  <c r="AE23" i="13"/>
  <c r="AG23" i="13" s="1"/>
  <c r="I31" i="15" s="1"/>
  <c r="I75" i="15"/>
  <c r="J75" i="15" s="1"/>
  <c r="AC18" i="14"/>
  <c r="AE18" i="14" s="1"/>
  <c r="I75" i="16"/>
  <c r="J75" i="16" s="1"/>
  <c r="AC45" i="14"/>
  <c r="AE45" i="14" s="1"/>
  <c r="I58" i="16"/>
  <c r="J58" i="16" s="1"/>
  <c r="I90" i="16"/>
  <c r="J90" i="16" s="1"/>
  <c r="AC11" i="14"/>
  <c r="AE11" i="14" s="1"/>
  <c r="AG11" i="14" s="1"/>
  <c r="Y11" i="14"/>
  <c r="AA11" i="14" s="1"/>
  <c r="AH6" i="11"/>
  <c r="AE33" i="13"/>
  <c r="AH37" i="14"/>
  <c r="J26" i="16" s="1"/>
  <c r="AC51" i="14"/>
  <c r="AE51" i="14" s="1"/>
  <c r="I65" i="16"/>
  <c r="J65" i="16" s="1"/>
  <c r="I58" i="15"/>
  <c r="J58" i="15" s="1"/>
  <c r="AE48" i="13"/>
  <c r="AG48" i="13" s="1"/>
  <c r="I14" i="15" s="1"/>
  <c r="Y47" i="14"/>
  <c r="AA47" i="14" s="1"/>
  <c r="AC21" i="14"/>
  <c r="AE21" i="14" s="1"/>
  <c r="AG21" i="14" s="1"/>
  <c r="I32" i="16" s="1"/>
  <c r="I78" i="16"/>
  <c r="J78" i="16" s="1"/>
  <c r="I56" i="15"/>
  <c r="J56" i="15" s="1"/>
  <c r="AE46" i="13"/>
  <c r="AG46" i="13" s="1"/>
  <c r="I12" i="15" s="1"/>
  <c r="AH33" i="14"/>
  <c r="J22" i="16" s="1"/>
  <c r="Y18" i="14"/>
  <c r="AA18" i="14" s="1"/>
  <c r="AE34" i="13"/>
  <c r="AG34" i="13" s="1"/>
  <c r="I22" i="15" s="1"/>
  <c r="AH4" i="11"/>
  <c r="I91" i="16"/>
  <c r="J91" i="16" s="1"/>
  <c r="AC12" i="14"/>
  <c r="AE12" i="14" s="1"/>
  <c r="Y12" i="14"/>
  <c r="AA12" i="14" s="1"/>
  <c r="AC35" i="14"/>
  <c r="AE35" i="14" s="1"/>
  <c r="AG35" i="14" s="1"/>
  <c r="I24" i="16" s="1"/>
  <c r="I70" i="16"/>
  <c r="J70" i="16" s="1"/>
  <c r="AH38" i="11"/>
  <c r="J18" i="17" s="1"/>
  <c r="AE21" i="13"/>
  <c r="AG21" i="13" s="1"/>
  <c r="I29" i="15" s="1"/>
  <c r="I73" i="15"/>
  <c r="J73" i="15" s="1"/>
  <c r="I63" i="15"/>
  <c r="J63" i="15" s="1"/>
  <c r="AE52" i="13"/>
  <c r="AE31" i="13"/>
  <c r="AG31" i="13" s="1"/>
  <c r="I18" i="15" s="1"/>
  <c r="I61" i="15"/>
  <c r="J61" i="15" s="1"/>
  <c r="AE51" i="13"/>
  <c r="AG33" i="13"/>
  <c r="I21" i="15" s="1"/>
  <c r="AE11" i="13"/>
  <c r="AG11" i="13" s="1"/>
  <c r="I40" i="15" s="1"/>
  <c r="AH5" i="14"/>
  <c r="J38" i="16" s="1"/>
  <c r="I45" i="17"/>
  <c r="J45" i="17" s="1"/>
  <c r="Y50" i="11"/>
  <c r="AA50" i="11" s="1"/>
  <c r="AC22" i="14"/>
  <c r="AE22" i="14" s="1"/>
  <c r="AG22" i="14" s="1"/>
  <c r="I33" i="16" s="1"/>
  <c r="I79" i="16"/>
  <c r="J79" i="16" s="1"/>
  <c r="AH47" i="14"/>
  <c r="J14" i="16" s="1"/>
  <c r="AG4" i="14"/>
  <c r="AC32" i="14"/>
  <c r="AE32" i="14" s="1"/>
  <c r="I67" i="16"/>
  <c r="J67" i="16" s="1"/>
  <c r="I65" i="17"/>
  <c r="J65" i="17" s="1"/>
  <c r="Y6" i="11"/>
  <c r="AA6" i="11" s="1"/>
  <c r="AE26" i="13"/>
  <c r="AG26" i="13" s="1"/>
  <c r="I35" i="15" s="1"/>
  <c r="AC37" i="14"/>
  <c r="AE37" i="14" s="1"/>
  <c r="I72" i="16"/>
  <c r="J72" i="16" s="1"/>
  <c r="Y37" i="14"/>
  <c r="AA37" i="14" s="1"/>
  <c r="AH51" i="14"/>
  <c r="J19" i="16" s="1"/>
  <c r="AC10" i="14"/>
  <c r="AE10" i="14" s="1"/>
  <c r="Y10" i="14"/>
  <c r="AA10" i="14" s="1"/>
  <c r="I89" i="16"/>
  <c r="J89" i="16" s="1"/>
  <c r="AH24" i="13"/>
  <c r="J32" i="15" s="1"/>
  <c r="AH32" i="13"/>
  <c r="J20" i="15" s="1"/>
  <c r="AE30" i="13"/>
  <c r="AG30" i="13" s="1"/>
  <c r="I59" i="17"/>
  <c r="J59" i="17" s="1"/>
  <c r="Y8" i="11"/>
  <c r="AA8" i="11" s="1"/>
  <c r="I49" i="17"/>
  <c r="J49" i="17" s="1"/>
  <c r="Y36" i="11"/>
  <c r="AA36" i="11" s="1"/>
  <c r="AH21" i="14"/>
  <c r="J32" i="16" s="1"/>
  <c r="Y45" i="14"/>
  <c r="AA45" i="14" s="1"/>
  <c r="AG45" i="14" s="1"/>
  <c r="I12" i="16" s="1"/>
  <c r="AH43" i="13"/>
  <c r="AG38" i="13"/>
  <c r="I26" i="15" s="1"/>
  <c r="AH34" i="14"/>
  <c r="J23" i="16" s="1"/>
  <c r="AC19" i="14"/>
  <c r="AE19" i="14" s="1"/>
  <c r="I76" i="16"/>
  <c r="J76" i="16" s="1"/>
  <c r="Y19" i="14"/>
  <c r="AA19" i="14" s="1"/>
  <c r="AC33" i="14"/>
  <c r="AE33" i="14" s="1"/>
  <c r="AG33" i="14" s="1"/>
  <c r="I22" i="16" s="1"/>
  <c r="I68" i="16"/>
  <c r="J68" i="16" s="1"/>
  <c r="AH8" i="14"/>
  <c r="J41" i="16" s="1"/>
  <c r="AC25" i="14"/>
  <c r="AE25" i="14" s="1"/>
  <c r="I82" i="16"/>
  <c r="J82" i="16" s="1"/>
  <c r="AH50" i="14"/>
  <c r="J17" i="16" s="1"/>
  <c r="AH17" i="11"/>
  <c r="AH43" i="14"/>
  <c r="AC36" i="14"/>
  <c r="AE36" i="14" s="1"/>
  <c r="AG36" i="14" s="1"/>
  <c r="I25" i="16" s="1"/>
  <c r="I71" i="16"/>
  <c r="J71" i="16" s="1"/>
  <c r="AE35" i="13"/>
  <c r="AG35" i="13" s="1"/>
  <c r="I23" i="15" s="1"/>
  <c r="AH49" i="11"/>
  <c r="AE13" i="13"/>
  <c r="AG13" i="13" s="1"/>
  <c r="I42" i="15" s="1"/>
  <c r="AG7" i="14"/>
  <c r="I40" i="16" s="1"/>
  <c r="I84" i="16"/>
  <c r="J84" i="16" s="1"/>
  <c r="AC5" i="14"/>
  <c r="AE5" i="14" s="1"/>
  <c r="AG5" i="14" s="1"/>
  <c r="I38" i="16" s="1"/>
  <c r="I83" i="15"/>
  <c r="J83" i="15" s="1"/>
  <c r="AE10" i="13"/>
  <c r="AG10" i="13" s="1"/>
  <c r="I39" i="15" s="1"/>
  <c r="AH19" i="13"/>
  <c r="AH26" i="14"/>
  <c r="J37" i="16" s="1"/>
  <c r="I82" i="15"/>
  <c r="J82" i="15" s="1"/>
  <c r="AE9" i="13"/>
  <c r="AH4" i="14"/>
  <c r="AH32" i="14"/>
  <c r="J21" i="16" s="1"/>
  <c r="AH8" i="13"/>
  <c r="J37" i="15" s="1"/>
  <c r="AH48" i="14"/>
  <c r="J15" i="16" s="1"/>
  <c r="AE44" i="13"/>
  <c r="AG44" i="13" s="1"/>
  <c r="AH10" i="14"/>
  <c r="J43" i="16" s="1"/>
  <c r="I76" i="15"/>
  <c r="J76" i="15" s="1"/>
  <c r="AE24" i="13"/>
  <c r="AG24" i="13" s="1"/>
  <c r="I32" i="15" s="1"/>
  <c r="AE32" i="13"/>
  <c r="AG32" i="13" s="1"/>
  <c r="I20" i="15" s="1"/>
  <c r="I64" i="15"/>
  <c r="J64" i="15" s="1"/>
  <c r="Y32" i="14"/>
  <c r="AA32" i="14" s="1"/>
  <c r="AH44" i="14"/>
  <c r="I69" i="16"/>
  <c r="J69" i="16" s="1"/>
  <c r="AC34" i="14"/>
  <c r="AE34" i="14" s="1"/>
  <c r="Y34" i="14"/>
  <c r="AA34" i="14" s="1"/>
  <c r="AH7" i="13"/>
  <c r="J36" i="15" s="1"/>
  <c r="AH23" i="14"/>
  <c r="J34" i="16" s="1"/>
  <c r="AH46" i="14"/>
  <c r="J13" i="16" s="1"/>
  <c r="Y25" i="14"/>
  <c r="AA25" i="14" s="1"/>
  <c r="AE45" i="13"/>
  <c r="AG45" i="13" s="1"/>
  <c r="AE6" i="13"/>
  <c r="AG6" i="13" s="1"/>
  <c r="I33" i="15" s="1"/>
  <c r="I77" i="15"/>
  <c r="J77" i="15" s="1"/>
  <c r="AC8" i="14"/>
  <c r="AE8" i="14" s="1"/>
  <c r="AG8" i="14" s="1"/>
  <c r="I41" i="16" s="1"/>
  <c r="I87" i="16"/>
  <c r="J87" i="16" s="1"/>
  <c r="AH25" i="14"/>
  <c r="J36" i="16" s="1"/>
  <c r="AE25" i="13"/>
  <c r="AG25" i="13" s="1"/>
  <c r="I34" i="15" s="1"/>
  <c r="I61" i="17"/>
  <c r="J61" i="17" s="1"/>
  <c r="Y9" i="11"/>
  <c r="AA9" i="11" s="1"/>
  <c r="AE18" i="13"/>
  <c r="AG18" i="13" s="1"/>
  <c r="AG24" i="14"/>
  <c r="I35" i="16" s="1"/>
  <c r="AH36" i="14"/>
  <c r="J25" i="16" s="1"/>
  <c r="Y51" i="14"/>
  <c r="AA51" i="14" s="1"/>
  <c r="AG51" i="14" s="1"/>
  <c r="I19" i="16" s="1"/>
  <c r="AE37" i="13"/>
  <c r="AG37" i="13" s="1"/>
  <c r="I25" i="15" s="1"/>
  <c r="AE7" i="13"/>
  <c r="AG7" i="13" s="1"/>
  <c r="I36" i="15" s="1"/>
  <c r="AC31" i="14"/>
  <c r="AE31" i="14" s="1"/>
  <c r="I64" i="16"/>
  <c r="J64" i="16" s="1"/>
  <c r="AH7" i="14"/>
  <c r="J40" i="16" s="1"/>
  <c r="I46" i="17"/>
  <c r="J46" i="17" s="1"/>
  <c r="Y51" i="11"/>
  <c r="AA51" i="11" s="1"/>
  <c r="AC26" i="14"/>
  <c r="AE26" i="14" s="1"/>
  <c r="AG26" i="14" s="1"/>
  <c r="I37" i="16" s="1"/>
  <c r="I83" i="16"/>
  <c r="J83" i="16" s="1"/>
  <c r="AH10" i="13"/>
  <c r="J39" i="15" s="1"/>
  <c r="AH5" i="11"/>
  <c r="AH18" i="14"/>
  <c r="J29" i="16" s="1"/>
  <c r="AG17" i="13"/>
  <c r="AE43" i="13"/>
  <c r="AG43" i="13" s="1"/>
  <c r="AE22" i="13"/>
  <c r="AH39" i="13"/>
  <c r="J27" i="15" s="1"/>
  <c r="AC48" i="14"/>
  <c r="AE48" i="14" s="1"/>
  <c r="AG48" i="14" s="1"/>
  <c r="I15" i="16" s="1"/>
  <c r="I61" i="16"/>
  <c r="J61" i="16" s="1"/>
  <c r="I84" i="15"/>
  <c r="J84" i="15" s="1"/>
  <c r="AH48" i="13"/>
  <c r="J14" i="15" s="1"/>
  <c r="Y31" i="14"/>
  <c r="AA31" i="14" s="1"/>
  <c r="AC39" i="14"/>
  <c r="AE39" i="14" s="1"/>
  <c r="I74" i="16"/>
  <c r="J74" i="16" s="1"/>
  <c r="Y39" i="14"/>
  <c r="AA39" i="14" s="1"/>
  <c r="AE39" i="13"/>
  <c r="AE49" i="13"/>
  <c r="AG49" i="13" s="1"/>
  <c r="I15" i="15" s="1"/>
  <c r="I59" i="15"/>
  <c r="J59" i="15" s="1"/>
  <c r="AH21" i="11"/>
  <c r="J17" i="17" s="1"/>
  <c r="AC44" i="14"/>
  <c r="AE44" i="14" s="1"/>
  <c r="AG44" i="14" s="1"/>
  <c r="I11" i="16" s="1"/>
  <c r="I57" i="16"/>
  <c r="J57" i="16" s="1"/>
  <c r="AH13" i="13"/>
  <c r="J42" i="15" s="1"/>
  <c r="AE50" i="13"/>
  <c r="I60" i="15"/>
  <c r="J60" i="15" s="1"/>
  <c r="AC23" i="14"/>
  <c r="AE23" i="14" s="1"/>
  <c r="I80" i="16"/>
  <c r="J80" i="16" s="1"/>
  <c r="Y23" i="14"/>
  <c r="AA23" i="14" s="1"/>
  <c r="AC46" i="14"/>
  <c r="AE46" i="14" s="1"/>
  <c r="I59" i="16"/>
  <c r="J59" i="16" s="1"/>
  <c r="AG17" i="14"/>
  <c r="AH23" i="11"/>
  <c r="J21" i="17" s="1"/>
  <c r="AH12" i="14"/>
  <c r="J45" i="16" s="1"/>
  <c r="AH35" i="14"/>
  <c r="J24" i="16" s="1"/>
  <c r="AH12" i="13"/>
  <c r="J41" i="15" s="1"/>
  <c r="AG20" i="14"/>
  <c r="I31" i="16" s="1"/>
  <c r="Y46" i="14"/>
  <c r="AA46" i="14" s="1"/>
  <c r="AE36" i="13"/>
  <c r="AG50" i="14"/>
  <c r="I17" i="16" s="1"/>
  <c r="I28" i="15"/>
  <c r="AG18" i="14" l="1"/>
  <c r="I29" i="16" s="1"/>
  <c r="AG46" i="14"/>
  <c r="I13" i="16" s="1"/>
  <c r="AG25" i="14"/>
  <c r="I36" i="16" s="1"/>
  <c r="AG34" i="14"/>
  <c r="I23" i="16" s="1"/>
  <c r="AG47" i="14"/>
  <c r="I14" i="16" s="1"/>
  <c r="AG32" i="14"/>
  <c r="I21" i="16" s="1"/>
  <c r="AG31" i="14"/>
  <c r="I18" i="16" s="1"/>
  <c r="AG23" i="14"/>
  <c r="I34" i="16" s="1"/>
  <c r="I44" i="16"/>
  <c r="AG50" i="13"/>
  <c r="I16" i="15" s="1"/>
  <c r="AG9" i="13"/>
  <c r="I38" i="15" s="1"/>
  <c r="AG19" i="14"/>
  <c r="I30" i="16" s="1"/>
  <c r="AG39" i="13"/>
  <c r="I27" i="15" s="1"/>
  <c r="AG52" i="13"/>
  <c r="I19" i="15" s="1"/>
  <c r="AG39" i="14"/>
  <c r="I28" i="16" s="1"/>
  <c r="AG37" i="14"/>
  <c r="I26" i="16" s="1"/>
  <c r="AG51" i="13"/>
  <c r="I17" i="15" s="1"/>
  <c r="AG22" i="13"/>
  <c r="I30" i="15" s="1"/>
  <c r="AG36" i="13"/>
  <c r="I24" i="15" s="1"/>
  <c r="AG10" i="14"/>
  <c r="I43" i="16" s="1"/>
  <c r="AG12" i="14"/>
  <c r="I45" i="16" s="1"/>
  <c r="AC52" i="11"/>
  <c r="AE52" i="11" s="1"/>
  <c r="AC51" i="11"/>
  <c r="AE51" i="11" s="1"/>
  <c r="AC50" i="11"/>
  <c r="AE50" i="11" s="1"/>
  <c r="AC49" i="11"/>
  <c r="AE49" i="11" s="1"/>
  <c r="AC48" i="11"/>
  <c r="AC47" i="11"/>
  <c r="AC46" i="11"/>
  <c r="AC45" i="11"/>
  <c r="AC44" i="11"/>
  <c r="AC43" i="11"/>
  <c r="AC39" i="11"/>
  <c r="AE39" i="11" s="1"/>
  <c r="AC38" i="11"/>
  <c r="AE38" i="11" s="1"/>
  <c r="AC37" i="11"/>
  <c r="AC36" i="11"/>
  <c r="AE36" i="11" s="1"/>
  <c r="AC35" i="11"/>
  <c r="AE35" i="11" s="1"/>
  <c r="AC34" i="11"/>
  <c r="AE34" i="11" s="1"/>
  <c r="AC33" i="11"/>
  <c r="AC32" i="11"/>
  <c r="AC30" i="11"/>
  <c r="AC26" i="11"/>
  <c r="AE26" i="11" s="1"/>
  <c r="AC25" i="11"/>
  <c r="AE25" i="11" s="1"/>
  <c r="AC24" i="11"/>
  <c r="AE24" i="11" s="1"/>
  <c r="AC22" i="11"/>
  <c r="AE22" i="11" s="1"/>
  <c r="AC21" i="11"/>
  <c r="AE21" i="11" s="1"/>
  <c r="AC20" i="11"/>
  <c r="AE20" i="11" s="1"/>
  <c r="AC18" i="11"/>
  <c r="AE18" i="11" s="1"/>
  <c r="AC17" i="11"/>
  <c r="AE17" i="11" s="1"/>
  <c r="AC13" i="11"/>
  <c r="AE13" i="11" s="1"/>
  <c r="AC11" i="11"/>
  <c r="AE11" i="11" s="1"/>
  <c r="AC9" i="11"/>
  <c r="AE9" i="11" s="1"/>
  <c r="AC8" i="11"/>
  <c r="AE8" i="11" s="1"/>
  <c r="AC7" i="11"/>
  <c r="AE7" i="11" s="1"/>
  <c r="AC6" i="11"/>
  <c r="AE6" i="11" s="1"/>
  <c r="AC5" i="11"/>
  <c r="AE5" i="11" s="1"/>
  <c r="AC4" i="11"/>
  <c r="AE4" i="11" s="1"/>
  <c r="AG7" i="11" l="1"/>
  <c r="I23" i="17" s="1"/>
  <c r="AG5" i="11"/>
  <c r="AG9" i="11"/>
  <c r="I27" i="17" s="1"/>
  <c r="AG11" i="11"/>
  <c r="I29" i="17" s="1"/>
  <c r="AG13" i="11"/>
  <c r="I31" i="17" s="1"/>
  <c r="AC19" i="11"/>
  <c r="AE19" i="11" s="1"/>
  <c r="AG8" i="11"/>
  <c r="I25" i="17" s="1"/>
  <c r="AG4" i="11"/>
  <c r="AC10" i="11"/>
  <c r="AE10" i="11" s="1"/>
  <c r="AC12" i="11"/>
  <c r="AE12" i="11" s="1"/>
  <c r="AG18" i="11"/>
  <c r="AC23" i="11"/>
  <c r="AE23" i="11" s="1"/>
  <c r="AG25" i="11"/>
  <c r="I24" i="17" s="1"/>
  <c r="AC31" i="11"/>
  <c r="AG36" i="11"/>
  <c r="I15" i="17" s="1"/>
  <c r="AG37" i="11" l="1"/>
  <c r="I16" i="17" s="1"/>
  <c r="AG12" i="11"/>
  <c r="I30" i="17" s="1"/>
  <c r="AG39" i="11"/>
  <c r="I20" i="17" s="1"/>
  <c r="AG17" i="11"/>
  <c r="AG10" i="11"/>
  <c r="I28" i="17" s="1"/>
  <c r="AG38" i="11"/>
  <c r="I18" i="17" s="1"/>
  <c r="AG52" i="11"/>
  <c r="I13" i="17" s="1"/>
  <c r="AG35" i="11"/>
  <c r="I14" i="17" s="1"/>
  <c r="AG26" i="11"/>
  <c r="I26" i="17" s="1"/>
  <c r="AG24" i="11"/>
  <c r="I22" i="17" s="1"/>
  <c r="AG21" i="11"/>
  <c r="I17" i="17" s="1"/>
  <c r="AG23" i="11"/>
  <c r="I21" i="17" s="1"/>
  <c r="AG51" i="11"/>
  <c r="I12" i="17" s="1"/>
  <c r="AG20" i="11"/>
  <c r="AG34" i="11"/>
  <c r="AG6" i="11"/>
  <c r="AG50" i="11"/>
  <c r="I11" i="17" s="1"/>
  <c r="AG22" i="11"/>
  <c r="I19" i="17" s="1"/>
  <c r="AG49" i="11"/>
  <c r="AG19" i="11"/>
  <c r="AD5" i="9" l="1"/>
  <c r="AD6" i="9" s="1"/>
  <c r="T52" i="10" l="1"/>
  <c r="S52" i="10"/>
  <c r="R52" i="10"/>
  <c r="J52" i="10"/>
  <c r="N52" i="10" s="1"/>
  <c r="G52" i="10"/>
  <c r="M52" i="10" s="1"/>
  <c r="D52" i="10"/>
  <c r="L52" i="10" s="1"/>
  <c r="T51" i="10"/>
  <c r="S51" i="10"/>
  <c r="R51" i="10"/>
  <c r="M51" i="10"/>
  <c r="J51" i="10"/>
  <c r="N51" i="10" s="1"/>
  <c r="G51" i="10"/>
  <c r="D51" i="10"/>
  <c r="L51" i="10" s="1"/>
  <c r="T50" i="10"/>
  <c r="S50" i="10"/>
  <c r="R50" i="10"/>
  <c r="J50" i="10"/>
  <c r="N50" i="10" s="1"/>
  <c r="G50" i="10"/>
  <c r="M50" i="10" s="1"/>
  <c r="D50" i="10"/>
  <c r="L50" i="10" s="1"/>
  <c r="T49" i="10"/>
  <c r="S49" i="10"/>
  <c r="R49" i="10"/>
  <c r="J49" i="10"/>
  <c r="N49" i="10" s="1"/>
  <c r="G49" i="10"/>
  <c r="M49" i="10" s="1"/>
  <c r="O49" i="10" s="1"/>
  <c r="D49" i="10"/>
  <c r="L49" i="10" s="1"/>
  <c r="T48" i="10"/>
  <c r="S48" i="10"/>
  <c r="R48" i="10"/>
  <c r="J48" i="10"/>
  <c r="N48" i="10" s="1"/>
  <c r="G48" i="10"/>
  <c r="M48" i="10" s="1"/>
  <c r="D48" i="10"/>
  <c r="L48" i="10" s="1"/>
  <c r="P48" i="10" s="1"/>
  <c r="T47" i="10"/>
  <c r="S47" i="10"/>
  <c r="R47" i="10"/>
  <c r="U47" i="10" s="1"/>
  <c r="M47" i="10"/>
  <c r="J47" i="10"/>
  <c r="N47" i="10" s="1"/>
  <c r="G47" i="10"/>
  <c r="D47" i="10"/>
  <c r="L47" i="10" s="1"/>
  <c r="T46" i="10"/>
  <c r="S46" i="10"/>
  <c r="R46" i="10"/>
  <c r="J46" i="10"/>
  <c r="N46" i="10" s="1"/>
  <c r="G46" i="10"/>
  <c r="M46" i="10" s="1"/>
  <c r="D46" i="10"/>
  <c r="L46" i="10" s="1"/>
  <c r="T45" i="10"/>
  <c r="S45" i="10"/>
  <c r="R45" i="10"/>
  <c r="J45" i="10"/>
  <c r="N45" i="10" s="1"/>
  <c r="G45" i="10"/>
  <c r="M45" i="10" s="1"/>
  <c r="D45" i="10"/>
  <c r="L45" i="10" s="1"/>
  <c r="P45" i="10" s="1"/>
  <c r="T44" i="10"/>
  <c r="S44" i="10"/>
  <c r="R44" i="10"/>
  <c r="J44" i="10"/>
  <c r="N44" i="10" s="1"/>
  <c r="G44" i="10"/>
  <c r="M44" i="10" s="1"/>
  <c r="D44" i="10"/>
  <c r="L44" i="10" s="1"/>
  <c r="T43" i="10"/>
  <c r="S43" i="10"/>
  <c r="R43" i="10"/>
  <c r="L43" i="10"/>
  <c r="P43" i="10" s="1"/>
  <c r="J43" i="10"/>
  <c r="N43" i="10" s="1"/>
  <c r="G43" i="10"/>
  <c r="M43" i="10" s="1"/>
  <c r="D43" i="10"/>
  <c r="T39" i="10"/>
  <c r="U39" i="10" s="1"/>
  <c r="S39" i="10"/>
  <c r="R39" i="10"/>
  <c r="J39" i="10"/>
  <c r="N39" i="10" s="1"/>
  <c r="G39" i="10"/>
  <c r="M39" i="10" s="1"/>
  <c r="D39" i="10"/>
  <c r="L39" i="10" s="1"/>
  <c r="T38" i="10"/>
  <c r="S38" i="10"/>
  <c r="R38" i="10"/>
  <c r="N38" i="10"/>
  <c r="J38" i="10"/>
  <c r="G38" i="10"/>
  <c r="M38" i="10" s="1"/>
  <c r="D38" i="10"/>
  <c r="L38" i="10" s="1"/>
  <c r="T37" i="10"/>
  <c r="S37" i="10"/>
  <c r="R37" i="10"/>
  <c r="U37" i="10" s="1"/>
  <c r="J37" i="10"/>
  <c r="N37" i="10" s="1"/>
  <c r="G37" i="10"/>
  <c r="M37" i="10" s="1"/>
  <c r="D37" i="10"/>
  <c r="L37" i="10" s="1"/>
  <c r="T36" i="10"/>
  <c r="S36" i="10"/>
  <c r="R36" i="10"/>
  <c r="J36" i="10"/>
  <c r="N36" i="10" s="1"/>
  <c r="G36" i="10"/>
  <c r="M36" i="10" s="1"/>
  <c r="D36" i="10"/>
  <c r="L36" i="10" s="1"/>
  <c r="T35" i="10"/>
  <c r="S35" i="10"/>
  <c r="R35" i="10"/>
  <c r="J35" i="10"/>
  <c r="N35" i="10" s="1"/>
  <c r="G35" i="10"/>
  <c r="M35" i="10" s="1"/>
  <c r="D35" i="10"/>
  <c r="L35" i="10" s="1"/>
  <c r="T34" i="10"/>
  <c r="S34" i="10"/>
  <c r="R34" i="10"/>
  <c r="W34" i="10" s="1"/>
  <c r="J34" i="10"/>
  <c r="N34" i="10" s="1"/>
  <c r="G34" i="10"/>
  <c r="M34" i="10" s="1"/>
  <c r="D34" i="10"/>
  <c r="L34" i="10" s="1"/>
  <c r="T33" i="10"/>
  <c r="S33" i="10"/>
  <c r="R33" i="10"/>
  <c r="N33" i="10"/>
  <c r="J33" i="10"/>
  <c r="G33" i="10"/>
  <c r="M33" i="10" s="1"/>
  <c r="D33" i="10"/>
  <c r="L33" i="10" s="1"/>
  <c r="T32" i="10"/>
  <c r="S32" i="10"/>
  <c r="R32" i="10"/>
  <c r="J32" i="10"/>
  <c r="N32" i="10" s="1"/>
  <c r="G32" i="10"/>
  <c r="M32" i="10" s="1"/>
  <c r="D32" i="10"/>
  <c r="L32" i="10" s="1"/>
  <c r="T31" i="10"/>
  <c r="S31" i="10"/>
  <c r="R31" i="10"/>
  <c r="J31" i="10"/>
  <c r="N31" i="10" s="1"/>
  <c r="G31" i="10"/>
  <c r="M31" i="10" s="1"/>
  <c r="D31" i="10"/>
  <c r="L31" i="10" s="1"/>
  <c r="T30" i="10"/>
  <c r="S30" i="10"/>
  <c r="R30" i="10"/>
  <c r="J30" i="10"/>
  <c r="N30" i="10" s="1"/>
  <c r="G30" i="10"/>
  <c r="M30" i="10" s="1"/>
  <c r="D30" i="10"/>
  <c r="L30" i="10" s="1"/>
  <c r="O30" i="10" s="1"/>
  <c r="T26" i="10"/>
  <c r="S26" i="10"/>
  <c r="R26" i="10"/>
  <c r="U26" i="10" s="1"/>
  <c r="J26" i="10"/>
  <c r="N26" i="10" s="1"/>
  <c r="G26" i="10"/>
  <c r="M26" i="10" s="1"/>
  <c r="D26" i="10"/>
  <c r="L26" i="10" s="1"/>
  <c r="T25" i="10"/>
  <c r="S25" i="10"/>
  <c r="R25" i="10"/>
  <c r="J25" i="10"/>
  <c r="N25" i="10" s="1"/>
  <c r="G25" i="10"/>
  <c r="M25" i="10" s="1"/>
  <c r="D25" i="10"/>
  <c r="L25" i="10" s="1"/>
  <c r="T24" i="10"/>
  <c r="S24" i="10"/>
  <c r="R24" i="10"/>
  <c r="N24" i="10"/>
  <c r="J24" i="10"/>
  <c r="G24" i="10"/>
  <c r="M24" i="10" s="1"/>
  <c r="D24" i="10"/>
  <c r="L24" i="10" s="1"/>
  <c r="T23" i="10"/>
  <c r="S23" i="10"/>
  <c r="R23" i="10"/>
  <c r="M23" i="10"/>
  <c r="J23" i="10"/>
  <c r="N23" i="10" s="1"/>
  <c r="G23" i="10"/>
  <c r="D23" i="10"/>
  <c r="L23" i="10" s="1"/>
  <c r="P23" i="10" s="1"/>
  <c r="T22" i="10"/>
  <c r="S22" i="10"/>
  <c r="R22" i="10"/>
  <c r="M22" i="10"/>
  <c r="J22" i="10"/>
  <c r="N22" i="10" s="1"/>
  <c r="G22" i="10"/>
  <c r="D22" i="10"/>
  <c r="L22" i="10" s="1"/>
  <c r="T21" i="10"/>
  <c r="S21" i="10"/>
  <c r="R21" i="10"/>
  <c r="N21" i="10"/>
  <c r="M21" i="10"/>
  <c r="J21" i="10"/>
  <c r="G21" i="10"/>
  <c r="D21" i="10"/>
  <c r="L21" i="10" s="1"/>
  <c r="T20" i="10"/>
  <c r="S20" i="10"/>
  <c r="R20" i="10"/>
  <c r="L20" i="10"/>
  <c r="J20" i="10"/>
  <c r="N20" i="10" s="1"/>
  <c r="G20" i="10"/>
  <c r="M20" i="10" s="1"/>
  <c r="D20" i="10"/>
  <c r="T19" i="10"/>
  <c r="S19" i="10"/>
  <c r="R19" i="10"/>
  <c r="J19" i="10"/>
  <c r="N19" i="10" s="1"/>
  <c r="G19" i="10"/>
  <c r="M19" i="10" s="1"/>
  <c r="D19" i="10"/>
  <c r="L19" i="10" s="1"/>
  <c r="T18" i="10"/>
  <c r="S18" i="10"/>
  <c r="R18" i="10"/>
  <c r="J18" i="10"/>
  <c r="N18" i="10" s="1"/>
  <c r="G18" i="10"/>
  <c r="M18" i="10" s="1"/>
  <c r="D18" i="10"/>
  <c r="L18" i="10" s="1"/>
  <c r="T17" i="10"/>
  <c r="S17" i="10"/>
  <c r="R17" i="10"/>
  <c r="J17" i="10"/>
  <c r="N17" i="10" s="1"/>
  <c r="G17" i="10"/>
  <c r="M17" i="10" s="1"/>
  <c r="D17" i="10"/>
  <c r="L17" i="10" s="1"/>
  <c r="T13" i="10"/>
  <c r="S13" i="10"/>
  <c r="R13" i="10"/>
  <c r="J13" i="10"/>
  <c r="N13" i="10" s="1"/>
  <c r="G13" i="10"/>
  <c r="M13" i="10" s="1"/>
  <c r="D13" i="10"/>
  <c r="L13" i="10" s="1"/>
  <c r="T12" i="10"/>
  <c r="S12" i="10"/>
  <c r="R12" i="10"/>
  <c r="U12" i="10" s="1"/>
  <c r="N12" i="10"/>
  <c r="J12" i="10"/>
  <c r="G12" i="10"/>
  <c r="M12" i="10" s="1"/>
  <c r="D12" i="10"/>
  <c r="L12" i="10" s="1"/>
  <c r="T11" i="10"/>
  <c r="S11" i="10"/>
  <c r="R11" i="10"/>
  <c r="N11" i="10"/>
  <c r="J11" i="10"/>
  <c r="G11" i="10"/>
  <c r="M11" i="10" s="1"/>
  <c r="D11" i="10"/>
  <c r="L11" i="10" s="1"/>
  <c r="T10" i="10"/>
  <c r="S10" i="10"/>
  <c r="R10" i="10"/>
  <c r="J10" i="10"/>
  <c r="N10" i="10" s="1"/>
  <c r="G10" i="10"/>
  <c r="M10" i="10" s="1"/>
  <c r="D10" i="10"/>
  <c r="L10" i="10" s="1"/>
  <c r="T9" i="10"/>
  <c r="S9" i="10"/>
  <c r="R9" i="10"/>
  <c r="J9" i="10"/>
  <c r="N9" i="10" s="1"/>
  <c r="G9" i="10"/>
  <c r="M9" i="10" s="1"/>
  <c r="D9" i="10"/>
  <c r="L9" i="10" s="1"/>
  <c r="T8" i="10"/>
  <c r="S8" i="10"/>
  <c r="R8" i="10"/>
  <c r="J8" i="10"/>
  <c r="N8" i="10" s="1"/>
  <c r="G8" i="10"/>
  <c r="M8" i="10" s="1"/>
  <c r="D8" i="10"/>
  <c r="L8" i="10" s="1"/>
  <c r="T7" i="10"/>
  <c r="S7" i="10"/>
  <c r="R7" i="10"/>
  <c r="J7" i="10"/>
  <c r="N7" i="10" s="1"/>
  <c r="G7" i="10"/>
  <c r="M7" i="10" s="1"/>
  <c r="D7" i="10"/>
  <c r="L7" i="10" s="1"/>
  <c r="T6" i="10"/>
  <c r="S6" i="10"/>
  <c r="R6" i="10"/>
  <c r="J6" i="10"/>
  <c r="N6" i="10" s="1"/>
  <c r="G6" i="10"/>
  <c r="M6" i="10" s="1"/>
  <c r="D6" i="10"/>
  <c r="L6" i="10" s="1"/>
  <c r="T5" i="10"/>
  <c r="S5" i="10"/>
  <c r="R5" i="10"/>
  <c r="W5" i="10" s="1"/>
  <c r="L5" i="10"/>
  <c r="J5" i="10"/>
  <c r="N5" i="10" s="1"/>
  <c r="G5" i="10"/>
  <c r="M5" i="10" s="1"/>
  <c r="D5" i="10"/>
  <c r="T4" i="10"/>
  <c r="S4" i="10"/>
  <c r="R4" i="10"/>
  <c r="M4" i="10"/>
  <c r="J4" i="10"/>
  <c r="N4" i="10" s="1"/>
  <c r="G4" i="10"/>
  <c r="D4" i="10"/>
  <c r="L4" i="10" s="1"/>
  <c r="O44" i="10" l="1"/>
  <c r="P44" i="10"/>
  <c r="U4" i="10"/>
  <c r="W4" i="10"/>
  <c r="W10" i="10"/>
  <c r="U19" i="10"/>
  <c r="W19" i="10"/>
  <c r="U22" i="10"/>
  <c r="W22" i="10"/>
  <c r="W39" i="10"/>
  <c r="W48" i="10"/>
  <c r="U48" i="10"/>
  <c r="W50" i="10"/>
  <c r="U50" i="10"/>
  <c r="W7" i="10"/>
  <c r="U7" i="10"/>
  <c r="U8" i="10"/>
  <c r="W8" i="10"/>
  <c r="W9" i="10"/>
  <c r="W13" i="10"/>
  <c r="U24" i="10"/>
  <c r="W24" i="10"/>
  <c r="P35" i="10"/>
  <c r="W35" i="10"/>
  <c r="W38" i="10"/>
  <c r="U52" i="10"/>
  <c r="U18" i="10"/>
  <c r="W18" i="10"/>
  <c r="X23" i="10"/>
  <c r="U23" i="10"/>
  <c r="W23" i="10"/>
  <c r="X34" i="10"/>
  <c r="AD34" i="10"/>
  <c r="AF34" i="10" s="1"/>
  <c r="U49" i="10"/>
  <c r="W49" i="10"/>
  <c r="X5" i="10"/>
  <c r="AD5" i="10"/>
  <c r="AF5" i="10" s="1"/>
  <c r="U6" i="10"/>
  <c r="W17" i="10"/>
  <c r="U17" i="10"/>
  <c r="U20" i="10"/>
  <c r="W20" i="10"/>
  <c r="AD20" i="10" s="1"/>
  <c r="AF20" i="10" s="1"/>
  <c r="W21" i="10"/>
  <c r="U21" i="10"/>
  <c r="X22" i="10"/>
  <c r="U25" i="10"/>
  <c r="W32" i="10"/>
  <c r="U32" i="10"/>
  <c r="W46" i="10"/>
  <c r="W51" i="10"/>
  <c r="AD51" i="10" s="1"/>
  <c r="AF51" i="10" s="1"/>
  <c r="U51" i="10"/>
  <c r="O39" i="10"/>
  <c r="P39" i="10"/>
  <c r="O46" i="10"/>
  <c r="P46" i="10"/>
  <c r="P6" i="10"/>
  <c r="O6" i="10"/>
  <c r="O47" i="10"/>
  <c r="P47" i="10"/>
  <c r="O32" i="10"/>
  <c r="P32" i="10"/>
  <c r="O34" i="10"/>
  <c r="O9" i="10"/>
  <c r="O5" i="10"/>
  <c r="O18" i="10"/>
  <c r="O21" i="10"/>
  <c r="O24" i="10"/>
  <c r="O33" i="10"/>
  <c r="O36" i="10"/>
  <c r="O7" i="10"/>
  <c r="O10" i="10"/>
  <c r="X24" i="10"/>
  <c r="U30" i="10"/>
  <c r="W36" i="10"/>
  <c r="W44" i="10"/>
  <c r="W26" i="10"/>
  <c r="O22" i="10"/>
  <c r="U5" i="10"/>
  <c r="P9" i="10"/>
  <c r="U9" i="10"/>
  <c r="U10" i="10"/>
  <c r="P20" i="10"/>
  <c r="P22" i="10"/>
  <c r="U31" i="10"/>
  <c r="P34" i="10"/>
  <c r="U34" i="10"/>
  <c r="W37" i="10"/>
  <c r="U38" i="10"/>
  <c r="W43" i="10"/>
  <c r="W47" i="10"/>
  <c r="W52" i="10"/>
  <c r="P26" i="10"/>
  <c r="U45" i="10"/>
  <c r="U46" i="10"/>
  <c r="O19" i="10"/>
  <c r="P19" i="10"/>
  <c r="X8" i="10"/>
  <c r="P12" i="10"/>
  <c r="O12" i="10"/>
  <c r="P10" i="10"/>
  <c r="P7" i="10"/>
  <c r="W11" i="10"/>
  <c r="U11" i="10"/>
  <c r="O38" i="10"/>
  <c r="P38" i="10"/>
  <c r="O50" i="10"/>
  <c r="P50" i="10"/>
  <c r="P51" i="10"/>
  <c r="O51" i="10"/>
  <c r="X4" i="10"/>
  <c r="P8" i="10"/>
  <c r="O8" i="10"/>
  <c r="O11" i="10"/>
  <c r="P4" i="10"/>
  <c r="O4" i="10"/>
  <c r="P5" i="10"/>
  <c r="W6" i="10"/>
  <c r="X7" i="10"/>
  <c r="P11" i="10"/>
  <c r="O31" i="10"/>
  <c r="P31" i="10"/>
  <c r="X50" i="10"/>
  <c r="P13" i="10"/>
  <c r="O20" i="10"/>
  <c r="U13" i="10"/>
  <c r="X17" i="10"/>
  <c r="X20" i="10"/>
  <c r="O23" i="10"/>
  <c r="P24" i="10"/>
  <c r="P25" i="10"/>
  <c r="O26" i="10"/>
  <c r="X32" i="10"/>
  <c r="O35" i="10"/>
  <c r="P36" i="10"/>
  <c r="U36" i="10"/>
  <c r="P37" i="10"/>
  <c r="O43" i="10"/>
  <c r="U44" i="10"/>
  <c r="O48" i="10"/>
  <c r="P17" i="10"/>
  <c r="W25" i="10"/>
  <c r="W45" i="10"/>
  <c r="W12" i="10"/>
  <c r="O13" i="10"/>
  <c r="O17" i="10"/>
  <c r="X18" i="10"/>
  <c r="P21" i="10"/>
  <c r="W30" i="10"/>
  <c r="P33" i="10"/>
  <c r="X49" i="10"/>
  <c r="P52" i="10"/>
  <c r="P18" i="10"/>
  <c r="X19" i="10"/>
  <c r="X21" i="10"/>
  <c r="O25" i="10"/>
  <c r="P30" i="10"/>
  <c r="W31" i="10"/>
  <c r="U33" i="10"/>
  <c r="W33" i="10"/>
  <c r="U35" i="10"/>
  <c r="O37" i="10"/>
  <c r="U43" i="10"/>
  <c r="O45" i="10"/>
  <c r="P49" i="10"/>
  <c r="O52" i="10"/>
  <c r="X45" i="10" l="1"/>
  <c r="AD45" i="10"/>
  <c r="AF45" i="10" s="1"/>
  <c r="Z9" i="10"/>
  <c r="AB9" i="10" s="1"/>
  <c r="X26" i="10"/>
  <c r="AD26" i="10"/>
  <c r="AF26" i="10" s="1"/>
  <c r="AB25" i="10"/>
  <c r="Z25" i="10"/>
  <c r="Z6" i="10"/>
  <c r="AB6" i="10" s="1"/>
  <c r="Z49" i="10"/>
  <c r="AB49" i="10" s="1"/>
  <c r="Z23" i="10"/>
  <c r="Z12" i="10"/>
  <c r="X35" i="10"/>
  <c r="AD35" i="10"/>
  <c r="AF35" i="10" s="1"/>
  <c r="Z26" i="10"/>
  <c r="AB26" i="10" s="1"/>
  <c r="X13" i="10"/>
  <c r="AD13" i="10"/>
  <c r="AF13" i="10" s="1"/>
  <c r="Z7" i="10"/>
  <c r="AB7" i="10" s="1"/>
  <c r="Z48" i="10"/>
  <c r="AB48" i="10" s="1"/>
  <c r="Z22" i="10"/>
  <c r="AB22" i="10" s="1"/>
  <c r="AD4" i="10"/>
  <c r="AF4" i="10" s="1"/>
  <c r="AB43" i="10"/>
  <c r="Z43" i="10"/>
  <c r="AB12" i="10"/>
  <c r="X9" i="10"/>
  <c r="AD9" i="10"/>
  <c r="AF9" i="10" s="1"/>
  <c r="AD7" i="10"/>
  <c r="AF7" i="10" s="1"/>
  <c r="AD48" i="10"/>
  <c r="AF48" i="10" s="1"/>
  <c r="X48" i="10"/>
  <c r="AC48" i="10" s="1"/>
  <c r="AD19" i="10"/>
  <c r="AF19" i="10" s="1"/>
  <c r="Z4" i="10"/>
  <c r="AB4" i="10" s="1"/>
  <c r="Z33" i="10"/>
  <c r="AB33" i="10" s="1"/>
  <c r="Z11" i="10"/>
  <c r="AB11" i="10" s="1"/>
  <c r="Z38" i="10"/>
  <c r="AB38" i="10" s="1"/>
  <c r="X31" i="10"/>
  <c r="AC31" i="10" s="1"/>
  <c r="AE31" i="10" s="1"/>
  <c r="AD31" i="10"/>
  <c r="AF31" i="10" s="1"/>
  <c r="X25" i="10"/>
  <c r="AD25" i="10"/>
  <c r="AF25" i="10" s="1"/>
  <c r="AH25" i="10" s="1"/>
  <c r="AC7" i="10"/>
  <c r="AE7" i="10" s="1"/>
  <c r="AC4" i="10"/>
  <c r="AE4" i="10" s="1"/>
  <c r="X52" i="10"/>
  <c r="AD52" i="10"/>
  <c r="AF52" i="10" s="1"/>
  <c r="X46" i="10"/>
  <c r="AC46" i="10" s="1"/>
  <c r="AD46" i="10"/>
  <c r="AF46" i="10" s="1"/>
  <c r="Z35" i="10"/>
  <c r="AB35" i="10" s="1"/>
  <c r="Y35" i="10"/>
  <c r="AA35" i="10" s="1"/>
  <c r="X30" i="10"/>
  <c r="AC30" i="10" s="1"/>
  <c r="AD30" i="10"/>
  <c r="AF30" i="10" s="1"/>
  <c r="Z13" i="10"/>
  <c r="AB13" i="10" s="1"/>
  <c r="V46" i="10"/>
  <c r="V50" i="10"/>
  <c r="V31" i="10"/>
  <c r="V35" i="10"/>
  <c r="V39" i="10"/>
  <c r="V19" i="10"/>
  <c r="V23" i="10"/>
  <c r="V5" i="10"/>
  <c r="V9" i="10"/>
  <c r="V13" i="10"/>
  <c r="V47" i="10"/>
  <c r="V51" i="10"/>
  <c r="V32" i="10"/>
  <c r="V36" i="10"/>
  <c r="V30" i="10"/>
  <c r="V20" i="10"/>
  <c r="V24" i="10"/>
  <c r="V6" i="10"/>
  <c r="V10" i="10"/>
  <c r="V4" i="10"/>
  <c r="V44" i="10"/>
  <c r="V48" i="10"/>
  <c r="V52" i="10"/>
  <c r="V33" i="10"/>
  <c r="V37" i="10"/>
  <c r="V26" i="10"/>
  <c r="V21" i="10"/>
  <c r="V25" i="10"/>
  <c r="V7" i="10"/>
  <c r="V11" i="10"/>
  <c r="V45" i="10"/>
  <c r="V49" i="10"/>
  <c r="V43" i="10"/>
  <c r="V34" i="10"/>
  <c r="V38" i="10"/>
  <c r="V18" i="10"/>
  <c r="V22" i="10"/>
  <c r="V17" i="10"/>
  <c r="V8" i="10"/>
  <c r="V12" i="10"/>
  <c r="X6" i="10"/>
  <c r="AC6" i="10" s="1"/>
  <c r="AE6" i="10" s="1"/>
  <c r="AG6" i="10" s="1"/>
  <c r="AD6" i="10"/>
  <c r="AF6" i="10" s="1"/>
  <c r="Z45" i="10"/>
  <c r="AB45" i="10" s="1"/>
  <c r="Y45" i="10"/>
  <c r="AA45" i="10" s="1"/>
  <c r="X47" i="10"/>
  <c r="AC47" i="10" s="1"/>
  <c r="AD47" i="10"/>
  <c r="AF47" i="10" s="1"/>
  <c r="Z34" i="10"/>
  <c r="AB34" i="10" s="1"/>
  <c r="AH34" i="10" s="1"/>
  <c r="Y34" i="10"/>
  <c r="AA34" i="10" s="1"/>
  <c r="Z5" i="10"/>
  <c r="AB5" i="10" s="1"/>
  <c r="AH5" i="10" s="1"/>
  <c r="Y5" i="10"/>
  <c r="X36" i="10"/>
  <c r="AD36" i="10"/>
  <c r="AF36" i="10" s="1"/>
  <c r="Y48" i="10"/>
  <c r="AA48" i="10" s="1"/>
  <c r="Y22" i="10"/>
  <c r="AA22" i="10" s="1"/>
  <c r="AB32" i="10"/>
  <c r="Z32" i="10"/>
  <c r="AB21" i="10"/>
  <c r="Z21" i="10"/>
  <c r="AB17" i="10"/>
  <c r="Z17" i="10"/>
  <c r="Y47" i="10"/>
  <c r="AA47" i="10" s="1"/>
  <c r="Y37" i="10"/>
  <c r="AA37" i="10" s="1"/>
  <c r="AC34" i="10"/>
  <c r="AE34" i="10" s="1"/>
  <c r="AD18" i="10"/>
  <c r="AF18" i="10" s="1"/>
  <c r="AB52" i="10"/>
  <c r="Z52" i="10"/>
  <c r="AA52" i="10"/>
  <c r="Y52" i="10"/>
  <c r="Y26" i="10"/>
  <c r="AD24" i="10"/>
  <c r="AF24" i="10" s="1"/>
  <c r="AD8" i="10"/>
  <c r="AF8" i="10" s="1"/>
  <c r="Z50" i="10"/>
  <c r="AB50" i="10" s="1"/>
  <c r="X39" i="10"/>
  <c r="AD39" i="10"/>
  <c r="AF39" i="10" s="1"/>
  <c r="Z19" i="10"/>
  <c r="AB19" i="10" s="1"/>
  <c r="AB36" i="10"/>
  <c r="Y36" i="10"/>
  <c r="AA36" i="10" s="1"/>
  <c r="Z31" i="10"/>
  <c r="AB31" i="10" s="1"/>
  <c r="Y31" i="10"/>
  <c r="AA31" i="10" s="1"/>
  <c r="Z44" i="10"/>
  <c r="AB44" i="10" s="1"/>
  <c r="Y44" i="10"/>
  <c r="AA44" i="10" s="1"/>
  <c r="X11" i="10"/>
  <c r="AD11" i="10"/>
  <c r="AF11" i="10" s="1"/>
  <c r="Z46" i="10"/>
  <c r="AB46" i="10" s="1"/>
  <c r="Y46" i="10"/>
  <c r="AA46" i="10" s="1"/>
  <c r="X37" i="10"/>
  <c r="AD37" i="10"/>
  <c r="AF37" i="10" s="1"/>
  <c r="AH37" i="10" s="1"/>
  <c r="X44" i="10"/>
  <c r="AC44" i="10" s="1"/>
  <c r="AD44" i="10"/>
  <c r="AF44" i="10" s="1"/>
  <c r="AB20" i="10"/>
  <c r="AH20" i="10" s="1"/>
  <c r="X33" i="10"/>
  <c r="AD33" i="10"/>
  <c r="AF33" i="10" s="1"/>
  <c r="X12" i="10"/>
  <c r="AD12" i="10"/>
  <c r="AF12" i="10" s="1"/>
  <c r="AH12" i="10" s="1"/>
  <c r="X51" i="10"/>
  <c r="X43" i="10"/>
  <c r="AC43" i="10" s="1"/>
  <c r="AD43" i="10"/>
  <c r="AF43" i="10" s="1"/>
  <c r="AH43" i="10" s="1"/>
  <c r="AB10" i="10"/>
  <c r="Z10" i="10"/>
  <c r="AB30" i="10"/>
  <c r="Z30" i="10"/>
  <c r="AA30" i="10"/>
  <c r="Y30" i="10"/>
  <c r="AE23" i="10"/>
  <c r="AB51" i="10"/>
  <c r="AH51" i="10" s="1"/>
  <c r="AD32" i="10"/>
  <c r="AF32" i="10" s="1"/>
  <c r="AH32" i="10" s="1"/>
  <c r="AD21" i="10"/>
  <c r="AF21" i="10" s="1"/>
  <c r="AH21" i="10" s="1"/>
  <c r="AD17" i="10"/>
  <c r="AF17" i="10" s="1"/>
  <c r="AH17" i="10" s="1"/>
  <c r="AD49" i="10"/>
  <c r="AF49" i="10" s="1"/>
  <c r="Z47" i="10"/>
  <c r="AB47" i="10" s="1"/>
  <c r="Z39" i="10"/>
  <c r="AB39" i="10" s="1"/>
  <c r="Z37" i="10"/>
  <c r="AB37" i="10" s="1"/>
  <c r="AD23" i="10"/>
  <c r="AF23" i="10" s="1"/>
  <c r="Z18" i="10"/>
  <c r="AB18" i="10" s="1"/>
  <c r="X38" i="10"/>
  <c r="AD38" i="10"/>
  <c r="AF38" i="10" s="1"/>
  <c r="AA26" i="10"/>
  <c r="AB24" i="10"/>
  <c r="Z24" i="10"/>
  <c r="AB8" i="10"/>
  <c r="Z8" i="10"/>
  <c r="AD50" i="10"/>
  <c r="AF50" i="10" s="1"/>
  <c r="AD22" i="10"/>
  <c r="AF22" i="10" s="1"/>
  <c r="X10" i="10"/>
  <c r="AD10" i="10"/>
  <c r="AF10" i="10" s="1"/>
  <c r="Y51" i="10"/>
  <c r="AA51" i="10" s="1"/>
  <c r="AC51" i="10"/>
  <c r="AE51" i="10" s="1"/>
  <c r="AE17" i="10"/>
  <c r="AC17" i="10"/>
  <c r="Y17" i="10"/>
  <c r="AA17" i="10" s="1"/>
  <c r="AC18" i="10"/>
  <c r="Y18" i="10"/>
  <c r="AA18" i="10" s="1"/>
  <c r="AC19" i="10"/>
  <c r="Y19" i="10"/>
  <c r="AA19" i="10" s="1"/>
  <c r="AC20" i="10"/>
  <c r="Y20" i="10"/>
  <c r="AA20" i="10" s="1"/>
  <c r="AC21" i="10"/>
  <c r="Y21" i="10"/>
  <c r="AA21" i="10" s="1"/>
  <c r="AC24" i="10"/>
  <c r="Y24" i="10"/>
  <c r="AA24" i="10" s="1"/>
  <c r="Y32" i="10"/>
  <c r="AA32" i="10" s="1"/>
  <c r="AC32" i="10"/>
  <c r="AE32" i="10" s="1"/>
  <c r="Y50" i="10"/>
  <c r="AA50" i="10" s="1"/>
  <c r="AC50" i="10"/>
  <c r="Y49" i="10"/>
  <c r="AA49" i="10" s="1"/>
  <c r="AC49" i="10"/>
  <c r="AE49" i="10" s="1"/>
  <c r="AE21" i="10"/>
  <c r="AC12" i="10"/>
  <c r="AE12" i="10" s="1"/>
  <c r="AC8" i="10"/>
  <c r="AE8" i="10" s="1"/>
  <c r="AE20" i="10"/>
  <c r="AE50" i="10"/>
  <c r="AC11" i="10"/>
  <c r="AE11" i="10" s="1"/>
  <c r="AE46" i="10"/>
  <c r="AE48" i="10"/>
  <c r="AE18" i="10"/>
  <c r="AE47" i="10"/>
  <c r="AG47" i="10" s="1"/>
  <c r="AE24" i="10"/>
  <c r="AE19" i="10"/>
  <c r="AE30" i="10"/>
  <c r="AE43" i="10"/>
  <c r="AE44" i="10"/>
  <c r="Y13" i="10"/>
  <c r="AA13" i="10" s="1"/>
  <c r="AA5" i="10"/>
  <c r="Y4" i="10"/>
  <c r="AA4" i="10" s="1"/>
  <c r="Y8" i="10"/>
  <c r="AA8" i="10" s="1"/>
  <c r="Y11" i="10"/>
  <c r="AA11" i="10" s="1"/>
  <c r="Y7" i="10"/>
  <c r="AA7" i="10" s="1"/>
  <c r="Y12" i="10"/>
  <c r="AA12" i="10" s="1"/>
  <c r="Y6" i="10"/>
  <c r="AA6" i="10" s="1"/>
  <c r="Y10" i="10"/>
  <c r="AA10" i="10" s="1"/>
  <c r="Y9" i="10"/>
  <c r="AA9" i="10" s="1"/>
  <c r="AG4" i="10" l="1"/>
  <c r="AG7" i="10"/>
  <c r="AG34" i="10"/>
  <c r="AH10" i="10"/>
  <c r="AC33" i="10"/>
  <c r="AE33" i="10" s="1"/>
  <c r="AG33" i="10" s="1"/>
  <c r="AC39" i="10"/>
  <c r="AE39" i="10" s="1"/>
  <c r="Y39" i="10"/>
  <c r="AA39" i="10" s="1"/>
  <c r="AH24" i="10"/>
  <c r="AH36" i="10"/>
  <c r="AC52" i="10"/>
  <c r="AE52" i="10" s="1"/>
  <c r="AG52" i="10" s="1"/>
  <c r="AC25" i="10"/>
  <c r="AE25" i="10" s="1"/>
  <c r="AG25" i="10" s="1"/>
  <c r="AC9" i="10"/>
  <c r="AE9" i="10" s="1"/>
  <c r="AG9" i="10" s="1"/>
  <c r="Y43" i="10"/>
  <c r="AA43" i="10" s="1"/>
  <c r="AH4" i="10"/>
  <c r="AC13" i="10"/>
  <c r="AE13" i="10" s="1"/>
  <c r="AC22" i="10"/>
  <c r="AE22" i="10" s="1"/>
  <c r="AG22" i="10" s="1"/>
  <c r="Y23" i="10"/>
  <c r="AA23" i="10" s="1"/>
  <c r="AG23" i="10" s="1"/>
  <c r="AC5" i="10"/>
  <c r="AE5" i="10" s="1"/>
  <c r="AG5" i="10" s="1"/>
  <c r="AC10" i="10"/>
  <c r="AE10" i="10" s="1"/>
  <c r="AG10" i="10" s="1"/>
  <c r="AH38" i="10"/>
  <c r="AH23" i="10"/>
  <c r="AH49" i="10"/>
  <c r="AC36" i="10"/>
  <c r="AE36" i="10" s="1"/>
  <c r="AG36" i="10" s="1"/>
  <c r="AH47" i="10"/>
  <c r="AH46" i="10"/>
  <c r="AH31" i="10"/>
  <c r="AH48" i="10"/>
  <c r="Y25" i="10"/>
  <c r="AA25" i="10" s="1"/>
  <c r="AH26" i="10"/>
  <c r="AH45" i="10"/>
  <c r="AG13" i="10"/>
  <c r="AG46" i="10"/>
  <c r="AG20" i="10"/>
  <c r="AG51" i="10"/>
  <c r="AH22" i="10"/>
  <c r="AC38" i="10"/>
  <c r="AE38" i="10" s="1"/>
  <c r="AC37" i="10"/>
  <c r="AE37" i="10" s="1"/>
  <c r="AG37" i="10" s="1"/>
  <c r="AH18" i="10"/>
  <c r="Y33" i="10"/>
  <c r="AA33" i="10" s="1"/>
  <c r="AH7" i="10"/>
  <c r="AH35" i="10"/>
  <c r="AC26" i="10"/>
  <c r="AE26" i="10" s="1"/>
  <c r="AG26" i="10" s="1"/>
  <c r="AC45" i="10"/>
  <c r="AE45" i="10" s="1"/>
  <c r="AG45" i="10" s="1"/>
  <c r="AH50" i="10"/>
  <c r="AH33" i="10"/>
  <c r="AH44" i="10"/>
  <c r="AH11" i="10"/>
  <c r="AH39" i="10"/>
  <c r="AH8" i="10"/>
  <c r="AH6" i="10"/>
  <c r="AH30" i="10"/>
  <c r="AH52" i="10"/>
  <c r="Y38" i="10"/>
  <c r="AA38" i="10" s="1"/>
  <c r="AH19" i="10"/>
  <c r="AH9" i="10"/>
  <c r="AH13" i="10"/>
  <c r="AC35" i="10"/>
  <c r="AE35" i="10" s="1"/>
  <c r="AG35" i="10" s="1"/>
  <c r="AG17" i="10"/>
  <c r="AG49" i="10"/>
  <c r="AG50" i="10"/>
  <c r="AG32" i="10"/>
  <c r="AG19" i="10"/>
  <c r="AG44" i="10"/>
  <c r="AG30" i="10"/>
  <c r="AG31" i="10"/>
  <c r="AG18" i="10"/>
  <c r="AG11" i="10"/>
  <c r="AG12" i="10"/>
  <c r="AG43" i="10"/>
  <c r="AG24" i="10"/>
  <c r="AG8" i="10"/>
  <c r="AG21" i="10"/>
  <c r="AG48" i="10"/>
  <c r="AG38" i="10" l="1"/>
  <c r="AG39" i="10"/>
  <c r="G29" i="9" l="1"/>
</calcChain>
</file>

<file path=xl/sharedStrings.xml><?xml version="1.0" encoding="utf-8"?>
<sst xmlns="http://schemas.openxmlformats.org/spreadsheetml/2006/main" count="539" uniqueCount="75">
  <si>
    <t>Desv</t>
  </si>
  <si>
    <t>Time</t>
  </si>
  <si>
    <t>Tetra</t>
  </si>
  <si>
    <t>TET teórico</t>
  </si>
  <si>
    <t>Resolución GRG (Generalized Reduced Gradient) Nonlinear</t>
  </si>
  <si>
    <r>
      <t>R</t>
    </r>
    <r>
      <rPr>
        <vertAlign val="superscript"/>
        <sz val="11"/>
        <color theme="1"/>
        <rFont val="Calibri"/>
        <family val="2"/>
        <scheme val="minor"/>
      </rPr>
      <t>2</t>
    </r>
  </si>
  <si>
    <t>Ct exp</t>
  </si>
  <si>
    <t>Ct Ajuste</t>
  </si>
  <si>
    <t>k1</t>
  </si>
  <si>
    <t>k2</t>
  </si>
  <si>
    <t>[1]</t>
  </si>
  <si>
    <r>
      <t>1</t>
    </r>
    <r>
      <rPr>
        <vertAlign val="superscript"/>
        <sz val="11"/>
        <color rgb="FFFF0000"/>
        <rFont val="Calibri"/>
        <family val="2"/>
        <scheme val="minor"/>
      </rPr>
      <t>er</t>
    </r>
    <r>
      <rPr>
        <sz val="11"/>
        <color rgb="FFFF0000"/>
        <rFont val="Calibri"/>
        <family val="2"/>
        <scheme val="minor"/>
      </rPr>
      <t xml:space="preserve"> Term [1]</t>
    </r>
  </si>
  <si>
    <t>"K1*t</t>
  </si>
  <si>
    <t>Ct Ajuste(*)</t>
  </si>
  <si>
    <t>Ct Exp (*)</t>
  </si>
  <si>
    <t>1er termino</t>
  </si>
  <si>
    <t>F.O.</t>
  </si>
  <si>
    <t>Cinética con etapa limitante de adsorción (Modelo Langmuir-Hinshelwood)</t>
  </si>
  <si>
    <t>Integrando:</t>
  </si>
  <si>
    <t>Yo pondría esta gráfica (para todos los VMP) en el Paper.</t>
  </si>
  <si>
    <t>Esta gráfica puede ponerse conjuntamente con la del resto de VMP, como aparece en la última gráfica de la pestaña TODAS LAS GRAFICAS</t>
  </si>
  <si>
    <t>95% Niv.Conf</t>
  </si>
  <si>
    <t>Ln(Co/ct)</t>
  </si>
  <si>
    <t>Ln(Co/ct) 1</t>
  </si>
  <si>
    <t>Ln(Co/ct) 2</t>
  </si>
  <si>
    <t>Ln(Co/ct) 3</t>
  </si>
  <si>
    <t>Prom</t>
  </si>
  <si>
    <t>R1</t>
  </si>
  <si>
    <t>R2</t>
  </si>
  <si>
    <t>R3</t>
  </si>
  <si>
    <t>Desv &lt;Ct&gt;</t>
  </si>
  <si>
    <t>1,96*s(&lt;Ct&gt;)</t>
  </si>
  <si>
    <t>Barra error</t>
  </si>
  <si>
    <t>t-1</t>
  </si>
  <si>
    <t>l/mg</t>
  </si>
  <si>
    <t>kr</t>
  </si>
  <si>
    <t>constante de reacion</t>
  </si>
  <si>
    <t>mg/lmin</t>
  </si>
  <si>
    <t>Resumen</t>
  </si>
  <si>
    <t>Estadísticas de la regresión</t>
  </si>
  <si>
    <t>Coeficiente de correlación múltiple</t>
  </si>
  <si>
    <t>Coeficiente de determinación R^2</t>
  </si>
  <si>
    <t>R^2  ajustado</t>
  </si>
  <si>
    <t>Error típico</t>
  </si>
  <si>
    <t>Observaciones</t>
  </si>
  <si>
    <t>ANÁLISIS DE VARIANZA</t>
  </si>
  <si>
    <t>Regresión</t>
  </si>
  <si>
    <t>Residuos</t>
  </si>
  <si>
    <t>Total</t>
  </si>
  <si>
    <t>Intercepción</t>
  </si>
  <si>
    <t>Grados de libertad</t>
  </si>
  <si>
    <t>Suma de cuadrados</t>
  </si>
  <si>
    <t>Promedio de los cuadrados</t>
  </si>
  <si>
    <t>F</t>
  </si>
  <si>
    <t>Valor crítico de F</t>
  </si>
  <si>
    <t>Coeficientes</t>
  </si>
  <si>
    <t>Estadístico t</t>
  </si>
  <si>
    <t>Probabilidad</t>
  </si>
  <si>
    <t>Inferior 95%</t>
  </si>
  <si>
    <t>Superior 95%</t>
  </si>
  <si>
    <t>Inferior 95,0%</t>
  </si>
  <si>
    <t>Superior 95,0%</t>
  </si>
  <si>
    <t>Análisis de los residuales</t>
  </si>
  <si>
    <t>Observación</t>
  </si>
  <si>
    <t>Pronóstico 5,51168665947121</t>
  </si>
  <si>
    <t>Resultados de datos de probabilidad</t>
  </si>
  <si>
    <t>Percentil</t>
  </si>
  <si>
    <t>Para este compuesto la fotocatálisis se ajusta a una cinética de pseudoorden 1 (k2=0)</t>
  </si>
  <si>
    <t>He dibujado las barras de error para este tipo de gráfico en +/- desv tipica</t>
  </si>
  <si>
    <t>Ct=c0exp(-k1*t)</t>
  </si>
  <si>
    <t>1*s(&lt;Ct&gt;)</t>
  </si>
  <si>
    <t>1,96*s</t>
  </si>
  <si>
    <t>1*s</t>
  </si>
  <si>
    <t>Barras de error +/- s</t>
  </si>
  <si>
    <t>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</si>
</sst>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000"/>
    <numFmt numFmtId="166" formatCode="0.0000000"/>
    <numFmt numFmtId="167" formatCode="0.000000000"/>
    <numFmt numFmtId="168" formatCode="0.000000"/>
    <numFmt numFmtId="169" formatCode="0.0000000000"/>
  </numFmts>
  <fonts count="3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12"/>
      <name val="Calibri"/>
      <family val="2"/>
    </font>
    <font>
      <sz val="12"/>
      <color rgb="FF0070C0"/>
      <name val="Calibri"/>
      <family val="2"/>
    </font>
    <font>
      <sz val="12"/>
      <color rgb="FF00B050"/>
      <name val="Calibri"/>
      <family val="2"/>
    </font>
    <font>
      <sz val="12"/>
      <color rgb="FFFF0000"/>
      <name val="Calibri"/>
      <family val="2"/>
    </font>
    <font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vertAlign val="superscript"/>
      <sz val="11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9C0006"/>
      <name val="Calibri"/>
      <family val="2"/>
      <scheme val="minor"/>
    </font>
    <font>
      <strike/>
      <sz val="11"/>
      <color rgb="FF9C0006"/>
      <name val="Calibri"/>
      <family val="2"/>
      <scheme val="minor"/>
    </font>
    <font>
      <sz val="11"/>
      <color rgb="FF00B050"/>
      <name val="Calibri"/>
      <family val="2"/>
    </font>
    <font>
      <sz val="11"/>
      <color rgb="FF0070C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</font>
    <font>
      <b/>
      <sz val="12"/>
      <color rgb="FFFF0000"/>
      <name val="Calibri"/>
      <family val="2"/>
      <scheme val="minor"/>
    </font>
    <font>
      <sz val="12"/>
      <color theme="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rgb="FF000000"/>
      </patternFill>
    </fill>
  </fills>
  <borders count="11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</borders>
  <cellStyleXfs count="3">
    <xf numFmtId="0" fontId="0" fillId="0" borderId="0"/>
    <xf numFmtId="0" fontId="5" fillId="0" borderId="0"/>
    <xf numFmtId="0" fontId="25" fillId="6" borderId="0" applyNumberFormat="0" applyBorder="0" applyAlignment="0" applyProtection="0"/>
  </cellStyleXfs>
  <cellXfs count="105">
    <xf numFmtId="0" fontId="0" fillId="0" borderId="0" xfId="0"/>
    <xf numFmtId="0" fontId="5" fillId="0" borderId="0" xfId="1"/>
    <xf numFmtId="0" fontId="5" fillId="2" borderId="0" xfId="1" applyFill="1"/>
    <xf numFmtId="0" fontId="4" fillId="0" borderId="0" xfId="1" applyFont="1"/>
    <xf numFmtId="0" fontId="5" fillId="0" borderId="0" xfId="1" applyBorder="1"/>
    <xf numFmtId="0" fontId="5" fillId="0" borderId="1" xfId="1" applyBorder="1"/>
    <xf numFmtId="0" fontId="7" fillId="3" borderId="1" xfId="1" applyFont="1" applyFill="1" applyBorder="1"/>
    <xf numFmtId="0" fontId="8" fillId="0" borderId="0" xfId="1" applyFont="1"/>
    <xf numFmtId="0" fontId="5" fillId="3" borderId="0" xfId="1" applyFill="1" applyAlignment="1">
      <alignment horizontal="right"/>
    </xf>
    <xf numFmtId="0" fontId="5" fillId="3" borderId="0" xfId="1" applyFill="1"/>
    <xf numFmtId="0" fontId="5" fillId="0" borderId="0" xfId="1" applyFont="1" applyFill="1"/>
    <xf numFmtId="0" fontId="3" fillId="4" borderId="0" xfId="0" applyFont="1" applyFill="1"/>
    <xf numFmtId="0" fontId="10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Font="1" applyFill="1" applyBorder="1"/>
    <xf numFmtId="0" fontId="11" fillId="0" borderId="0" xfId="0" applyFont="1" applyFill="1" applyBorder="1"/>
    <xf numFmtId="2" fontId="11" fillId="0" borderId="0" xfId="0" applyNumberFormat="1" applyFont="1" applyFill="1" applyBorder="1"/>
    <xf numFmtId="165" fontId="7" fillId="3" borderId="1" xfId="1" applyNumberFormat="1" applyFont="1" applyFill="1" applyBorder="1" applyAlignment="1">
      <alignment horizontal="right"/>
    </xf>
    <xf numFmtId="2" fontId="17" fillId="0" borderId="0" xfId="1" applyNumberFormat="1" applyFont="1"/>
    <xf numFmtId="0" fontId="5" fillId="0" borderId="0" xfId="1" applyFill="1" applyBorder="1"/>
    <xf numFmtId="0" fontId="7" fillId="0" borderId="0" xfId="1" applyFont="1" applyFill="1" applyBorder="1"/>
    <xf numFmtId="0" fontId="4" fillId="0" borderId="0" xfId="1" applyFont="1" applyFill="1" applyBorder="1"/>
    <xf numFmtId="0" fontId="5" fillId="0" borderId="0" xfId="1" applyFont="1" applyFill="1" applyBorder="1"/>
    <xf numFmtId="164" fontId="7" fillId="0" borderId="0" xfId="1" applyNumberFormat="1" applyFont="1" applyFill="1" applyBorder="1" applyAlignment="1">
      <alignment horizontal="right"/>
    </xf>
    <xf numFmtId="0" fontId="5" fillId="0" borderId="0" xfId="1" applyFill="1" applyBorder="1" applyAlignment="1">
      <alignment horizontal="right"/>
    </xf>
    <xf numFmtId="2" fontId="5" fillId="0" borderId="0" xfId="1" applyNumberFormat="1" applyFill="1" applyBorder="1"/>
    <xf numFmtId="2" fontId="7" fillId="0" borderId="0" xfId="1" applyNumberFormat="1" applyFont="1" applyFill="1" applyBorder="1" applyAlignment="1">
      <alignment horizontal="right"/>
    </xf>
    <xf numFmtId="0" fontId="5" fillId="0" borderId="0" xfId="1" applyAlignment="1">
      <alignment horizontal="center"/>
    </xf>
    <xf numFmtId="0" fontId="4" fillId="0" borderId="0" xfId="1" applyFont="1" applyAlignment="1">
      <alignment horizontal="right"/>
    </xf>
    <xf numFmtId="166" fontId="7" fillId="3" borderId="1" xfId="1" applyNumberFormat="1" applyFont="1" applyFill="1" applyBorder="1" applyAlignment="1">
      <alignment horizontal="right"/>
    </xf>
    <xf numFmtId="167" fontId="7" fillId="3" borderId="1" xfId="1" applyNumberFormat="1" applyFont="1" applyFill="1" applyBorder="1" applyAlignment="1">
      <alignment horizontal="right"/>
    </xf>
    <xf numFmtId="2" fontId="17" fillId="0" borderId="0" xfId="1" applyNumberFormat="1" applyFont="1" applyFill="1" applyBorder="1"/>
    <xf numFmtId="0" fontId="3" fillId="0" borderId="0" xfId="0" applyFont="1" applyFill="1" applyBorder="1"/>
    <xf numFmtId="0" fontId="8" fillId="0" borderId="0" xfId="1" applyFont="1" applyFill="1" applyBorder="1"/>
    <xf numFmtId="0" fontId="20" fillId="0" borderId="0" xfId="1" applyFont="1"/>
    <xf numFmtId="0" fontId="6" fillId="0" borderId="0" xfId="0" applyFont="1"/>
    <xf numFmtId="0" fontId="7" fillId="0" borderId="0" xfId="0" applyFont="1"/>
    <xf numFmtId="0" fontId="16" fillId="0" borderId="0" xfId="0" applyFont="1"/>
    <xf numFmtId="164" fontId="21" fillId="0" borderId="0" xfId="0" applyNumberFormat="1" applyFont="1"/>
    <xf numFmtId="164" fontId="21" fillId="0" borderId="0" xfId="0" applyNumberFormat="1" applyFont="1" applyAlignment="1">
      <alignment horizontal="center" vertical="center"/>
    </xf>
    <xf numFmtId="0" fontId="22" fillId="0" borderId="0" xfId="0" applyFont="1"/>
    <xf numFmtId="2" fontId="7" fillId="0" borderId="0" xfId="1" applyNumberFormat="1" applyFont="1" applyFill="1" applyBorder="1"/>
    <xf numFmtId="0" fontId="0" fillId="2" borderId="0" xfId="0" applyFill="1"/>
    <xf numFmtId="0" fontId="18" fillId="5" borderId="0" xfId="0" applyFont="1" applyFill="1"/>
    <xf numFmtId="0" fontId="16" fillId="5" borderId="0" xfId="0" applyFont="1" applyFill="1"/>
    <xf numFmtId="0" fontId="23" fillId="0" borderId="0" xfId="1" applyFont="1" applyFill="1" applyBorder="1"/>
    <xf numFmtId="0" fontId="23" fillId="0" borderId="0" xfId="1" applyFont="1"/>
    <xf numFmtId="0" fontId="24" fillId="0" borderId="0" xfId="0" applyFont="1" applyFill="1" applyBorder="1"/>
    <xf numFmtId="0" fontId="23" fillId="0" borderId="0" xfId="1" applyFont="1" applyAlignment="1">
      <alignment horizontal="right"/>
    </xf>
    <xf numFmtId="0" fontId="2" fillId="0" borderId="0" xfId="1" applyFont="1"/>
    <xf numFmtId="0" fontId="2" fillId="0" borderId="0" xfId="1" applyFont="1" applyFill="1" applyBorder="1"/>
    <xf numFmtId="2" fontId="5" fillId="0" borderId="0" xfId="1" applyNumberFormat="1"/>
    <xf numFmtId="0" fontId="18" fillId="0" borderId="0" xfId="0" applyFont="1"/>
    <xf numFmtId="0" fontId="25" fillId="6" borderId="0" xfId="2"/>
    <xf numFmtId="0" fontId="26" fillId="6" borderId="0" xfId="2" applyFont="1"/>
    <xf numFmtId="0" fontId="0" fillId="0" borderId="0" xfId="0" applyFill="1" applyBorder="1" applyAlignment="1"/>
    <xf numFmtId="0" fontId="0" fillId="0" borderId="2" xfId="0" applyFill="1" applyBorder="1" applyAlignment="1"/>
    <xf numFmtId="0" fontId="31" fillId="0" borderId="3" xfId="0" applyFont="1" applyFill="1" applyBorder="1" applyAlignment="1">
      <alignment horizontal="center"/>
    </xf>
    <xf numFmtId="0" fontId="31" fillId="0" borderId="3" xfId="0" applyFont="1" applyFill="1" applyBorder="1" applyAlignment="1">
      <alignment horizontal="centerContinuous"/>
    </xf>
    <xf numFmtId="165" fontId="21" fillId="0" borderId="0" xfId="0" applyNumberFormat="1" applyFont="1" applyAlignment="1">
      <alignment horizontal="center" vertical="center"/>
    </xf>
    <xf numFmtId="168" fontId="21" fillId="0" borderId="0" xfId="0" applyNumberFormat="1" applyFont="1" applyAlignment="1">
      <alignment horizontal="center" vertical="center"/>
    </xf>
    <xf numFmtId="0" fontId="27" fillId="0" borderId="0" xfId="0" applyFont="1" applyFill="1" applyBorder="1"/>
    <xf numFmtId="0" fontId="28" fillId="0" borderId="0" xfId="0" applyFont="1" applyFill="1" applyBorder="1"/>
    <xf numFmtId="0" fontId="29" fillId="0" borderId="0" xfId="0" applyFont="1" applyFill="1" applyBorder="1"/>
    <xf numFmtId="0" fontId="30" fillId="7" borderId="0" xfId="0" applyFont="1" applyFill="1" applyBorder="1"/>
    <xf numFmtId="0" fontId="30" fillId="2" borderId="0" xfId="0" applyFont="1" applyFill="1" applyBorder="1"/>
    <xf numFmtId="0" fontId="32" fillId="0" borderId="0" xfId="0" applyFont="1"/>
    <xf numFmtId="2" fontId="27" fillId="0" borderId="0" xfId="0" applyNumberFormat="1" applyFont="1" applyFill="1" applyBorder="1"/>
    <xf numFmtId="2" fontId="28" fillId="0" borderId="0" xfId="0" applyNumberFormat="1" applyFont="1" applyFill="1" applyBorder="1"/>
    <xf numFmtId="2" fontId="29" fillId="0" borderId="0" xfId="0" applyNumberFormat="1" applyFont="1" applyFill="1" applyBorder="1"/>
    <xf numFmtId="2" fontId="30" fillId="7" borderId="0" xfId="0" applyNumberFormat="1" applyFont="1" applyFill="1" applyBorder="1"/>
    <xf numFmtId="2" fontId="30" fillId="2" borderId="0" xfId="0" applyNumberFormat="1" applyFont="1" applyFill="1" applyBorder="1"/>
    <xf numFmtId="2" fontId="23" fillId="0" borderId="0" xfId="1" applyNumberFormat="1" applyFont="1" applyFill="1" applyBorder="1"/>
    <xf numFmtId="2" fontId="33" fillId="0" borderId="0" xfId="0" applyNumberFormat="1" applyFont="1" applyFill="1" applyBorder="1"/>
    <xf numFmtId="0" fontId="24" fillId="0" borderId="0" xfId="1" applyFont="1"/>
    <xf numFmtId="0" fontId="23" fillId="0" borderId="0" xfId="0" applyFont="1"/>
    <xf numFmtId="169" fontId="7" fillId="3" borderId="1" xfId="1" applyNumberFormat="1" applyFont="1" applyFill="1" applyBorder="1"/>
    <xf numFmtId="0" fontId="34" fillId="0" borderId="0" xfId="1" applyFont="1"/>
    <xf numFmtId="0" fontId="24" fillId="0" borderId="0" xfId="1" applyFont="1" applyFill="1" applyBorder="1"/>
    <xf numFmtId="0" fontId="23" fillId="0" borderId="1" xfId="1" applyFont="1" applyBorder="1"/>
    <xf numFmtId="167" fontId="23" fillId="3" borderId="1" xfId="1" applyNumberFormat="1" applyFont="1" applyFill="1" applyBorder="1" applyAlignment="1">
      <alignment horizontal="right"/>
    </xf>
    <xf numFmtId="2" fontId="23" fillId="0" borderId="0" xfId="1" applyNumberFormat="1" applyFont="1"/>
    <xf numFmtId="0" fontId="35" fillId="0" borderId="0" xfId="1" applyFont="1" applyFill="1" applyBorder="1"/>
    <xf numFmtId="0" fontId="34" fillId="0" borderId="0" xfId="1" applyFont="1" applyFill="1" applyBorder="1"/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2" fontId="17" fillId="0" borderId="0" xfId="1" applyNumberFormat="1" applyFont="1" applyFill="1" applyBorder="1" applyAlignment="1">
      <alignment horizontal="center"/>
    </xf>
    <xf numFmtId="0" fontId="26" fillId="0" borderId="0" xfId="2" applyFont="1" applyFill="1"/>
    <xf numFmtId="0" fontId="25" fillId="0" borderId="0" xfId="2" applyFill="1"/>
    <xf numFmtId="0" fontId="30" fillId="0" borderId="0" xfId="0" applyFont="1" applyFill="1" applyBorder="1"/>
    <xf numFmtId="2" fontId="5" fillId="0" borderId="0" xfId="1" applyNumberFormat="1" applyBorder="1"/>
    <xf numFmtId="0" fontId="5" fillId="0" borderId="10" xfId="1" applyBorder="1"/>
    <xf numFmtId="166" fontId="7" fillId="3" borderId="10" xfId="1" applyNumberFormat="1" applyFont="1" applyFill="1" applyBorder="1" applyAlignment="1">
      <alignment horizontal="right"/>
    </xf>
    <xf numFmtId="166" fontId="7" fillId="0" borderId="0" xfId="1" applyNumberFormat="1" applyFont="1" applyFill="1" applyBorder="1" applyAlignment="1">
      <alignment horizontal="right"/>
    </xf>
    <xf numFmtId="0" fontId="1" fillId="0" borderId="1" xfId="1" applyFont="1" applyBorder="1"/>
  </cellXfs>
  <cellStyles count="3">
    <cellStyle name="Incorrecto" xfId="2" builtinId="27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[1]Tetra!$E$4:$E$12</c:f>
              <c:numCache>
                <c:formatCode>General</c:formatCode>
                <c:ptCount val="9"/>
                <c:pt idx="0">
                  <c:v>-3.1981764992533361</c:v>
                </c:pt>
                <c:pt idx="8">
                  <c:v>-0.37814910257213175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53C-BC49-BBE5-D8E4B0C8C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5BB-4344-801E-FAAFDDBE2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[1]Tetra!$I$4:$I$12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64B-424D-9A4C-C5246FFB8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FD4-FD49-9B13-44563C6CC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[1]Tetra!$E$4:$E$12</c:f>
              <c:numCache>
                <c:formatCode>General</c:formatCode>
                <c:ptCount val="9"/>
                <c:pt idx="0">
                  <c:v>-3.1981764992533361</c:v>
                </c:pt>
                <c:pt idx="8">
                  <c:v>-0.37814910257213175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A1-074D-85D7-744E4BA0B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6E9-7D42-BC5E-1EBCFC35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[1]Tetra!$I$4:$I$12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D6-1042-8634-EF89CE7AA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D4A-FE4D-938D-08CC84282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[1]Tetra!$E$4:$E$12</c:f>
              <c:numCache>
                <c:formatCode>General</c:formatCode>
                <c:ptCount val="9"/>
                <c:pt idx="0">
                  <c:v>-3.1981764992533361</c:v>
                </c:pt>
                <c:pt idx="8">
                  <c:v>-0.37814910257213175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6F5-354B-B114-2C6199052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26-0D4C-8348-245FF9EA9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[1]Tetra!$I$4:$I$12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67-9547-9F4C-5C7E6A763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F5-4F42-BF73-30B749CAB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E6D-FC4A-9938-E50D231F5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[1]Tetra!$E$4:$E$12</c:f>
              <c:numCache>
                <c:formatCode>General</c:formatCode>
                <c:ptCount val="9"/>
                <c:pt idx="0">
                  <c:v>-3.1981764992533361</c:v>
                </c:pt>
                <c:pt idx="8">
                  <c:v>-0.37814910257213175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774-A242-A1AC-C14179AC4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FE5-5C4B-BE36-91E8DD3ED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[1]Tetra!$I$4:$I$12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42-1F48-BE3E-490A2AE24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DD8-DB4F-AD47-491521EE3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[1]Tetra!$E$4:$E$12</c:f>
              <c:numCache>
                <c:formatCode>General</c:formatCode>
                <c:ptCount val="9"/>
                <c:pt idx="0">
                  <c:v>-3.1981764992533361</c:v>
                </c:pt>
                <c:pt idx="8">
                  <c:v>-0.37814910257213175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CC-A143-B166-2B2A92B95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6FF-8847-9D89-13737CD8E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[1]Tetra!$I$4:$I$12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CC-3E47-A578-2BF5C2EA5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59C-5B4F-8F45-10FA0F00B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[1]Tetra!$E$4:$E$12</c:f>
              <c:numCache>
                <c:formatCode>General</c:formatCode>
                <c:ptCount val="9"/>
                <c:pt idx="0">
                  <c:v>-3.1981764992533361</c:v>
                </c:pt>
                <c:pt idx="8">
                  <c:v>-0.37814910257213175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52-144C-81EE-7B073FC91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[1]Tetra!$I$4:$I$12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4A-5F46-AD5E-F14F88BC0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B0-4044-899B-85540F58F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[1]Tetra!$I$4:$I$12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8B1-5E46-8B52-C07D7BF34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B0-8744-89C3-E16BE3A18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[1]Tetra!$E$4:$E$12</c:f>
              <c:numCache>
                <c:formatCode>General</c:formatCode>
                <c:ptCount val="9"/>
                <c:pt idx="0">
                  <c:v>-3.1981764992533361</c:v>
                </c:pt>
                <c:pt idx="8">
                  <c:v>-0.37814910257213175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46-CD4E-9B44-07D67C418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89-5545-8888-87B8EE978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[1]Tetra!$I$4:$I$12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C54-B14C-99E6-E6A6377F8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41-9A4D-9569-7322993BF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[1]Tetra!$E$4:$E$12</c:f>
              <c:numCache>
                <c:formatCode>General</c:formatCode>
                <c:ptCount val="9"/>
                <c:pt idx="0">
                  <c:v>-3.1981764992533361</c:v>
                </c:pt>
                <c:pt idx="8">
                  <c:v>-0.37814910257213175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3B-C446-BE17-5DC2455DC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EF3-5448-8186-CDEAACA3E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[1]Tetra!$I$4:$I$12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9F-CC49-A35F-E3AD060A0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1A-3C4E-8C3B-BBC7F99A0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13B-3541-8733-3B317B2C0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[1]Tetra!$E$4:$E$12</c:f>
              <c:numCache>
                <c:formatCode>General</c:formatCode>
                <c:ptCount val="9"/>
                <c:pt idx="0">
                  <c:v>-3.1981764992533361</c:v>
                </c:pt>
                <c:pt idx="8">
                  <c:v>-0.37814910257213175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CB-B34E-8B54-4676E1B2D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9D4-CD4E-82CF-992367A6B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[1]Tetra!$I$4:$I$12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18-9B48-8E4B-358D3B0D8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3C7-F24E-B663-7903591FF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[1]Tetra!$E$4:$E$12</c:f>
              <c:numCache>
                <c:formatCode>General</c:formatCode>
                <c:ptCount val="9"/>
                <c:pt idx="0">
                  <c:v>-3.1981764992533361</c:v>
                </c:pt>
                <c:pt idx="8">
                  <c:v>-0.37814910257213175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E27-A644-BF09-AD88EAFEE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676-F347-A9A1-36B3CB48E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[1]Tetra!$I$4:$I$12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28-B043-A3F1-9FB3D3598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838-5C41-BDB0-BB92FED7D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[1]Tetra!$E$4:$E$12</c:f>
              <c:numCache>
                <c:formatCode>General</c:formatCode>
                <c:ptCount val="9"/>
                <c:pt idx="0">
                  <c:v>-3.1981764992533361</c:v>
                </c:pt>
                <c:pt idx="8">
                  <c:v>-0.37814910257213175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9B-4BC3-811A-6E8A4DE9C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[1]Tetra!$E$4:$E$12</c:f>
              <c:numCache>
                <c:formatCode>General</c:formatCode>
                <c:ptCount val="9"/>
                <c:pt idx="0">
                  <c:v>-3.1981764992533361</c:v>
                </c:pt>
                <c:pt idx="8">
                  <c:v>-0.37814910257213175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186-CC48-96FD-BD6908447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CD7-48EF-8B97-CE5D40652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[1]Tetra!$I$4:$I$12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01-47F8-9285-262C56EBE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E6-45A1-8810-E9E730908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[1]Tetra!$E$4:$E$12</c:f>
              <c:numCache>
                <c:formatCode>General</c:formatCode>
                <c:ptCount val="9"/>
                <c:pt idx="0">
                  <c:v>-3.1981764992533361</c:v>
                </c:pt>
                <c:pt idx="8">
                  <c:v>-0.37814910257213175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272-463E-9135-1380C530A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315-4AC5-8337-05555F39D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[1]Tetra!$I$4:$I$12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C8-4169-88C4-A052B44A8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760-4406-AE3B-07EFCE887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SMX Experim.</c:v>
          </c:tx>
          <c:spPr>
            <a:ln w="6350" cap="rnd">
              <a:noFill/>
              <a:round/>
            </a:ln>
            <a:effectLst/>
          </c:spPr>
          <c:marker>
            <c:symbol val="squar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'SMX L-H'!$J$13:$J$46</c:f>
                <c:numCache>
                  <c:formatCode>General</c:formatCode>
                  <c:ptCount val="34"/>
                  <c:pt idx="0">
                    <c:v>23.880714642471428</c:v>
                  </c:pt>
                  <c:pt idx="1">
                    <c:v>23.898291841214185</c:v>
                  </c:pt>
                  <c:pt idx="2">
                    <c:v>23.880737073091758</c:v>
                  </c:pt>
                  <c:pt idx="3">
                    <c:v>23.931152501902773</c:v>
                  </c:pt>
                  <c:pt idx="4">
                    <c:v>23.887670580382739</c:v>
                  </c:pt>
                  <c:pt idx="5">
                    <c:v>23.952815876692547</c:v>
                  </c:pt>
                  <c:pt idx="6">
                    <c:v>23.883748336729813</c:v>
                  </c:pt>
                  <c:pt idx="7">
                    <c:v>23.879713575923233</c:v>
                  </c:pt>
                  <c:pt idx="8">
                    <c:v>23.901523779392775</c:v>
                  </c:pt>
                  <c:pt idx="9">
                    <c:v>23.890721456582359</c:v>
                  </c:pt>
                  <c:pt idx="10">
                    <c:v>23.879672097632103</c:v>
                  </c:pt>
                  <c:pt idx="11">
                    <c:v>24.008947948796209</c:v>
                  </c:pt>
                  <c:pt idx="12">
                    <c:v>23.99019144594163</c:v>
                  </c:pt>
                  <c:pt idx="13">
                    <c:v>24.030879627111997</c:v>
                  </c:pt>
                  <c:pt idx="14">
                    <c:v>23.918554893587164</c:v>
                  </c:pt>
                  <c:pt idx="15">
                    <c:v>23.891555944292005</c:v>
                  </c:pt>
                  <c:pt idx="16">
                    <c:v>25.077068026191462</c:v>
                  </c:pt>
                  <c:pt idx="17">
                    <c:v>27.498452817013472</c:v>
                  </c:pt>
                  <c:pt idx="18">
                    <c:v>27.913584827434256</c:v>
                  </c:pt>
                  <c:pt idx="19">
                    <c:v>35.966166609665549</c:v>
                  </c:pt>
                  <c:pt idx="20">
                    <c:v>36.648579674985761</c:v>
                  </c:pt>
                  <c:pt idx="21">
                    <c:v>38.745959568322448</c:v>
                  </c:pt>
                  <c:pt idx="22">
                    <c:v>37.037759395599053</c:v>
                  </c:pt>
                  <c:pt idx="23">
                    <c:v>26.198443720192348</c:v>
                  </c:pt>
                  <c:pt idx="24">
                    <c:v>25.233819006754327</c:v>
                  </c:pt>
                  <c:pt idx="25">
                    <c:v>35.208854604329765</c:v>
                  </c:pt>
                  <c:pt idx="26">
                    <c:v>38.018405627684444</c:v>
                  </c:pt>
                  <c:pt idx="27">
                    <c:v>53.298144370395946</c:v>
                  </c:pt>
                  <c:pt idx="28">
                    <c:v>34.401117915599798</c:v>
                  </c:pt>
                  <c:pt idx="29">
                    <c:v>32.937525758059884</c:v>
                  </c:pt>
                  <c:pt idx="30">
                    <c:v>33.36021362320686</c:v>
                  </c:pt>
                  <c:pt idx="31">
                    <c:v>49.368983463517196</c:v>
                  </c:pt>
                  <c:pt idx="32">
                    <c:v>29.617887730462243</c:v>
                  </c:pt>
                  <c:pt idx="33">
                    <c:v>33.770798907884576</c:v>
                  </c:pt>
                </c:numCache>
              </c:numRef>
            </c:plus>
            <c:minus>
              <c:numRef>
                <c:f>'SMX L-H'!$J$13:$J$46</c:f>
                <c:numCache>
                  <c:formatCode>General</c:formatCode>
                  <c:ptCount val="34"/>
                  <c:pt idx="0">
                    <c:v>23.880714642471428</c:v>
                  </c:pt>
                  <c:pt idx="1">
                    <c:v>23.898291841214185</c:v>
                  </c:pt>
                  <c:pt idx="2">
                    <c:v>23.880737073091758</c:v>
                  </c:pt>
                  <c:pt idx="3">
                    <c:v>23.931152501902773</c:v>
                  </c:pt>
                  <c:pt idx="4">
                    <c:v>23.887670580382739</c:v>
                  </c:pt>
                  <c:pt idx="5">
                    <c:v>23.952815876692547</c:v>
                  </c:pt>
                  <c:pt idx="6">
                    <c:v>23.883748336729813</c:v>
                  </c:pt>
                  <c:pt idx="7">
                    <c:v>23.879713575923233</c:v>
                  </c:pt>
                  <c:pt idx="8">
                    <c:v>23.901523779392775</c:v>
                  </c:pt>
                  <c:pt idx="9">
                    <c:v>23.890721456582359</c:v>
                  </c:pt>
                  <c:pt idx="10">
                    <c:v>23.879672097632103</c:v>
                  </c:pt>
                  <c:pt idx="11">
                    <c:v>24.008947948796209</c:v>
                  </c:pt>
                  <c:pt idx="12">
                    <c:v>23.99019144594163</c:v>
                  </c:pt>
                  <c:pt idx="13">
                    <c:v>24.030879627111997</c:v>
                  </c:pt>
                  <c:pt idx="14">
                    <c:v>23.918554893587164</c:v>
                  </c:pt>
                  <c:pt idx="15">
                    <c:v>23.891555944292005</c:v>
                  </c:pt>
                  <c:pt idx="16">
                    <c:v>25.077068026191462</c:v>
                  </c:pt>
                  <c:pt idx="17">
                    <c:v>27.498452817013472</c:v>
                  </c:pt>
                  <c:pt idx="18">
                    <c:v>27.913584827434256</c:v>
                  </c:pt>
                  <c:pt idx="19">
                    <c:v>35.966166609665549</c:v>
                  </c:pt>
                  <c:pt idx="20">
                    <c:v>36.648579674985761</c:v>
                  </c:pt>
                  <c:pt idx="21">
                    <c:v>38.745959568322448</c:v>
                  </c:pt>
                  <c:pt idx="22">
                    <c:v>37.037759395599053</c:v>
                  </c:pt>
                  <c:pt idx="23">
                    <c:v>26.198443720192348</c:v>
                  </c:pt>
                  <c:pt idx="24">
                    <c:v>25.233819006754327</c:v>
                  </c:pt>
                  <c:pt idx="25">
                    <c:v>35.208854604329765</c:v>
                  </c:pt>
                  <c:pt idx="26">
                    <c:v>38.018405627684444</c:v>
                  </c:pt>
                  <c:pt idx="27">
                    <c:v>53.298144370395946</c:v>
                  </c:pt>
                  <c:pt idx="28">
                    <c:v>34.401117915599798</c:v>
                  </c:pt>
                  <c:pt idx="29">
                    <c:v>32.937525758059884</c:v>
                  </c:pt>
                  <c:pt idx="30">
                    <c:v>33.36021362320686</c:v>
                  </c:pt>
                  <c:pt idx="31">
                    <c:v>49.368983463517196</c:v>
                  </c:pt>
                  <c:pt idx="32">
                    <c:v>29.617887730462243</c:v>
                  </c:pt>
                  <c:pt idx="33">
                    <c:v>33.770798907884576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'SMX L-H'!$B$13:$B$46</c:f>
              <c:numCache>
                <c:formatCode>0.00</c:formatCode>
                <c:ptCount val="34"/>
                <c:pt idx="0">
                  <c:v>989.28624414282581</c:v>
                </c:pt>
                <c:pt idx="1">
                  <c:v>974.28624414282581</c:v>
                </c:pt>
                <c:pt idx="2">
                  <c:v>959.28624414282581</c:v>
                </c:pt>
                <c:pt idx="3">
                  <c:v>944.28624414282581</c:v>
                </c:pt>
                <c:pt idx="4">
                  <c:v>929.28624414282581</c:v>
                </c:pt>
                <c:pt idx="5">
                  <c:v>917.60296318225096</c:v>
                </c:pt>
                <c:pt idx="6">
                  <c:v>914.28624414282581</c:v>
                </c:pt>
                <c:pt idx="7">
                  <c:v>899.28624414282581</c:v>
                </c:pt>
                <c:pt idx="8">
                  <c:v>887.60296318225096</c:v>
                </c:pt>
                <c:pt idx="9">
                  <c:v>857.60296318225096</c:v>
                </c:pt>
                <c:pt idx="10">
                  <c:v>842.60296318225096</c:v>
                </c:pt>
                <c:pt idx="11">
                  <c:v>827.60296318225096</c:v>
                </c:pt>
                <c:pt idx="12">
                  <c:v>812.60296318225096</c:v>
                </c:pt>
                <c:pt idx="13">
                  <c:v>797.60296318225096</c:v>
                </c:pt>
                <c:pt idx="14">
                  <c:v>782.60296318225096</c:v>
                </c:pt>
                <c:pt idx="15">
                  <c:v>767.60296318225096</c:v>
                </c:pt>
                <c:pt idx="16">
                  <c:v>336.13922523870258</c:v>
                </c:pt>
                <c:pt idx="17">
                  <c:v>306.13922523870258</c:v>
                </c:pt>
                <c:pt idx="18">
                  <c:v>276.13922523870258</c:v>
                </c:pt>
                <c:pt idx="19">
                  <c:v>261.13922523870258</c:v>
                </c:pt>
                <c:pt idx="20">
                  <c:v>246.13922523870261</c:v>
                </c:pt>
                <c:pt idx="21">
                  <c:v>231.13922523870261</c:v>
                </c:pt>
                <c:pt idx="22">
                  <c:v>216.13922523870261</c:v>
                </c:pt>
                <c:pt idx="23">
                  <c:v>201.13922523870261</c:v>
                </c:pt>
                <c:pt idx="24">
                  <c:v>186.13922523870261</c:v>
                </c:pt>
                <c:pt idx="25" formatCode="General">
                  <c:v>150</c:v>
                </c:pt>
                <c:pt idx="26" formatCode="General">
                  <c:v>120</c:v>
                </c:pt>
                <c:pt idx="27" formatCode="General">
                  <c:v>90</c:v>
                </c:pt>
                <c:pt idx="28" formatCode="General">
                  <c:v>75</c:v>
                </c:pt>
                <c:pt idx="29" formatCode="General">
                  <c:v>60</c:v>
                </c:pt>
                <c:pt idx="30" formatCode="General">
                  <c:v>45</c:v>
                </c:pt>
                <c:pt idx="31" formatCode="General">
                  <c:v>30</c:v>
                </c:pt>
                <c:pt idx="32" formatCode="General">
                  <c:v>15</c:v>
                </c:pt>
                <c:pt idx="33" formatCode="General">
                  <c:v>0</c:v>
                </c:pt>
              </c:numCache>
            </c:numRef>
          </c:xVal>
          <c:yVal>
            <c:numRef>
              <c:f>'SMX L-H'!$D$13:$D$46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3.1389438998489388E-160</c:v>
                </c:pt>
                <c:pt idx="17">
                  <c:v>9.9501332771016638E-146</c:v>
                </c:pt>
                <c:pt idx="18">
                  <c:v>3.1540911654026331E-131</c:v>
                </c:pt>
                <c:pt idx="19">
                  <c:v>5.615609679751598E-124</c:v>
                </c:pt>
                <c:pt idx="20">
                  <c:v>9.9981485700950731E-117</c:v>
                </c:pt>
                <c:pt idx="21">
                  <c:v>1.7800912194829743E-109</c:v>
                </c:pt>
                <c:pt idx="22">
                  <c:v>3.1693115254940156E-102</c:v>
                </c:pt>
                <c:pt idx="23">
                  <c:v>5.6427083262320835E-95</c:v>
                </c:pt>
                <c:pt idx="24">
                  <c:v>1.0046395565347845E-87</c:v>
                </c:pt>
                <c:pt idx="25">
                  <c:v>2.9550289285746148E-70</c:v>
                </c:pt>
                <c:pt idx="26">
                  <c:v>9.3671415020898252E-56</c:v>
                </c:pt>
                <c:pt idx="27">
                  <c:v>2.969288695339394E-41</c:v>
                </c:pt>
                <c:pt idx="28">
                  <c:v>5.286583508564051E-34</c:v>
                </c:pt>
                <c:pt idx="29">
                  <c:v>9.4123435140841055E-27</c:v>
                </c:pt>
                <c:pt idx="30">
                  <c:v>1.6757932657945524E-19</c:v>
                </c:pt>
                <c:pt idx="31">
                  <c:v>2.9836172739341836E-12</c:v>
                </c:pt>
                <c:pt idx="32">
                  <c:v>5.3120944086726079E-5</c:v>
                </c:pt>
                <c:pt idx="33">
                  <c:v>945.7763652588792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D1-8D43-9092-A46A2ADC5862}"/>
            </c:ext>
          </c:extLst>
        </c:ser>
        <c:ser>
          <c:idx val="1"/>
          <c:order val="1"/>
          <c:tx>
            <c:v>SMX Ajuste</c:v>
          </c:tx>
          <c:spPr>
            <a:ln w="95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'SMX L-H'!$B$13:$B$46</c:f>
              <c:numCache>
                <c:formatCode>0.00</c:formatCode>
                <c:ptCount val="34"/>
                <c:pt idx="0">
                  <c:v>989.28624414282581</c:v>
                </c:pt>
                <c:pt idx="1">
                  <c:v>974.28624414282581</c:v>
                </c:pt>
                <c:pt idx="2">
                  <c:v>959.28624414282581</c:v>
                </c:pt>
                <c:pt idx="3">
                  <c:v>944.28624414282581</c:v>
                </c:pt>
                <c:pt idx="4">
                  <c:v>929.28624414282581</c:v>
                </c:pt>
                <c:pt idx="5">
                  <c:v>917.60296318225096</c:v>
                </c:pt>
                <c:pt idx="6">
                  <c:v>914.28624414282581</c:v>
                </c:pt>
                <c:pt idx="7">
                  <c:v>899.28624414282581</c:v>
                </c:pt>
                <c:pt idx="8">
                  <c:v>887.60296318225096</c:v>
                </c:pt>
                <c:pt idx="9">
                  <c:v>857.60296318225096</c:v>
                </c:pt>
                <c:pt idx="10">
                  <c:v>842.60296318225096</c:v>
                </c:pt>
                <c:pt idx="11">
                  <c:v>827.60296318225096</c:v>
                </c:pt>
                <c:pt idx="12">
                  <c:v>812.60296318225096</c:v>
                </c:pt>
                <c:pt idx="13">
                  <c:v>797.60296318225096</c:v>
                </c:pt>
                <c:pt idx="14">
                  <c:v>782.60296318225096</c:v>
                </c:pt>
                <c:pt idx="15">
                  <c:v>767.60296318225096</c:v>
                </c:pt>
                <c:pt idx="16">
                  <c:v>336.13922523870258</c:v>
                </c:pt>
                <c:pt idx="17">
                  <c:v>306.13922523870258</c:v>
                </c:pt>
                <c:pt idx="18">
                  <c:v>276.13922523870258</c:v>
                </c:pt>
                <c:pt idx="19">
                  <c:v>261.13922523870258</c:v>
                </c:pt>
                <c:pt idx="20">
                  <c:v>246.13922523870261</c:v>
                </c:pt>
                <c:pt idx="21">
                  <c:v>231.13922523870261</c:v>
                </c:pt>
                <c:pt idx="22">
                  <c:v>216.13922523870261</c:v>
                </c:pt>
                <c:pt idx="23">
                  <c:v>201.13922523870261</c:v>
                </c:pt>
                <c:pt idx="24">
                  <c:v>186.13922523870261</c:v>
                </c:pt>
                <c:pt idx="25" formatCode="General">
                  <c:v>150</c:v>
                </c:pt>
                <c:pt idx="26" formatCode="General">
                  <c:v>120</c:v>
                </c:pt>
                <c:pt idx="27" formatCode="General">
                  <c:v>90</c:v>
                </c:pt>
                <c:pt idx="28" formatCode="General">
                  <c:v>75</c:v>
                </c:pt>
                <c:pt idx="29" formatCode="General">
                  <c:v>60</c:v>
                </c:pt>
                <c:pt idx="30" formatCode="General">
                  <c:v>45</c:v>
                </c:pt>
                <c:pt idx="31" formatCode="General">
                  <c:v>30</c:v>
                </c:pt>
                <c:pt idx="32" formatCode="General">
                  <c:v>15</c:v>
                </c:pt>
                <c:pt idx="33" formatCode="General">
                  <c:v>0</c:v>
                </c:pt>
              </c:numCache>
            </c:numRef>
          </c:xVal>
          <c:yVal>
            <c:numRef>
              <c:f>'SMX L-H'!$E$13:$E$46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84-4CE9-A203-C5CB1B2C5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12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200"/>
      </c:valAx>
      <c:valAx>
        <c:axId val="1320359279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 sz="1200"/>
                  <a:t>-ln(C</a:t>
                </a:r>
                <a:r>
                  <a:rPr lang="es-ES_tradnl" sz="1200" baseline="-25000"/>
                  <a:t>t</a:t>
                </a:r>
                <a:r>
                  <a:rPr lang="es-ES_tradnl" sz="1200" baseline="0"/>
                  <a:t>/C</a:t>
                </a:r>
                <a:r>
                  <a:rPr lang="es-ES_tradnl" sz="1200" baseline="-25000"/>
                  <a:t>0</a:t>
                </a:r>
                <a:r>
                  <a:rPr lang="es-ES_tradnl" sz="1200" baseline="0"/>
                  <a:t>)-k</a:t>
                </a:r>
                <a:r>
                  <a:rPr lang="es-ES_tradnl" sz="1200" baseline="-25000"/>
                  <a:t>2</a:t>
                </a:r>
                <a:r>
                  <a:rPr lang="es-ES_tradnl" sz="1200" baseline="0"/>
                  <a:t>·(</a:t>
                </a:r>
                <a:r>
                  <a:rPr lang="es-ES_tradnl" sz="1200" b="0" i="0" u="none" strike="noStrike" baseline="0">
                    <a:effectLst/>
                  </a:rPr>
                  <a:t>C</a:t>
                </a:r>
                <a:r>
                  <a:rPr lang="es-ES_tradnl" sz="1200" b="0" i="0" u="none" strike="noStrike" baseline="-25000">
                    <a:effectLst/>
                  </a:rPr>
                  <a:t>t</a:t>
                </a:r>
                <a:r>
                  <a:rPr lang="es-ES_tradnl" sz="1200" b="0" i="0" u="none" strike="noStrike" baseline="0">
                    <a:effectLst/>
                  </a:rPr>
                  <a:t>-C</a:t>
                </a:r>
                <a:r>
                  <a:rPr lang="es-ES_tradnl" sz="1200" b="0" i="0" u="none" strike="noStrike" baseline="-25000">
                    <a:effectLst/>
                  </a:rPr>
                  <a:t>0</a:t>
                </a:r>
                <a:r>
                  <a:rPr lang="es-ES_tradnl" sz="1200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0711761960088182"/>
          <c:y val="0.49592355643044628"/>
          <c:w val="0.14973137039010276"/>
          <c:h val="9.74133070248224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star"/>
            <c:size val="3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'SMX L-H'!$J$59:$J$92</c:f>
                <c:numCache>
                  <c:formatCode>General</c:formatCode>
                  <c:ptCount val="34"/>
                  <c:pt idx="0">
                    <c:v>0.21019886258579754</c:v>
                  </c:pt>
                  <c:pt idx="1">
                    <c:v>0.84806636889108578</c:v>
                  </c:pt>
                  <c:pt idx="2">
                    <c:v>0.2124913613334227</c:v>
                  </c:pt>
                  <c:pt idx="3">
                    <c:v>1.4086676623039993</c:v>
                  </c:pt>
                  <c:pt idx="4">
                    <c:v>0.55848552639103488</c:v>
                  </c:pt>
                  <c:pt idx="5">
                    <c:v>1.6793153969811279</c:v>
                  </c:pt>
                  <c:pt idx="6">
                    <c:v>0.40132870001231408</c:v>
                  </c:pt>
                  <c:pt idx="7">
                    <c:v>7.6634054966539147E-2</c:v>
                  </c:pt>
                  <c:pt idx="8">
                    <c:v>0.9195535945687574</c:v>
                  </c:pt>
                  <c:pt idx="9">
                    <c:v>0.65546908971128126</c:v>
                  </c:pt>
                  <c:pt idx="10">
                    <c:v>6.5425632271764997E-2</c:v>
                  </c:pt>
                  <c:pt idx="11">
                    <c:v>2.2354704399929197</c:v>
                  </c:pt>
                  <c:pt idx="12">
                    <c:v>2.0669995860484853</c:v>
                  </c:pt>
                  <c:pt idx="13">
                    <c:v>2.4185927060294361</c:v>
                  </c:pt>
                  <c:pt idx="14">
                    <c:v>1.2263147395760863</c:v>
                  </c:pt>
                  <c:pt idx="15">
                    <c:v>0.67998977702083541</c:v>
                  </c:pt>
                  <c:pt idx="16">
                    <c:v>6.8793559940784226</c:v>
                  </c:pt>
                  <c:pt idx="17">
                    <c:v>12.251232437414709</c:v>
                  </c:pt>
                  <c:pt idx="18">
                    <c:v>12.987004422968468</c:v>
                  </c:pt>
                  <c:pt idx="19">
                    <c:v>24.164232737371929</c:v>
                  </c:pt>
                  <c:pt idx="20">
                    <c:v>24.978240393042451</c:v>
                  </c:pt>
                  <c:pt idx="21">
                    <c:v>27.414679338764941</c:v>
                  </c:pt>
                  <c:pt idx="22">
                    <c:v>25.437445870314747</c:v>
                  </c:pt>
                  <c:pt idx="23">
                    <c:v>9.6820693491518561</c:v>
                  </c:pt>
                  <c:pt idx="24">
                    <c:v>7.3275038594301876</c:v>
                  </c:pt>
                  <c:pt idx="25">
                    <c:v>23.246536503445554</c:v>
                  </c:pt>
                  <c:pt idx="26">
                    <c:v>26.579743993817235</c:v>
                  </c:pt>
                  <c:pt idx="27">
                    <c:v>42.811715481707658</c:v>
                  </c:pt>
                  <c:pt idx="28">
                    <c:v>22.248882500551186</c:v>
                  </c:pt>
                  <c:pt idx="29">
                    <c:v>20.382651792202761</c:v>
                  </c:pt>
                  <c:pt idx="30">
                    <c:v>20.930230219657801</c:v>
                  </c:pt>
                  <c:pt idx="31">
                    <c:v>38.822677504739715</c:v>
                  </c:pt>
                  <c:pt idx="32">
                    <c:v>15.74218986047606</c:v>
                  </c:pt>
                  <c:pt idx="33">
                    <c:v>21.455191559193786</c:v>
                  </c:pt>
                </c:numCache>
              </c:numRef>
            </c:plus>
            <c:minus>
              <c:numRef>
                <c:f>'SMX L-H'!$J$59:$J$92</c:f>
                <c:numCache>
                  <c:formatCode>General</c:formatCode>
                  <c:ptCount val="34"/>
                  <c:pt idx="0">
                    <c:v>0.21019886258579754</c:v>
                  </c:pt>
                  <c:pt idx="1">
                    <c:v>0.84806636889108578</c:v>
                  </c:pt>
                  <c:pt idx="2">
                    <c:v>0.2124913613334227</c:v>
                  </c:pt>
                  <c:pt idx="3">
                    <c:v>1.4086676623039993</c:v>
                  </c:pt>
                  <c:pt idx="4">
                    <c:v>0.55848552639103488</c:v>
                  </c:pt>
                  <c:pt idx="5">
                    <c:v>1.6793153969811279</c:v>
                  </c:pt>
                  <c:pt idx="6">
                    <c:v>0.40132870001231408</c:v>
                  </c:pt>
                  <c:pt idx="7">
                    <c:v>7.6634054966539147E-2</c:v>
                  </c:pt>
                  <c:pt idx="8">
                    <c:v>0.9195535945687574</c:v>
                  </c:pt>
                  <c:pt idx="9">
                    <c:v>0.65546908971128126</c:v>
                  </c:pt>
                  <c:pt idx="10">
                    <c:v>6.5425632271764997E-2</c:v>
                  </c:pt>
                  <c:pt idx="11">
                    <c:v>2.2354704399929197</c:v>
                  </c:pt>
                  <c:pt idx="12">
                    <c:v>2.0669995860484853</c:v>
                  </c:pt>
                  <c:pt idx="13">
                    <c:v>2.4185927060294361</c:v>
                  </c:pt>
                  <c:pt idx="14">
                    <c:v>1.2263147395760863</c:v>
                  </c:pt>
                  <c:pt idx="15">
                    <c:v>0.67998977702083541</c:v>
                  </c:pt>
                  <c:pt idx="16">
                    <c:v>6.8793559940784226</c:v>
                  </c:pt>
                  <c:pt idx="17">
                    <c:v>12.251232437414709</c:v>
                  </c:pt>
                  <c:pt idx="18">
                    <c:v>12.987004422968468</c:v>
                  </c:pt>
                  <c:pt idx="19">
                    <c:v>24.164232737371929</c:v>
                  </c:pt>
                  <c:pt idx="20">
                    <c:v>24.978240393042451</c:v>
                  </c:pt>
                  <c:pt idx="21">
                    <c:v>27.414679338764941</c:v>
                  </c:pt>
                  <c:pt idx="22">
                    <c:v>25.437445870314747</c:v>
                  </c:pt>
                  <c:pt idx="23">
                    <c:v>9.6820693491518561</c:v>
                  </c:pt>
                  <c:pt idx="24">
                    <c:v>7.3275038594301876</c:v>
                  </c:pt>
                  <c:pt idx="25">
                    <c:v>23.246536503445554</c:v>
                  </c:pt>
                  <c:pt idx="26">
                    <c:v>26.579743993817235</c:v>
                  </c:pt>
                  <c:pt idx="27">
                    <c:v>42.811715481707658</c:v>
                  </c:pt>
                  <c:pt idx="28">
                    <c:v>22.248882500551186</c:v>
                  </c:pt>
                  <c:pt idx="29">
                    <c:v>20.382651792202761</c:v>
                  </c:pt>
                  <c:pt idx="30">
                    <c:v>20.930230219657801</c:v>
                  </c:pt>
                  <c:pt idx="31">
                    <c:v>38.822677504739715</c:v>
                  </c:pt>
                  <c:pt idx="32">
                    <c:v>15.74218986047606</c:v>
                  </c:pt>
                  <c:pt idx="33">
                    <c:v>21.455191559193786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Ref>
              <c:f>'SMX L-H'!$B$59:$B$92</c:f>
              <c:numCache>
                <c:formatCode>0.00</c:formatCode>
                <c:ptCount val="34"/>
                <c:pt idx="0">
                  <c:v>989.28624414282581</c:v>
                </c:pt>
                <c:pt idx="1">
                  <c:v>974.28624414282581</c:v>
                </c:pt>
                <c:pt idx="2">
                  <c:v>959.28624414282581</c:v>
                </c:pt>
                <c:pt idx="3">
                  <c:v>944.28624414282581</c:v>
                </c:pt>
                <c:pt idx="4">
                  <c:v>929.28624414282581</c:v>
                </c:pt>
                <c:pt idx="5">
                  <c:v>917.60296318225096</c:v>
                </c:pt>
                <c:pt idx="6">
                  <c:v>914.28624414282581</c:v>
                </c:pt>
                <c:pt idx="7">
                  <c:v>899.28624414282581</c:v>
                </c:pt>
                <c:pt idx="8">
                  <c:v>887.60296318225096</c:v>
                </c:pt>
                <c:pt idx="9">
                  <c:v>857.60296318225096</c:v>
                </c:pt>
                <c:pt idx="10">
                  <c:v>842.60296318225096</c:v>
                </c:pt>
                <c:pt idx="11">
                  <c:v>827.60296318225096</c:v>
                </c:pt>
                <c:pt idx="12">
                  <c:v>812.60296318225096</c:v>
                </c:pt>
                <c:pt idx="13">
                  <c:v>797.60296318225096</c:v>
                </c:pt>
                <c:pt idx="14">
                  <c:v>782.60296318225096</c:v>
                </c:pt>
                <c:pt idx="15">
                  <c:v>767.60296318225096</c:v>
                </c:pt>
                <c:pt idx="16">
                  <c:v>336.13922523870258</c:v>
                </c:pt>
                <c:pt idx="17">
                  <c:v>306.13922523870258</c:v>
                </c:pt>
                <c:pt idx="18">
                  <c:v>276.13922523870258</c:v>
                </c:pt>
                <c:pt idx="19">
                  <c:v>261.13922523870258</c:v>
                </c:pt>
                <c:pt idx="20">
                  <c:v>246.13922523870261</c:v>
                </c:pt>
                <c:pt idx="21">
                  <c:v>231.13922523870261</c:v>
                </c:pt>
                <c:pt idx="22">
                  <c:v>216.13922523870261</c:v>
                </c:pt>
                <c:pt idx="23">
                  <c:v>201.13922523870261</c:v>
                </c:pt>
                <c:pt idx="24">
                  <c:v>186.13922523870261</c:v>
                </c:pt>
                <c:pt idx="25" formatCode="General">
                  <c:v>150</c:v>
                </c:pt>
                <c:pt idx="26" formatCode="General">
                  <c:v>120</c:v>
                </c:pt>
                <c:pt idx="27" formatCode="General">
                  <c:v>90</c:v>
                </c:pt>
                <c:pt idx="28" formatCode="General">
                  <c:v>75</c:v>
                </c:pt>
                <c:pt idx="29" formatCode="General">
                  <c:v>60</c:v>
                </c:pt>
                <c:pt idx="30" formatCode="General">
                  <c:v>45</c:v>
                </c:pt>
                <c:pt idx="31" formatCode="General">
                  <c:v>30</c:v>
                </c:pt>
                <c:pt idx="32" formatCode="General">
                  <c:v>15</c:v>
                </c:pt>
                <c:pt idx="33" formatCode="General">
                  <c:v>0</c:v>
                </c:pt>
              </c:numCache>
            </c:numRef>
          </c:xVal>
          <c:yVal>
            <c:numRef>
              <c:f>'SMX L-H'!$C$59:$C$92</c:f>
              <c:numCache>
                <c:formatCode>0.00</c:formatCode>
                <c:ptCount val="34"/>
                <c:pt idx="0">
                  <c:v>10.934696518336736</c:v>
                </c:pt>
                <c:pt idx="1">
                  <c:v>13.432417935660355</c:v>
                </c:pt>
                <c:pt idx="2">
                  <c:v>13.702939530068083</c:v>
                </c:pt>
                <c:pt idx="3">
                  <c:v>15.2772152647079</c:v>
                </c:pt>
                <c:pt idx="4">
                  <c:v>17.667418721167866</c:v>
                </c:pt>
                <c:pt idx="5">
                  <c:v>16.365763605015374</c:v>
                </c:pt>
                <c:pt idx="6">
                  <c:v>18.232995585420333</c:v>
                </c:pt>
                <c:pt idx="7">
                  <c:v>19.121794394714854</c:v>
                </c:pt>
                <c:pt idx="8">
                  <c:v>20.879722874304868</c:v>
                </c:pt>
                <c:pt idx="9">
                  <c:v>21.593965305344835</c:v>
                </c:pt>
                <c:pt idx="10">
                  <c:v>23.859133358390192</c:v>
                </c:pt>
                <c:pt idx="11">
                  <c:v>29.720465433531903</c:v>
                </c:pt>
                <c:pt idx="12">
                  <c:v>36.168797093770067</c:v>
                </c:pt>
                <c:pt idx="13">
                  <c:v>40.87000855578831</c:v>
                </c:pt>
                <c:pt idx="14">
                  <c:v>40.193992762834228</c:v>
                </c:pt>
                <c:pt idx="15">
                  <c:v>44.819358160821601</c:v>
                </c:pt>
                <c:pt idx="16">
                  <c:v>231.35469884666313</c:v>
                </c:pt>
                <c:pt idx="17">
                  <c:v>244.32464215463915</c:v>
                </c:pt>
                <c:pt idx="18">
                  <c:v>257.39206309690496</c:v>
                </c:pt>
                <c:pt idx="19">
                  <c:v>296.19534014481178</c:v>
                </c:pt>
                <c:pt idx="20">
                  <c:v>308.37480889052438</c:v>
                </c:pt>
                <c:pt idx="21">
                  <c:v>326.29151403385777</c:v>
                </c:pt>
                <c:pt idx="22">
                  <c:v>358.34917035920267</c:v>
                </c:pt>
                <c:pt idx="23">
                  <c:v>424.08419701737142</c:v>
                </c:pt>
                <c:pt idx="24">
                  <c:v>459.35132084731799</c:v>
                </c:pt>
                <c:pt idx="25">
                  <c:v>545.71255856391952</c:v>
                </c:pt>
                <c:pt idx="26">
                  <c:v>533.84696234008982</c:v>
                </c:pt>
                <c:pt idx="27" formatCode="General">
                  <c:v>635.35001115260627</c:v>
                </c:pt>
                <c:pt idx="28">
                  <c:v>697.81685970231615</c:v>
                </c:pt>
                <c:pt idx="29">
                  <c:v>691.85392117462334</c:v>
                </c:pt>
                <c:pt idx="30">
                  <c:v>732.90501763829457</c:v>
                </c:pt>
                <c:pt idx="31">
                  <c:v>807.4023574092796</c:v>
                </c:pt>
                <c:pt idx="32" formatCode="General">
                  <c:v>785.20389652052188</c:v>
                </c:pt>
                <c:pt idx="33">
                  <c:v>945.7763652588792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4F-9043-9E31-255105322931}"/>
            </c:ext>
          </c:extLst>
        </c:ser>
        <c:ser>
          <c:idx val="4"/>
          <c:order val="1"/>
          <c:spPr>
            <a:ln w="95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'SMX L-H'!$K$59:$K$100</c:f>
              <c:numCache>
                <c:formatCode>0.00</c:formatCode>
                <c:ptCount val="42"/>
                <c:pt idx="0">
                  <c:v>989.28624414282581</c:v>
                </c:pt>
                <c:pt idx="1">
                  <c:v>974.28624414282581</c:v>
                </c:pt>
                <c:pt idx="2">
                  <c:v>959.28624414282581</c:v>
                </c:pt>
                <c:pt idx="3">
                  <c:v>944.28624414282581</c:v>
                </c:pt>
                <c:pt idx="4">
                  <c:v>929.28624414282581</c:v>
                </c:pt>
                <c:pt idx="5">
                  <c:v>917.60296318225096</c:v>
                </c:pt>
                <c:pt idx="6">
                  <c:v>914.28624414282581</c:v>
                </c:pt>
                <c:pt idx="7">
                  <c:v>899.28624414282581</c:v>
                </c:pt>
                <c:pt idx="8">
                  <c:v>887.60296318225096</c:v>
                </c:pt>
                <c:pt idx="9">
                  <c:v>857.60296318225096</c:v>
                </c:pt>
                <c:pt idx="10">
                  <c:v>842.60296318225096</c:v>
                </c:pt>
                <c:pt idx="11">
                  <c:v>827.60296318225096</c:v>
                </c:pt>
                <c:pt idx="12">
                  <c:v>812.60296318225096</c:v>
                </c:pt>
                <c:pt idx="13">
                  <c:v>797.60296318225096</c:v>
                </c:pt>
                <c:pt idx="14">
                  <c:v>782.60296318225096</c:v>
                </c:pt>
                <c:pt idx="15">
                  <c:v>767.60296318225096</c:v>
                </c:pt>
                <c:pt idx="16" formatCode="General">
                  <c:v>750</c:v>
                </c:pt>
                <c:pt idx="17" formatCode="General">
                  <c:v>700</c:v>
                </c:pt>
                <c:pt idx="18" formatCode="General">
                  <c:v>650</c:v>
                </c:pt>
                <c:pt idx="19" formatCode="General">
                  <c:v>600</c:v>
                </c:pt>
                <c:pt idx="20" formatCode="General">
                  <c:v>550</c:v>
                </c:pt>
                <c:pt idx="21" formatCode="General">
                  <c:v>500</c:v>
                </c:pt>
                <c:pt idx="22" formatCode="General">
                  <c:v>450</c:v>
                </c:pt>
                <c:pt idx="23" formatCode="General">
                  <c:v>400</c:v>
                </c:pt>
                <c:pt idx="24">
                  <c:v>336.13922523870258</c:v>
                </c:pt>
                <c:pt idx="25">
                  <c:v>306.13922523870258</c:v>
                </c:pt>
                <c:pt idx="26">
                  <c:v>276.13922523870258</c:v>
                </c:pt>
                <c:pt idx="27">
                  <c:v>261.13922523870258</c:v>
                </c:pt>
                <c:pt idx="28">
                  <c:v>246.13922523870261</c:v>
                </c:pt>
                <c:pt idx="29">
                  <c:v>231.13922523870261</c:v>
                </c:pt>
                <c:pt idx="30">
                  <c:v>216.13922523870261</c:v>
                </c:pt>
                <c:pt idx="31">
                  <c:v>201.13922523870261</c:v>
                </c:pt>
                <c:pt idx="32">
                  <c:v>186.13922523870261</c:v>
                </c:pt>
                <c:pt idx="33" formatCode="General">
                  <c:v>150</c:v>
                </c:pt>
                <c:pt idx="34" formatCode="General">
                  <c:v>120</c:v>
                </c:pt>
                <c:pt idx="35" formatCode="General">
                  <c:v>90</c:v>
                </c:pt>
                <c:pt idx="36" formatCode="General">
                  <c:v>75</c:v>
                </c:pt>
                <c:pt idx="37" formatCode="General">
                  <c:v>60</c:v>
                </c:pt>
                <c:pt idx="38" formatCode="General">
                  <c:v>45</c:v>
                </c:pt>
                <c:pt idx="39" formatCode="General">
                  <c:v>30</c:v>
                </c:pt>
                <c:pt idx="40" formatCode="General">
                  <c:v>15</c:v>
                </c:pt>
                <c:pt idx="41" formatCode="General">
                  <c:v>0</c:v>
                </c:pt>
              </c:numCache>
            </c:numRef>
          </c:xVal>
          <c:yVal>
            <c:numRef>
              <c:f>'SMX L-H'!$L$59:$L$100</c:f>
              <c:numCache>
                <c:formatCode>0.000000000</c:formatCode>
                <c:ptCount val="42"/>
                <c:pt idx="0">
                  <c:v>13.547246521740066</c:v>
                </c:pt>
                <c:pt idx="1">
                  <c:v>14.448063124336668</c:v>
                </c:pt>
                <c:pt idx="2">
                  <c:v>15.40877905431338</c:v>
                </c:pt>
                <c:pt idx="3">
                  <c:v>16.433377947917577</c:v>
                </c:pt>
                <c:pt idx="4">
                  <c:v>17.526106272756572</c:v>
                </c:pt>
                <c:pt idx="5">
                  <c:v>18.42731253651392</c:v>
                </c:pt>
                <c:pt idx="6">
                  <c:v>18.6914959184849</c:v>
                </c:pt>
                <c:pt idx="7">
                  <c:v>19.934375629644066</c:v>
                </c:pt>
                <c:pt idx="8">
                  <c:v>20.959416390754733</c:v>
                </c:pt>
                <c:pt idx="9">
                  <c:v>23.839458813992042</c:v>
                </c:pt>
                <c:pt idx="10">
                  <c:v>25.424650704593592</c:v>
                </c:pt>
                <c:pt idx="11">
                  <c:v>27.115249064855441</c:v>
                </c:pt>
                <c:pt idx="12">
                  <c:v>28.91826284349737</c:v>
                </c:pt>
                <c:pt idx="13">
                  <c:v>30.841168942276166</c:v>
                </c:pt>
                <c:pt idx="14">
                  <c:v>32.891935332149522</c:v>
                </c:pt>
                <c:pt idx="15">
                  <c:v>35.079066307214951</c:v>
                </c:pt>
                <c:pt idx="16" formatCode="General">
                  <c:v>37.831912132727176</c:v>
                </c:pt>
                <c:pt idx="17" formatCode="General">
                  <c:v>46.887128381700101</c:v>
                </c:pt>
                <c:pt idx="18" formatCode="General">
                  <c:v>58.109745908657572</c:v>
                </c:pt>
                <c:pt idx="19" formatCode="General">
                  <c:v>72.018540972364875</c:v>
                </c:pt>
                <c:pt idx="20" formatCode="General">
                  <c:v>89.256461596682286</c:v>
                </c:pt>
                <c:pt idx="21" formatCode="General">
                  <c:v>110.62034447756336</c:v>
                </c:pt>
                <c:pt idx="22" formatCode="General">
                  <c:v>137.09775283210294</c:v>
                </c:pt>
                <c:pt idx="23" formatCode="General">
                  <c:v>169.91264675035606</c:v>
                </c:pt>
                <c:pt idx="24">
                  <c:v>223.48904536659677</c:v>
                </c:pt>
                <c:pt idx="25">
                  <c:v>254.19877129383909</c:v>
                </c:pt>
                <c:pt idx="26">
                  <c:v>289.12833387931863</c:v>
                </c:pt>
                <c:pt idx="27">
                  <c:v>308.35376593878743</c:v>
                </c:pt>
                <c:pt idx="28">
                  <c:v>328.85758270561013</c:v>
                </c:pt>
                <c:pt idx="29">
                  <c:v>350.72478972066625</c:v>
                </c:pt>
                <c:pt idx="30">
                  <c:v>374.04604499789815</c:v>
                </c:pt>
                <c:pt idx="31" formatCode="0.0000000">
                  <c:v>398.91803494832038</c:v>
                </c:pt>
                <c:pt idx="32" formatCode="0.0000000">
                  <c:v>425.44387532261021</c:v>
                </c:pt>
                <c:pt idx="33" formatCode="0.0000000">
                  <c:v>496.82383485547535</c:v>
                </c:pt>
                <c:pt idx="34" formatCode="0.0000000">
                  <c:v>565.09260574320626</c:v>
                </c:pt>
                <c:pt idx="35" formatCode="0.0000000">
                  <c:v>642.74222393817831</c:v>
                </c:pt>
                <c:pt idx="36" formatCode="0.0000000">
                  <c:v>685.48102271047173</c:v>
                </c:pt>
                <c:pt idx="37" formatCode="0.0000000">
                  <c:v>731.06171530168638</c:v>
                </c:pt>
                <c:pt idx="38" formatCode="0.0000000">
                  <c:v>779.67327099445663</c:v>
                </c:pt>
                <c:pt idx="39" formatCode="0.0000000">
                  <c:v>831.5172247718483</c:v>
                </c:pt>
                <c:pt idx="40" formatCode="0.0000000">
                  <c:v>886.80851313956657</c:v>
                </c:pt>
                <c:pt idx="41" formatCode="0.0000000">
                  <c:v>945.77643501487148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F4F-9043-9E31-255105322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12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200"/>
      </c:valAx>
      <c:valAx>
        <c:axId val="1320359279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75883476565748"/>
          <c:y val="0.15913933338977793"/>
          <c:w val="0.2102356199024849"/>
          <c:h val="9.6774870883075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squar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'SMX L-H'!$J$13:$J$46</c:f>
                <c:numCache>
                  <c:formatCode>General</c:formatCode>
                  <c:ptCount val="34"/>
                  <c:pt idx="0">
                    <c:v>23.880714642471428</c:v>
                  </c:pt>
                  <c:pt idx="1">
                    <c:v>23.898291841214185</c:v>
                  </c:pt>
                  <c:pt idx="2">
                    <c:v>23.880737073091758</c:v>
                  </c:pt>
                  <c:pt idx="3">
                    <c:v>23.931152501902773</c:v>
                  </c:pt>
                  <c:pt idx="4">
                    <c:v>23.887670580382739</c:v>
                  </c:pt>
                  <c:pt idx="5">
                    <c:v>23.952815876692547</c:v>
                  </c:pt>
                  <c:pt idx="6">
                    <c:v>23.883748336729813</c:v>
                  </c:pt>
                  <c:pt idx="7">
                    <c:v>23.879713575923233</c:v>
                  </c:pt>
                  <c:pt idx="8">
                    <c:v>23.901523779392775</c:v>
                  </c:pt>
                  <c:pt idx="9">
                    <c:v>23.890721456582359</c:v>
                  </c:pt>
                  <c:pt idx="10">
                    <c:v>23.879672097632103</c:v>
                  </c:pt>
                  <c:pt idx="11">
                    <c:v>24.008947948796209</c:v>
                  </c:pt>
                  <c:pt idx="12">
                    <c:v>23.99019144594163</c:v>
                  </c:pt>
                  <c:pt idx="13">
                    <c:v>24.030879627111997</c:v>
                  </c:pt>
                  <c:pt idx="14">
                    <c:v>23.918554893587164</c:v>
                  </c:pt>
                  <c:pt idx="15">
                    <c:v>23.891555944292005</c:v>
                  </c:pt>
                  <c:pt idx="16">
                    <c:v>25.077068026191462</c:v>
                  </c:pt>
                  <c:pt idx="17">
                    <c:v>27.498452817013472</c:v>
                  </c:pt>
                  <c:pt idx="18">
                    <c:v>27.913584827434256</c:v>
                  </c:pt>
                  <c:pt idx="19">
                    <c:v>35.966166609665549</c:v>
                  </c:pt>
                  <c:pt idx="20">
                    <c:v>36.648579674985761</c:v>
                  </c:pt>
                  <c:pt idx="21">
                    <c:v>38.745959568322448</c:v>
                  </c:pt>
                  <c:pt idx="22">
                    <c:v>37.037759395599053</c:v>
                  </c:pt>
                  <c:pt idx="23">
                    <c:v>26.198443720192348</c:v>
                  </c:pt>
                  <c:pt idx="24">
                    <c:v>25.233819006754327</c:v>
                  </c:pt>
                  <c:pt idx="25">
                    <c:v>35.208854604329765</c:v>
                  </c:pt>
                  <c:pt idx="26">
                    <c:v>38.018405627684444</c:v>
                  </c:pt>
                  <c:pt idx="27">
                    <c:v>53.298144370395946</c:v>
                  </c:pt>
                  <c:pt idx="28">
                    <c:v>34.401117915599798</c:v>
                  </c:pt>
                  <c:pt idx="29">
                    <c:v>32.937525758059884</c:v>
                  </c:pt>
                  <c:pt idx="30">
                    <c:v>33.36021362320686</c:v>
                  </c:pt>
                  <c:pt idx="31">
                    <c:v>49.368983463517196</c:v>
                  </c:pt>
                  <c:pt idx="32">
                    <c:v>29.617887730462243</c:v>
                  </c:pt>
                  <c:pt idx="33">
                    <c:v>33.770798907884576</c:v>
                  </c:pt>
                </c:numCache>
              </c:numRef>
            </c:plus>
            <c:minus>
              <c:numRef>
                <c:f>'SMX L-H'!$J$13:$J$46</c:f>
                <c:numCache>
                  <c:formatCode>General</c:formatCode>
                  <c:ptCount val="34"/>
                  <c:pt idx="0">
                    <c:v>23.880714642471428</c:v>
                  </c:pt>
                  <c:pt idx="1">
                    <c:v>23.898291841214185</c:v>
                  </c:pt>
                  <c:pt idx="2">
                    <c:v>23.880737073091758</c:v>
                  </c:pt>
                  <c:pt idx="3">
                    <c:v>23.931152501902773</c:v>
                  </c:pt>
                  <c:pt idx="4">
                    <c:v>23.887670580382739</c:v>
                  </c:pt>
                  <c:pt idx="5">
                    <c:v>23.952815876692547</c:v>
                  </c:pt>
                  <c:pt idx="6">
                    <c:v>23.883748336729813</c:v>
                  </c:pt>
                  <c:pt idx="7">
                    <c:v>23.879713575923233</c:v>
                  </c:pt>
                  <c:pt idx="8">
                    <c:v>23.901523779392775</c:v>
                  </c:pt>
                  <c:pt idx="9">
                    <c:v>23.890721456582359</c:v>
                  </c:pt>
                  <c:pt idx="10">
                    <c:v>23.879672097632103</c:v>
                  </c:pt>
                  <c:pt idx="11">
                    <c:v>24.008947948796209</c:v>
                  </c:pt>
                  <c:pt idx="12">
                    <c:v>23.99019144594163</c:v>
                  </c:pt>
                  <c:pt idx="13">
                    <c:v>24.030879627111997</c:v>
                  </c:pt>
                  <c:pt idx="14">
                    <c:v>23.918554893587164</c:v>
                  </c:pt>
                  <c:pt idx="15">
                    <c:v>23.891555944292005</c:v>
                  </c:pt>
                  <c:pt idx="16">
                    <c:v>25.077068026191462</c:v>
                  </c:pt>
                  <c:pt idx="17">
                    <c:v>27.498452817013472</c:v>
                  </c:pt>
                  <c:pt idx="18">
                    <c:v>27.913584827434256</c:v>
                  </c:pt>
                  <c:pt idx="19">
                    <c:v>35.966166609665549</c:v>
                  </c:pt>
                  <c:pt idx="20">
                    <c:v>36.648579674985761</c:v>
                  </c:pt>
                  <c:pt idx="21">
                    <c:v>38.745959568322448</c:v>
                  </c:pt>
                  <c:pt idx="22">
                    <c:v>37.037759395599053</c:v>
                  </c:pt>
                  <c:pt idx="23">
                    <c:v>26.198443720192348</c:v>
                  </c:pt>
                  <c:pt idx="24">
                    <c:v>25.233819006754327</c:v>
                  </c:pt>
                  <c:pt idx="25">
                    <c:v>35.208854604329765</c:v>
                  </c:pt>
                  <c:pt idx="26">
                    <c:v>38.018405627684444</c:v>
                  </c:pt>
                  <c:pt idx="27">
                    <c:v>53.298144370395946</c:v>
                  </c:pt>
                  <c:pt idx="28">
                    <c:v>34.401117915599798</c:v>
                  </c:pt>
                  <c:pt idx="29">
                    <c:v>32.937525758059884</c:v>
                  </c:pt>
                  <c:pt idx="30">
                    <c:v>33.36021362320686</c:v>
                  </c:pt>
                  <c:pt idx="31">
                    <c:v>49.368983463517196</c:v>
                  </c:pt>
                  <c:pt idx="32">
                    <c:v>29.617887730462243</c:v>
                  </c:pt>
                  <c:pt idx="33">
                    <c:v>33.770798907884576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'SMX L-H'!$B$13:$B$46</c:f>
              <c:numCache>
                <c:formatCode>0.00</c:formatCode>
                <c:ptCount val="34"/>
                <c:pt idx="0">
                  <c:v>989.28624414282581</c:v>
                </c:pt>
                <c:pt idx="1">
                  <c:v>974.28624414282581</c:v>
                </c:pt>
                <c:pt idx="2">
                  <c:v>959.28624414282581</c:v>
                </c:pt>
                <c:pt idx="3">
                  <c:v>944.28624414282581</c:v>
                </c:pt>
                <c:pt idx="4">
                  <c:v>929.28624414282581</c:v>
                </c:pt>
                <c:pt idx="5">
                  <c:v>917.60296318225096</c:v>
                </c:pt>
                <c:pt idx="6">
                  <c:v>914.28624414282581</c:v>
                </c:pt>
                <c:pt idx="7">
                  <c:v>899.28624414282581</c:v>
                </c:pt>
                <c:pt idx="8">
                  <c:v>887.60296318225096</c:v>
                </c:pt>
                <c:pt idx="9">
                  <c:v>857.60296318225096</c:v>
                </c:pt>
                <c:pt idx="10">
                  <c:v>842.60296318225096</c:v>
                </c:pt>
                <c:pt idx="11">
                  <c:v>827.60296318225096</c:v>
                </c:pt>
                <c:pt idx="12">
                  <c:v>812.60296318225096</c:v>
                </c:pt>
                <c:pt idx="13">
                  <c:v>797.60296318225096</c:v>
                </c:pt>
                <c:pt idx="14">
                  <c:v>782.60296318225096</c:v>
                </c:pt>
                <c:pt idx="15">
                  <c:v>767.60296318225096</c:v>
                </c:pt>
                <c:pt idx="16">
                  <c:v>336.13922523870258</c:v>
                </c:pt>
                <c:pt idx="17">
                  <c:v>306.13922523870258</c:v>
                </c:pt>
                <c:pt idx="18">
                  <c:v>276.13922523870258</c:v>
                </c:pt>
                <c:pt idx="19">
                  <c:v>261.13922523870258</c:v>
                </c:pt>
                <c:pt idx="20">
                  <c:v>246.13922523870261</c:v>
                </c:pt>
                <c:pt idx="21">
                  <c:v>231.13922523870261</c:v>
                </c:pt>
                <c:pt idx="22">
                  <c:v>216.13922523870261</c:v>
                </c:pt>
                <c:pt idx="23">
                  <c:v>201.13922523870261</c:v>
                </c:pt>
                <c:pt idx="24">
                  <c:v>186.13922523870261</c:v>
                </c:pt>
                <c:pt idx="25" formatCode="General">
                  <c:v>150</c:v>
                </c:pt>
                <c:pt idx="26" formatCode="General">
                  <c:v>120</c:v>
                </c:pt>
                <c:pt idx="27" formatCode="General">
                  <c:v>90</c:v>
                </c:pt>
                <c:pt idx="28" formatCode="General">
                  <c:v>75</c:v>
                </c:pt>
                <c:pt idx="29" formatCode="General">
                  <c:v>60</c:v>
                </c:pt>
                <c:pt idx="30" formatCode="General">
                  <c:v>45</c:v>
                </c:pt>
                <c:pt idx="31" formatCode="General">
                  <c:v>30</c:v>
                </c:pt>
                <c:pt idx="32" formatCode="General">
                  <c:v>15</c:v>
                </c:pt>
                <c:pt idx="33" formatCode="General">
                  <c:v>0</c:v>
                </c:pt>
              </c:numCache>
            </c:numRef>
          </c:xVal>
          <c:yVal>
            <c:numRef>
              <c:f>'SMX L-H'!$L$13:$L$46</c:f>
              <c:numCache>
                <c:formatCode>General</c:formatCode>
                <c:ptCount val="34"/>
                <c:pt idx="0">
                  <c:v>4.4600652402392376</c:v>
                </c:pt>
                <c:pt idx="1">
                  <c:v>4.2543351065290471</c:v>
                </c:pt>
                <c:pt idx="2">
                  <c:v>4.234395766687304</c:v>
                </c:pt>
                <c:pt idx="3">
                  <c:v>4.1256436206890479</c:v>
                </c:pt>
                <c:pt idx="4">
                  <c:v>3.9802839476436334</c:v>
                </c:pt>
                <c:pt idx="5">
                  <c:v>4.0568145730172214</c:v>
                </c:pt>
                <c:pt idx="6">
                  <c:v>3.9487732438075906</c:v>
                </c:pt>
                <c:pt idx="7">
                  <c:v>3.9011773884286463</c:v>
                </c:pt>
                <c:pt idx="8">
                  <c:v>3.8132276501213624</c:v>
                </c:pt>
                <c:pt idx="9">
                  <c:v>3.7795922491009932</c:v>
                </c:pt>
                <c:pt idx="10">
                  <c:v>3.6798390466792918</c:v>
                </c:pt>
                <c:pt idx="11">
                  <c:v>3.4601702604005631</c:v>
                </c:pt>
                <c:pt idx="12">
                  <c:v>3.2638093523482636</c:v>
                </c:pt>
                <c:pt idx="13">
                  <c:v>3.1416096338266222</c:v>
                </c:pt>
                <c:pt idx="14">
                  <c:v>3.1582885900460198</c:v>
                </c:pt>
                <c:pt idx="15">
                  <c:v>3.0493659928484229</c:v>
                </c:pt>
                <c:pt idx="16">
                  <c:v>1.4080541150435844</c:v>
                </c:pt>
                <c:pt idx="17">
                  <c:v>1.3535082991489993</c:v>
                </c:pt>
                <c:pt idx="18">
                  <c:v>1.3014056809570538</c:v>
                </c:pt>
                <c:pt idx="19">
                  <c:v>1.160986971158569</c:v>
                </c:pt>
                <c:pt idx="20">
                  <c:v>1.1206901856257552</c:v>
                </c:pt>
                <c:pt idx="21">
                  <c:v>1.0642149441217184</c:v>
                </c:pt>
                <c:pt idx="22">
                  <c:v>0.97049829347602878</c:v>
                </c:pt>
                <c:pt idx="23">
                  <c:v>0.80207412735517458</c:v>
                </c:pt>
                <c:pt idx="24">
                  <c:v>0.72219081856059664</c:v>
                </c:pt>
                <c:pt idx="25">
                  <c:v>0.54991375313924251</c:v>
                </c:pt>
                <c:pt idx="26">
                  <c:v>0.57189693023624022</c:v>
                </c:pt>
                <c:pt idx="27">
                  <c:v>0.3978300950402881</c:v>
                </c:pt>
                <c:pt idx="28">
                  <c:v>0.30404945105922015</c:v>
                </c:pt>
                <c:pt idx="29">
                  <c:v>0.31263130397912614</c:v>
                </c:pt>
                <c:pt idx="30">
                  <c:v>0.25499002755638001</c:v>
                </c:pt>
                <c:pt idx="31">
                  <c:v>0.15818401257586159</c:v>
                </c:pt>
                <c:pt idx="32">
                  <c:v>0.18606271589823262</c:v>
                </c:pt>
                <c:pt idx="3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2D-4E70-A148-E949590CA551}"/>
            </c:ext>
          </c:extLst>
        </c:ser>
        <c:ser>
          <c:idx val="1"/>
          <c:order val="1"/>
          <c:tx>
            <c:v>SMX Ajuste</c:v>
          </c:tx>
          <c:spPr>
            <a:ln w="95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'SMX L-H'!$B$13:$B$46</c:f>
              <c:numCache>
                <c:formatCode>0.00</c:formatCode>
                <c:ptCount val="34"/>
                <c:pt idx="0">
                  <c:v>989.28624414282581</c:v>
                </c:pt>
                <c:pt idx="1">
                  <c:v>974.28624414282581</c:v>
                </c:pt>
                <c:pt idx="2">
                  <c:v>959.28624414282581</c:v>
                </c:pt>
                <c:pt idx="3">
                  <c:v>944.28624414282581</c:v>
                </c:pt>
                <c:pt idx="4">
                  <c:v>929.28624414282581</c:v>
                </c:pt>
                <c:pt idx="5">
                  <c:v>917.60296318225096</c:v>
                </c:pt>
                <c:pt idx="6">
                  <c:v>914.28624414282581</c:v>
                </c:pt>
                <c:pt idx="7">
                  <c:v>899.28624414282581</c:v>
                </c:pt>
                <c:pt idx="8">
                  <c:v>887.60296318225096</c:v>
                </c:pt>
                <c:pt idx="9">
                  <c:v>857.60296318225096</c:v>
                </c:pt>
                <c:pt idx="10">
                  <c:v>842.60296318225096</c:v>
                </c:pt>
                <c:pt idx="11">
                  <c:v>827.60296318225096</c:v>
                </c:pt>
                <c:pt idx="12">
                  <c:v>812.60296318225096</c:v>
                </c:pt>
                <c:pt idx="13">
                  <c:v>797.60296318225096</c:v>
                </c:pt>
                <c:pt idx="14">
                  <c:v>782.60296318225096</c:v>
                </c:pt>
                <c:pt idx="15">
                  <c:v>767.60296318225096</c:v>
                </c:pt>
                <c:pt idx="16">
                  <c:v>336.13922523870258</c:v>
                </c:pt>
                <c:pt idx="17">
                  <c:v>306.13922523870258</c:v>
                </c:pt>
                <c:pt idx="18">
                  <c:v>276.13922523870258</c:v>
                </c:pt>
                <c:pt idx="19">
                  <c:v>261.13922523870258</c:v>
                </c:pt>
                <c:pt idx="20">
                  <c:v>246.13922523870261</c:v>
                </c:pt>
                <c:pt idx="21">
                  <c:v>231.13922523870261</c:v>
                </c:pt>
                <c:pt idx="22">
                  <c:v>216.13922523870261</c:v>
                </c:pt>
                <c:pt idx="23">
                  <c:v>201.13922523870261</c:v>
                </c:pt>
                <c:pt idx="24">
                  <c:v>186.13922523870261</c:v>
                </c:pt>
                <c:pt idx="25" formatCode="General">
                  <c:v>150</c:v>
                </c:pt>
                <c:pt idx="26" formatCode="General">
                  <c:v>120</c:v>
                </c:pt>
                <c:pt idx="27" formatCode="General">
                  <c:v>90</c:v>
                </c:pt>
                <c:pt idx="28" formatCode="General">
                  <c:v>75</c:v>
                </c:pt>
                <c:pt idx="29" formatCode="General">
                  <c:v>60</c:v>
                </c:pt>
                <c:pt idx="30" formatCode="General">
                  <c:v>45</c:v>
                </c:pt>
                <c:pt idx="31" formatCode="General">
                  <c:v>30</c:v>
                </c:pt>
                <c:pt idx="32" formatCode="General">
                  <c:v>15</c:v>
                </c:pt>
                <c:pt idx="33" formatCode="General">
                  <c:v>0</c:v>
                </c:pt>
              </c:numCache>
            </c:numRef>
          </c:xVal>
          <c:yVal>
            <c:numRef>
              <c:f>'SMX L-H'!$E$13:$E$46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2D-4E70-A148-E949590CA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12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200"/>
      </c:valAx>
      <c:valAx>
        <c:axId val="1320359279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 sz="1200"/>
                  <a:t>-ln(C</a:t>
                </a:r>
                <a:r>
                  <a:rPr lang="es-ES_tradnl" sz="1200" baseline="-25000"/>
                  <a:t>t</a:t>
                </a:r>
                <a:r>
                  <a:rPr lang="es-ES_tradnl" sz="1200" baseline="0"/>
                  <a:t>/C</a:t>
                </a:r>
                <a:r>
                  <a:rPr lang="es-ES_tradnl" sz="1200" baseline="-25000"/>
                  <a:t>0</a:t>
                </a:r>
                <a:r>
                  <a:rPr lang="es-ES_tradnl" sz="1200" baseline="0"/>
                  <a:t>)</a:t>
                </a:r>
                <a:endParaRPr lang="es-ES_tradnl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0711761960088182"/>
          <c:y val="0.49592355643044628"/>
          <c:w val="0.14973137039010276"/>
          <c:h val="9.74133070248224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5E-AE49-B23F-5B50FF987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6350" cap="rnd">
              <a:noFill/>
              <a:round/>
            </a:ln>
            <a:effectLst/>
          </c:spPr>
          <c:marker>
            <c:symbol val="squar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'SDZ L-H'!$J$12:$J$42</c:f>
                <c:numCache>
                  <c:formatCode>General</c:formatCode>
                  <c:ptCount val="31"/>
                  <c:pt idx="0">
                    <c:v>56.157451094888913</c:v>
                  </c:pt>
                  <c:pt idx="1">
                    <c:v>56.145449318836867</c:v>
                  </c:pt>
                  <c:pt idx="2">
                    <c:v>56.175511351648623</c:v>
                  </c:pt>
                  <c:pt idx="3">
                    <c:v>56.141690094181598</c:v>
                  </c:pt>
                  <c:pt idx="4">
                    <c:v>56.210836842798976</c:v>
                  </c:pt>
                  <c:pt idx="5">
                    <c:v>56.229409287069416</c:v>
                  </c:pt>
                  <c:pt idx="6">
                    <c:v>56.146716490558418</c:v>
                  </c:pt>
                  <c:pt idx="7">
                    <c:v>56.16351805635194</c:v>
                  </c:pt>
                  <c:pt idx="8">
                    <c:v>56.853074938341919</c:v>
                  </c:pt>
                  <c:pt idx="9">
                    <c:v>56.471993127627925</c:v>
                  </c:pt>
                  <c:pt idx="10">
                    <c:v>56.190769529415128</c:v>
                  </c:pt>
                  <c:pt idx="11">
                    <c:v>56.139811374773004</c:v>
                  </c:pt>
                  <c:pt idx="12">
                    <c:v>56.186812753437501</c:v>
                  </c:pt>
                  <c:pt idx="13">
                    <c:v>56.703096133722767</c:v>
                  </c:pt>
                  <c:pt idx="14">
                    <c:v>56.513293976056836</c:v>
                  </c:pt>
                  <c:pt idx="15">
                    <c:v>56.148607255972252</c:v>
                  </c:pt>
                  <c:pt idx="16">
                    <c:v>56.677530603800506</c:v>
                  </c:pt>
                  <c:pt idx="17">
                    <c:v>57.488269299152499</c:v>
                  </c:pt>
                  <c:pt idx="18">
                    <c:v>97.308112217026121</c:v>
                  </c:pt>
                  <c:pt idx="19">
                    <c:v>79.535686019809461</c:v>
                  </c:pt>
                  <c:pt idx="20">
                    <c:v>153.32090547367386</c:v>
                  </c:pt>
                  <c:pt idx="21">
                    <c:v>82.327845950463598</c:v>
                  </c:pt>
                  <c:pt idx="22">
                    <c:v>106.93766011955695</c:v>
                  </c:pt>
                  <c:pt idx="23">
                    <c:v>92.06880709811918</c:v>
                  </c:pt>
                  <c:pt idx="24">
                    <c:v>56.424306483142999</c:v>
                  </c:pt>
                  <c:pt idx="25">
                    <c:v>56.838652387619064</c:v>
                  </c:pt>
                  <c:pt idx="26">
                    <c:v>66.348118575355215</c:v>
                  </c:pt>
                  <c:pt idx="27">
                    <c:v>100.32924124749836</c:v>
                  </c:pt>
                  <c:pt idx="28">
                    <c:v>104.4191804121605</c:v>
                  </c:pt>
                  <c:pt idx="29">
                    <c:v>108.94501089713094</c:v>
                  </c:pt>
                  <c:pt idx="30">
                    <c:v>79.392289127343176</c:v>
                  </c:pt>
                </c:numCache>
              </c:numRef>
            </c:plus>
            <c:minus>
              <c:numRef>
                <c:f>'SDZ L-H'!$J$12:$J$42</c:f>
                <c:numCache>
                  <c:formatCode>General</c:formatCode>
                  <c:ptCount val="31"/>
                  <c:pt idx="0">
                    <c:v>56.157451094888913</c:v>
                  </c:pt>
                  <c:pt idx="1">
                    <c:v>56.145449318836867</c:v>
                  </c:pt>
                  <c:pt idx="2">
                    <c:v>56.175511351648623</c:v>
                  </c:pt>
                  <c:pt idx="3">
                    <c:v>56.141690094181598</c:v>
                  </c:pt>
                  <c:pt idx="4">
                    <c:v>56.210836842798976</c:v>
                  </c:pt>
                  <c:pt idx="5">
                    <c:v>56.229409287069416</c:v>
                  </c:pt>
                  <c:pt idx="6">
                    <c:v>56.146716490558418</c:v>
                  </c:pt>
                  <c:pt idx="7">
                    <c:v>56.16351805635194</c:v>
                  </c:pt>
                  <c:pt idx="8">
                    <c:v>56.853074938341919</c:v>
                  </c:pt>
                  <c:pt idx="9">
                    <c:v>56.471993127627925</c:v>
                  </c:pt>
                  <c:pt idx="10">
                    <c:v>56.190769529415128</c:v>
                  </c:pt>
                  <c:pt idx="11">
                    <c:v>56.139811374773004</c:v>
                  </c:pt>
                  <c:pt idx="12">
                    <c:v>56.186812753437501</c:v>
                  </c:pt>
                  <c:pt idx="13">
                    <c:v>56.703096133722767</c:v>
                  </c:pt>
                  <c:pt idx="14">
                    <c:v>56.513293976056836</c:v>
                  </c:pt>
                  <c:pt idx="15">
                    <c:v>56.148607255972252</c:v>
                  </c:pt>
                  <c:pt idx="16">
                    <c:v>56.677530603800506</c:v>
                  </c:pt>
                  <c:pt idx="17">
                    <c:v>57.488269299152499</c:v>
                  </c:pt>
                  <c:pt idx="18">
                    <c:v>97.308112217026121</c:v>
                  </c:pt>
                  <c:pt idx="19">
                    <c:v>79.535686019809461</c:v>
                  </c:pt>
                  <c:pt idx="20">
                    <c:v>153.32090547367386</c:v>
                  </c:pt>
                  <c:pt idx="21">
                    <c:v>82.327845950463598</c:v>
                  </c:pt>
                  <c:pt idx="22">
                    <c:v>106.93766011955695</c:v>
                  </c:pt>
                  <c:pt idx="23">
                    <c:v>92.06880709811918</c:v>
                  </c:pt>
                  <c:pt idx="24">
                    <c:v>56.424306483142999</c:v>
                  </c:pt>
                  <c:pt idx="25">
                    <c:v>56.838652387619064</c:v>
                  </c:pt>
                  <c:pt idx="26">
                    <c:v>66.348118575355215</c:v>
                  </c:pt>
                  <c:pt idx="27">
                    <c:v>100.32924124749836</c:v>
                  </c:pt>
                  <c:pt idx="28">
                    <c:v>104.4191804121605</c:v>
                  </c:pt>
                  <c:pt idx="29">
                    <c:v>108.94501089713094</c:v>
                  </c:pt>
                  <c:pt idx="30">
                    <c:v>79.392289127343176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'SDZ L-H'!$B$12:$B$42</c:f>
              <c:numCache>
                <c:formatCode>0.00</c:formatCode>
                <c:ptCount val="31"/>
                <c:pt idx="0">
                  <c:v>428.82267040157706</c:v>
                </c:pt>
                <c:pt idx="1">
                  <c:v>413.82267040157706</c:v>
                </c:pt>
                <c:pt idx="2">
                  <c:v>398.82267040157706</c:v>
                </c:pt>
                <c:pt idx="3">
                  <c:v>383.82267040157706</c:v>
                </c:pt>
                <c:pt idx="4">
                  <c:v>368.82267040157706</c:v>
                </c:pt>
                <c:pt idx="5">
                  <c:v>353.82267040157706</c:v>
                </c:pt>
                <c:pt idx="6">
                  <c:v>348.64621397751932</c:v>
                </c:pt>
                <c:pt idx="7">
                  <c:v>338.82267040157706</c:v>
                </c:pt>
                <c:pt idx="8">
                  <c:v>318.64621397751932</c:v>
                </c:pt>
                <c:pt idx="9">
                  <c:v>288.64621397751932</c:v>
                </c:pt>
                <c:pt idx="10">
                  <c:v>273.64621397751932</c:v>
                </c:pt>
                <c:pt idx="11">
                  <c:v>258.64621397751932</c:v>
                </c:pt>
                <c:pt idx="12">
                  <c:v>243.64621397751935</c:v>
                </c:pt>
                <c:pt idx="13">
                  <c:v>228.64621397751935</c:v>
                </c:pt>
                <c:pt idx="14">
                  <c:v>213.64621397751935</c:v>
                </c:pt>
                <c:pt idx="15">
                  <c:v>198.64621397751935</c:v>
                </c:pt>
                <c:pt idx="16">
                  <c:v>186.30991099002722</c:v>
                </c:pt>
                <c:pt idx="17">
                  <c:v>171.30991099002722</c:v>
                </c:pt>
                <c:pt idx="18">
                  <c:v>156.30991099002722</c:v>
                </c:pt>
                <c:pt idx="19">
                  <c:v>141.30991099002722</c:v>
                </c:pt>
                <c:pt idx="20">
                  <c:v>126.30991099002721</c:v>
                </c:pt>
                <c:pt idx="21" formatCode="General">
                  <c:v>120</c:v>
                </c:pt>
                <c:pt idx="22">
                  <c:v>111.30991099002721</c:v>
                </c:pt>
                <c:pt idx="23">
                  <c:v>96.309910990027205</c:v>
                </c:pt>
                <c:pt idx="24" formatCode="General">
                  <c:v>90</c:v>
                </c:pt>
                <c:pt idx="25" formatCode="General">
                  <c:v>75</c:v>
                </c:pt>
                <c:pt idx="26" formatCode="General">
                  <c:v>60</c:v>
                </c:pt>
                <c:pt idx="27" formatCode="General">
                  <c:v>45</c:v>
                </c:pt>
                <c:pt idx="28" formatCode="General">
                  <c:v>30</c:v>
                </c:pt>
                <c:pt idx="29" formatCode="General">
                  <c:v>15</c:v>
                </c:pt>
                <c:pt idx="30" formatCode="General">
                  <c:v>0</c:v>
                </c:pt>
              </c:numCache>
            </c:numRef>
          </c:xVal>
          <c:yVal>
            <c:numRef>
              <c:f>'SDZ L-H'!$D$12:$D$42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1.8616579211427589E-305</c:v>
                </c:pt>
                <c:pt idx="13">
                  <c:v>1.6336670466694277E-286</c:v>
                </c:pt>
                <c:pt idx="14">
                  <c:v>1.4335974343424778E-267</c:v>
                </c:pt>
                <c:pt idx="15">
                  <c:v>1.2580296627415775E-248</c:v>
                </c:pt>
                <c:pt idx="16">
                  <c:v>4.7754418228239671E-233</c:v>
                </c:pt>
                <c:pt idx="17">
                  <c:v>4.1906098057185735E-214</c:v>
                </c:pt>
                <c:pt idx="18">
                  <c:v>3.6774001642848617E-195</c:v>
                </c:pt>
                <c:pt idx="19">
                  <c:v>3.2270415512862793E-176</c:v>
                </c:pt>
                <c:pt idx="20">
                  <c:v>2.8318368163650486E-157</c:v>
                </c:pt>
                <c:pt idx="21">
                  <c:v>2.6348469692544612E-149</c:v>
                </c:pt>
                <c:pt idx="22">
                  <c:v>2.4850314528251528E-138</c:v>
                </c:pt>
                <c:pt idx="23">
                  <c:v>2.1806981552902547E-119</c:v>
                </c:pt>
                <c:pt idx="24">
                  <c:v>2.0290031869495143E-111</c:v>
                </c:pt>
                <c:pt idx="25">
                  <c:v>1.7805181104764762E-92</c:v>
                </c:pt>
                <c:pt idx="26">
                  <c:v>1.5624641509316682E-73</c:v>
                </c:pt>
                <c:pt idx="27">
                  <c:v>1.3711145135689657E-54</c:v>
                </c:pt>
                <c:pt idx="28">
                  <c:v>1.2031988114405225E-35</c:v>
                </c:pt>
                <c:pt idx="29">
                  <c:v>1.055847170695921E-16</c:v>
                </c:pt>
                <c:pt idx="30">
                  <c:v>926.54118111360003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CC-DA4A-BE9D-34C5E02D1260}"/>
            </c:ext>
          </c:extLst>
        </c:ser>
        <c:ser>
          <c:idx val="4"/>
          <c:order val="1"/>
          <c:spPr>
            <a:ln w="95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y"/>
            <c:errBarType val="both"/>
            <c:errValType val="fixedVal"/>
            <c:noEndCap val="0"/>
            <c:val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Ref>
              <c:f>'SDZ L-H'!$B$12:$B$42</c:f>
              <c:numCache>
                <c:formatCode>0.00</c:formatCode>
                <c:ptCount val="31"/>
                <c:pt idx="0">
                  <c:v>428.82267040157706</c:v>
                </c:pt>
                <c:pt idx="1">
                  <c:v>413.82267040157706</c:v>
                </c:pt>
                <c:pt idx="2">
                  <c:v>398.82267040157706</c:v>
                </c:pt>
                <c:pt idx="3">
                  <c:v>383.82267040157706</c:v>
                </c:pt>
                <c:pt idx="4">
                  <c:v>368.82267040157706</c:v>
                </c:pt>
                <c:pt idx="5">
                  <c:v>353.82267040157706</c:v>
                </c:pt>
                <c:pt idx="6">
                  <c:v>348.64621397751932</c:v>
                </c:pt>
                <c:pt idx="7">
                  <c:v>338.82267040157706</c:v>
                </c:pt>
                <c:pt idx="8">
                  <c:v>318.64621397751932</c:v>
                </c:pt>
                <c:pt idx="9">
                  <c:v>288.64621397751932</c:v>
                </c:pt>
                <c:pt idx="10">
                  <c:v>273.64621397751932</c:v>
                </c:pt>
                <c:pt idx="11">
                  <c:v>258.64621397751932</c:v>
                </c:pt>
                <c:pt idx="12">
                  <c:v>243.64621397751935</c:v>
                </c:pt>
                <c:pt idx="13">
                  <c:v>228.64621397751935</c:v>
                </c:pt>
                <c:pt idx="14">
                  <c:v>213.64621397751935</c:v>
                </c:pt>
                <c:pt idx="15">
                  <c:v>198.64621397751935</c:v>
                </c:pt>
                <c:pt idx="16">
                  <c:v>186.30991099002722</c:v>
                </c:pt>
                <c:pt idx="17">
                  <c:v>171.30991099002722</c:v>
                </c:pt>
                <c:pt idx="18">
                  <c:v>156.30991099002722</c:v>
                </c:pt>
                <c:pt idx="19">
                  <c:v>141.30991099002722</c:v>
                </c:pt>
                <c:pt idx="20">
                  <c:v>126.30991099002721</c:v>
                </c:pt>
                <c:pt idx="21" formatCode="General">
                  <c:v>120</c:v>
                </c:pt>
                <c:pt idx="22">
                  <c:v>111.30991099002721</c:v>
                </c:pt>
                <c:pt idx="23">
                  <c:v>96.309910990027205</c:v>
                </c:pt>
                <c:pt idx="24" formatCode="General">
                  <c:v>90</c:v>
                </c:pt>
                <c:pt idx="25" formatCode="General">
                  <c:v>75</c:v>
                </c:pt>
                <c:pt idx="26" formatCode="General">
                  <c:v>60</c:v>
                </c:pt>
                <c:pt idx="27" formatCode="General">
                  <c:v>45</c:v>
                </c:pt>
                <c:pt idx="28" formatCode="General">
                  <c:v>30</c:v>
                </c:pt>
                <c:pt idx="29" formatCode="General">
                  <c:v>15</c:v>
                </c:pt>
                <c:pt idx="30" formatCode="General">
                  <c:v>0</c:v>
                </c:pt>
              </c:numCache>
            </c:numRef>
          </c:xVal>
          <c:yVal>
            <c:numRef>
              <c:f>'SDZ L-H'!$E$12:$E$42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CC-DA4A-BE9D-34C5E02D1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45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50"/>
      </c:valAx>
      <c:valAx>
        <c:axId val="1320359279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 sz="1200"/>
                  <a:t>-ln(C</a:t>
                </a:r>
                <a:r>
                  <a:rPr lang="es-ES_tradnl" sz="1200" baseline="-25000"/>
                  <a:t>t</a:t>
                </a:r>
                <a:r>
                  <a:rPr lang="es-ES_tradnl" sz="1200" baseline="0"/>
                  <a:t>/C</a:t>
                </a:r>
                <a:r>
                  <a:rPr lang="es-ES_tradnl" sz="1200" baseline="-25000"/>
                  <a:t>0</a:t>
                </a:r>
                <a:r>
                  <a:rPr lang="es-ES_tradnl" sz="1200" baseline="0"/>
                  <a:t>)-k</a:t>
                </a:r>
                <a:r>
                  <a:rPr lang="es-ES_tradnl" sz="1200" baseline="-25000"/>
                  <a:t>2</a:t>
                </a:r>
                <a:r>
                  <a:rPr lang="es-ES_tradnl" sz="1200" baseline="0"/>
                  <a:t>·(</a:t>
                </a:r>
                <a:r>
                  <a:rPr lang="es-ES_tradnl" sz="1200" b="0" i="0" u="none" strike="noStrike" baseline="0">
                    <a:effectLst/>
                  </a:rPr>
                  <a:t>C</a:t>
                </a:r>
                <a:r>
                  <a:rPr lang="es-ES_tradnl" sz="1200" b="0" i="0" u="none" strike="noStrike" baseline="-25000">
                    <a:effectLst/>
                  </a:rPr>
                  <a:t>t</a:t>
                </a:r>
                <a:r>
                  <a:rPr lang="es-ES_tradnl" sz="1200" b="0" i="0" u="none" strike="noStrike" baseline="0">
                    <a:effectLst/>
                  </a:rPr>
                  <a:t>-C</a:t>
                </a:r>
                <a:r>
                  <a:rPr lang="es-ES_tradnl" sz="1200" b="0" i="0" u="none" strike="noStrike" baseline="-25000">
                    <a:effectLst/>
                  </a:rPr>
                  <a:t>0</a:t>
                </a:r>
                <a:r>
                  <a:rPr lang="es-ES_tradnl" sz="1200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2282766347315808"/>
          <c:y val="0.69504827458389529"/>
          <c:w val="0.1686728498375244"/>
          <c:h val="0.119048452276798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star"/>
            <c:size val="3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'SDZ L-H'!$J$56:$J$86</c:f>
                <c:numCache>
                  <c:formatCode>General</c:formatCode>
                  <c:ptCount val="31"/>
                  <c:pt idx="0">
                    <c:v>0.49515261504392277</c:v>
                  </c:pt>
                  <c:pt idx="1">
                    <c:v>0.29586270860756392</c:v>
                  </c:pt>
                  <c:pt idx="2">
                    <c:v>0.69693508640112944</c:v>
                  </c:pt>
                  <c:pt idx="3">
                    <c:v>0.19490731311353432</c:v>
                  </c:pt>
                  <c:pt idx="4">
                    <c:v>0.97778980253591097</c:v>
                  </c:pt>
                  <c:pt idx="5">
                    <c:v>1.0968014216642714</c:v>
                  </c:pt>
                  <c:pt idx="6">
                    <c:v>0.32362488187592819</c:v>
                  </c:pt>
                  <c:pt idx="7">
                    <c:v>0.57255442463571571</c:v>
                  </c:pt>
                  <c:pt idx="8">
                    <c:v>3.0889720181716491</c:v>
                  </c:pt>
                  <c:pt idx="9">
                    <c:v>2.1061757119484628</c:v>
                  </c:pt>
                  <c:pt idx="10">
                    <c:v>0.83058590029279322</c:v>
                  </c:pt>
                  <c:pt idx="11">
                    <c:v>0.11437801840081986</c:v>
                  </c:pt>
                  <c:pt idx="12">
                    <c:v>0.79836581863194445</c:v>
                  </c:pt>
                  <c:pt idx="13">
                    <c:v>2.7440194311945323</c:v>
                  </c:pt>
                  <c:pt idx="14">
                    <c:v>2.2335217115505936</c:v>
                  </c:pt>
                  <c:pt idx="15">
                    <c:v>0.36039573585925888</c:v>
                  </c:pt>
                  <c:pt idx="16">
                    <c:v>2.6808965583140743</c:v>
                  </c:pt>
                  <c:pt idx="17">
                    <c:v>4.2583151844253937</c:v>
                  </c:pt>
                  <c:pt idx="18">
                    <c:v>27.332910371572417</c:v>
                  </c:pt>
                  <c:pt idx="19">
                    <c:v>19.375292518346839</c:v>
                  </c:pt>
                  <c:pt idx="20">
                    <c:v>49.064109011568092</c:v>
                  </c:pt>
                  <c:pt idx="21">
                    <c:v>20.708701934573696</c:v>
                  </c:pt>
                  <c:pt idx="22">
                    <c:v>31.299915163226608</c:v>
                  </c:pt>
                  <c:pt idx="23">
                    <c:v>25.094839716728373</c:v>
                  </c:pt>
                  <c:pt idx="24">
                    <c:v>1.9494268129969441</c:v>
                  </c:pt>
                  <c:pt idx="25">
                    <c:v>3.0578188979253063</c:v>
                  </c:pt>
                  <c:pt idx="26">
                    <c:v>12.160835826540668</c:v>
                  </c:pt>
                  <c:pt idx="27">
                    <c:v>28.595494492637037</c:v>
                  </c:pt>
                  <c:pt idx="28">
                    <c:v>30.277633385497289</c:v>
                  </c:pt>
                  <c:pt idx="29">
                    <c:v>32.108158963437894</c:v>
                  </c:pt>
                  <c:pt idx="30">
                    <c:v>19.305633740925622</c:v>
                  </c:pt>
                </c:numCache>
              </c:numRef>
            </c:plus>
            <c:minus>
              <c:numRef>
                <c:f>'SDZ L-H'!$J$56:$J$86</c:f>
                <c:numCache>
                  <c:formatCode>General</c:formatCode>
                  <c:ptCount val="31"/>
                  <c:pt idx="0">
                    <c:v>0.49515261504392277</c:v>
                  </c:pt>
                  <c:pt idx="1">
                    <c:v>0.29586270860756392</c:v>
                  </c:pt>
                  <c:pt idx="2">
                    <c:v>0.69693508640112944</c:v>
                  </c:pt>
                  <c:pt idx="3">
                    <c:v>0.19490731311353432</c:v>
                  </c:pt>
                  <c:pt idx="4">
                    <c:v>0.97778980253591097</c:v>
                  </c:pt>
                  <c:pt idx="5">
                    <c:v>1.0968014216642714</c:v>
                  </c:pt>
                  <c:pt idx="6">
                    <c:v>0.32362488187592819</c:v>
                  </c:pt>
                  <c:pt idx="7">
                    <c:v>0.57255442463571571</c:v>
                  </c:pt>
                  <c:pt idx="8">
                    <c:v>3.0889720181716491</c:v>
                  </c:pt>
                  <c:pt idx="9">
                    <c:v>2.1061757119484628</c:v>
                  </c:pt>
                  <c:pt idx="10">
                    <c:v>0.83058590029279322</c:v>
                  </c:pt>
                  <c:pt idx="11">
                    <c:v>0.11437801840081986</c:v>
                  </c:pt>
                  <c:pt idx="12">
                    <c:v>0.79836581863194445</c:v>
                  </c:pt>
                  <c:pt idx="13">
                    <c:v>2.7440194311945323</c:v>
                  </c:pt>
                  <c:pt idx="14">
                    <c:v>2.2335217115505936</c:v>
                  </c:pt>
                  <c:pt idx="15">
                    <c:v>0.36039573585925888</c:v>
                  </c:pt>
                  <c:pt idx="16">
                    <c:v>2.6808965583140743</c:v>
                  </c:pt>
                  <c:pt idx="17">
                    <c:v>4.2583151844253937</c:v>
                  </c:pt>
                  <c:pt idx="18">
                    <c:v>27.332910371572417</c:v>
                  </c:pt>
                  <c:pt idx="19">
                    <c:v>19.375292518346839</c:v>
                  </c:pt>
                  <c:pt idx="20">
                    <c:v>49.064109011568092</c:v>
                  </c:pt>
                  <c:pt idx="21">
                    <c:v>20.708701934573696</c:v>
                  </c:pt>
                  <c:pt idx="22">
                    <c:v>31.299915163226608</c:v>
                  </c:pt>
                  <c:pt idx="23">
                    <c:v>25.094839716728373</c:v>
                  </c:pt>
                  <c:pt idx="24">
                    <c:v>1.9494268129969441</c:v>
                  </c:pt>
                  <c:pt idx="25">
                    <c:v>3.0578188979253063</c:v>
                  </c:pt>
                  <c:pt idx="26">
                    <c:v>12.160835826540668</c:v>
                  </c:pt>
                  <c:pt idx="27">
                    <c:v>28.595494492637037</c:v>
                  </c:pt>
                  <c:pt idx="28">
                    <c:v>30.277633385497289</c:v>
                  </c:pt>
                  <c:pt idx="29">
                    <c:v>32.108158963437894</c:v>
                  </c:pt>
                  <c:pt idx="30">
                    <c:v>19.305633740925622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Ref>
              <c:f>'SDZ L-H'!$B$56:$B$86</c:f>
              <c:numCache>
                <c:formatCode>0.00</c:formatCode>
                <c:ptCount val="31"/>
                <c:pt idx="0">
                  <c:v>428.82267040157706</c:v>
                </c:pt>
                <c:pt idx="1">
                  <c:v>413.82267040157706</c:v>
                </c:pt>
                <c:pt idx="2">
                  <c:v>398.82267040157706</c:v>
                </c:pt>
                <c:pt idx="3">
                  <c:v>383.82267040157706</c:v>
                </c:pt>
                <c:pt idx="4">
                  <c:v>368.82267040157706</c:v>
                </c:pt>
                <c:pt idx="5">
                  <c:v>353.82267040157706</c:v>
                </c:pt>
                <c:pt idx="6">
                  <c:v>348.64621397751932</c:v>
                </c:pt>
                <c:pt idx="7">
                  <c:v>338.82267040157706</c:v>
                </c:pt>
                <c:pt idx="8">
                  <c:v>318.64621397751932</c:v>
                </c:pt>
                <c:pt idx="9">
                  <c:v>288.64621397751932</c:v>
                </c:pt>
                <c:pt idx="10">
                  <c:v>273.64621397751932</c:v>
                </c:pt>
                <c:pt idx="11">
                  <c:v>258.64621397751932</c:v>
                </c:pt>
                <c:pt idx="12">
                  <c:v>243.64621397751935</c:v>
                </c:pt>
                <c:pt idx="13">
                  <c:v>228.64621397751935</c:v>
                </c:pt>
                <c:pt idx="14">
                  <c:v>213.64621397751935</c:v>
                </c:pt>
                <c:pt idx="15">
                  <c:v>198.64621397751935</c:v>
                </c:pt>
                <c:pt idx="16">
                  <c:v>186.30991099002722</c:v>
                </c:pt>
                <c:pt idx="17">
                  <c:v>171.30991099002722</c:v>
                </c:pt>
                <c:pt idx="18">
                  <c:v>156.30991099002722</c:v>
                </c:pt>
                <c:pt idx="19">
                  <c:v>141.30991099002722</c:v>
                </c:pt>
                <c:pt idx="20">
                  <c:v>126.30991099002721</c:v>
                </c:pt>
                <c:pt idx="21" formatCode="General">
                  <c:v>120</c:v>
                </c:pt>
                <c:pt idx="22">
                  <c:v>111.30991099002721</c:v>
                </c:pt>
                <c:pt idx="23">
                  <c:v>96.309910990027205</c:v>
                </c:pt>
                <c:pt idx="24" formatCode="General">
                  <c:v>90</c:v>
                </c:pt>
                <c:pt idx="25" formatCode="General">
                  <c:v>75</c:v>
                </c:pt>
                <c:pt idx="26" formatCode="General">
                  <c:v>60</c:v>
                </c:pt>
                <c:pt idx="27" formatCode="General">
                  <c:v>45</c:v>
                </c:pt>
                <c:pt idx="28" formatCode="General">
                  <c:v>30</c:v>
                </c:pt>
                <c:pt idx="29" formatCode="General">
                  <c:v>15</c:v>
                </c:pt>
                <c:pt idx="30" formatCode="General">
                  <c:v>0</c:v>
                </c:pt>
              </c:numCache>
            </c:numRef>
          </c:xVal>
          <c:yVal>
            <c:numRef>
              <c:f>'SDZ L-H'!$C$56:$C$86</c:f>
              <c:numCache>
                <c:formatCode>General</c:formatCode>
                <c:ptCount val="31"/>
                <c:pt idx="0">
                  <c:v>3.6553937013712758</c:v>
                </c:pt>
                <c:pt idx="1">
                  <c:v>4.9938046912303244</c:v>
                </c:pt>
                <c:pt idx="2">
                  <c:v>6.0856774222453005</c:v>
                </c:pt>
                <c:pt idx="3">
                  <c:v>10.400450128517434</c:v>
                </c:pt>
                <c:pt idx="4">
                  <c:v>12.664621971607227</c:v>
                </c:pt>
                <c:pt idx="5">
                  <c:v>13.612508938155267</c:v>
                </c:pt>
                <c:pt idx="6">
                  <c:v>16.673959440263229</c:v>
                </c:pt>
                <c:pt idx="7">
                  <c:v>18.273396483282102</c:v>
                </c:pt>
                <c:pt idx="8">
                  <c:v>21.558460732452357</c:v>
                </c:pt>
                <c:pt idx="9">
                  <c:v>23.302614519353597</c:v>
                </c:pt>
                <c:pt idx="10">
                  <c:v>22.898399671000934</c:v>
                </c:pt>
                <c:pt idx="11">
                  <c:v>32.718271820536387</c:v>
                </c:pt>
                <c:pt idx="12">
                  <c:v>36.867525667390119</c:v>
                </c:pt>
                <c:pt idx="13">
                  <c:v>45.604097653113385</c:v>
                </c:pt>
                <c:pt idx="14">
                  <c:v>58.110053213563376</c:v>
                </c:pt>
                <c:pt idx="15">
                  <c:v>83.767981287684378</c:v>
                </c:pt>
                <c:pt idx="16">
                  <c:v>111.07909683243119</c:v>
                </c:pt>
                <c:pt idx="17">
                  <c:v>144.28732247236289</c:v>
                </c:pt>
                <c:pt idx="18">
                  <c:v>195.60044259441531</c:v>
                </c:pt>
                <c:pt idx="19">
                  <c:v>247.09486645000746</c:v>
                </c:pt>
                <c:pt idx="20">
                  <c:v>345.86104659781341</c:v>
                </c:pt>
                <c:pt idx="21">
                  <c:v>429.60693723969911</c:v>
                </c:pt>
                <c:pt idx="22">
                  <c:v>412.80211315067385</c:v>
                </c:pt>
                <c:pt idx="23">
                  <c:v>462.30232032799887</c:v>
                </c:pt>
                <c:pt idx="24">
                  <c:v>471.0108126002383</c:v>
                </c:pt>
                <c:pt idx="25">
                  <c:v>515.71467795395893</c:v>
                </c:pt>
                <c:pt idx="26">
                  <c:v>623.44138934169234</c:v>
                </c:pt>
                <c:pt idx="27">
                  <c:v>680.89039784089664</c:v>
                </c:pt>
                <c:pt idx="28">
                  <c:v>728.61720963612936</c:v>
                </c:pt>
                <c:pt idx="29">
                  <c:v>858.2258595458411</c:v>
                </c:pt>
                <c:pt idx="30">
                  <c:v>926.54118111360003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88-0B4D-B51D-D9086A7033F3}"/>
            </c:ext>
          </c:extLst>
        </c:ser>
        <c:ser>
          <c:idx val="4"/>
          <c:order val="1"/>
          <c:spPr>
            <a:ln w="95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'SDZ L-H'!$B$56:$B$86</c:f>
              <c:numCache>
                <c:formatCode>0.00</c:formatCode>
                <c:ptCount val="31"/>
                <c:pt idx="0">
                  <c:v>428.82267040157706</c:v>
                </c:pt>
                <c:pt idx="1">
                  <c:v>413.82267040157706</c:v>
                </c:pt>
                <c:pt idx="2">
                  <c:v>398.82267040157706</c:v>
                </c:pt>
                <c:pt idx="3">
                  <c:v>383.82267040157706</c:v>
                </c:pt>
                <c:pt idx="4">
                  <c:v>368.82267040157706</c:v>
                </c:pt>
                <c:pt idx="5">
                  <c:v>353.82267040157706</c:v>
                </c:pt>
                <c:pt idx="6">
                  <c:v>348.64621397751932</c:v>
                </c:pt>
                <c:pt idx="7">
                  <c:v>338.82267040157706</c:v>
                </c:pt>
                <c:pt idx="8">
                  <c:v>318.64621397751932</c:v>
                </c:pt>
                <c:pt idx="9">
                  <c:v>288.64621397751932</c:v>
                </c:pt>
                <c:pt idx="10">
                  <c:v>273.64621397751932</c:v>
                </c:pt>
                <c:pt idx="11">
                  <c:v>258.64621397751932</c:v>
                </c:pt>
                <c:pt idx="12">
                  <c:v>243.64621397751935</c:v>
                </c:pt>
                <c:pt idx="13">
                  <c:v>228.64621397751935</c:v>
                </c:pt>
                <c:pt idx="14">
                  <c:v>213.64621397751935</c:v>
                </c:pt>
                <c:pt idx="15">
                  <c:v>198.64621397751935</c:v>
                </c:pt>
                <c:pt idx="16">
                  <c:v>186.30991099002722</c:v>
                </c:pt>
                <c:pt idx="17">
                  <c:v>171.30991099002722</c:v>
                </c:pt>
                <c:pt idx="18">
                  <c:v>156.30991099002722</c:v>
                </c:pt>
                <c:pt idx="19">
                  <c:v>141.30991099002722</c:v>
                </c:pt>
                <c:pt idx="20">
                  <c:v>126.30991099002721</c:v>
                </c:pt>
                <c:pt idx="21" formatCode="General">
                  <c:v>120</c:v>
                </c:pt>
                <c:pt idx="22">
                  <c:v>111.30991099002721</c:v>
                </c:pt>
                <c:pt idx="23">
                  <c:v>96.309910990027205</c:v>
                </c:pt>
                <c:pt idx="24" formatCode="General">
                  <c:v>90</c:v>
                </c:pt>
                <c:pt idx="25" formatCode="General">
                  <c:v>75</c:v>
                </c:pt>
                <c:pt idx="26" formatCode="General">
                  <c:v>60</c:v>
                </c:pt>
                <c:pt idx="27" formatCode="General">
                  <c:v>45</c:v>
                </c:pt>
                <c:pt idx="28" formatCode="General">
                  <c:v>30</c:v>
                </c:pt>
                <c:pt idx="29" formatCode="General">
                  <c:v>15</c:v>
                </c:pt>
                <c:pt idx="30" formatCode="General">
                  <c:v>0</c:v>
                </c:pt>
              </c:numCache>
            </c:numRef>
          </c:xVal>
          <c:yVal>
            <c:numRef>
              <c:f>'SDZ L-H'!$H$56:$H$86</c:f>
              <c:numCache>
                <c:formatCode>0.000000000</c:formatCode>
                <c:ptCount val="31"/>
                <c:pt idx="0">
                  <c:v>4.223692011738656</c:v>
                </c:pt>
                <c:pt idx="1">
                  <c:v>5.2150841726495614</c:v>
                </c:pt>
                <c:pt idx="2">
                  <c:v>6.4381149592721068</c:v>
                </c:pt>
                <c:pt idx="3">
                  <c:v>7.9463534949096752</c:v>
                </c:pt>
                <c:pt idx="4">
                  <c:v>9.8054710717155054</c:v>
                </c:pt>
                <c:pt idx="5">
                  <c:v>12.095828130006367</c:v>
                </c:pt>
                <c:pt idx="6">
                  <c:v>13.00351701381145</c:v>
                </c:pt>
                <c:pt idx="7">
                  <c:v>14.915539106843731</c:v>
                </c:pt>
                <c:pt idx="8">
                  <c:v>19.757080962812793</c:v>
                </c:pt>
                <c:pt idx="9">
                  <c:v>29.944846556700959</c:v>
                </c:pt>
                <c:pt idx="10">
                  <c:v>36.818908664037146</c:v>
                </c:pt>
                <c:pt idx="11">
                  <c:v>45.221681393945929</c:v>
                </c:pt>
                <c:pt idx="12">
                  <c:v>55.469173274061177</c:v>
                </c:pt>
                <c:pt idx="13">
                  <c:v>67.931521684169113</c:v>
                </c:pt>
                <c:pt idx="14">
                  <c:v>83.037267997230757</c:v>
                </c:pt>
                <c:pt idx="15">
                  <c:v>101.27573653283183</c:v>
                </c:pt>
                <c:pt idx="16">
                  <c:v>119.00874559153651</c:v>
                </c:pt>
                <c:pt idx="17">
                  <c:v>144.4092776192675</c:v>
                </c:pt>
                <c:pt idx="18">
                  <c:v>174.63034310235042</c:v>
                </c:pt>
                <c:pt idx="19" formatCode="0.0000000">
                  <c:v>210.35016285575608</c:v>
                </c:pt>
                <c:pt idx="20" formatCode="0.0000000">
                  <c:v>252.26110492698973</c:v>
                </c:pt>
                <c:pt idx="21" formatCode="0.0000000">
                  <c:v>271.90672870837517</c:v>
                </c:pt>
                <c:pt idx="22" formatCode="0.0000000">
                  <c:v>301.04479151637412</c:v>
                </c:pt>
                <c:pt idx="23" formatCode="0.0000000">
                  <c:v>357.34395903877896</c:v>
                </c:pt>
                <c:pt idx="24" formatCode="0.0000000">
                  <c:v>383.41417131916501</c:v>
                </c:pt>
                <c:pt idx="25" formatCode="0.0000000">
                  <c:v>451.35734201024042</c:v>
                </c:pt>
                <c:pt idx="26" formatCode="0.0000000">
                  <c:v>528.0415906213309</c:v>
                </c:pt>
                <c:pt idx="27" formatCode="0.0000000">
                  <c:v>613.78138629447551</c:v>
                </c:pt>
                <c:pt idx="28" formatCode="0.0000000">
                  <c:v>708.76146600540937</c:v>
                </c:pt>
                <c:pt idx="29" formatCode="0.0000000">
                  <c:v>813.03688307568814</c:v>
                </c:pt>
                <c:pt idx="30" formatCode="0.0000000">
                  <c:v>926.54118174988753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88-0B4D-B51D-D9086A703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45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50"/>
      </c:valAx>
      <c:valAx>
        <c:axId val="1320359279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75883476565748"/>
          <c:y val="0.15913933338977793"/>
          <c:w val="0.2102356199024849"/>
          <c:h val="9.6774870883075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Pseudocinética de orden 1</a:t>
            </a:r>
          </a:p>
        </c:rich>
      </c:tx>
      <c:layout>
        <c:manualLayout>
          <c:xMode val="edge"/>
          <c:yMode val="edge"/>
          <c:x val="0.1082658063968419"/>
          <c:y val="5.4200542005420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squar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25327305784890097"/>
                  <c:y val="0.118718818684249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'SDZ L-H'!$J$12:$J$42</c:f>
                <c:numCache>
                  <c:formatCode>General</c:formatCode>
                  <c:ptCount val="31"/>
                  <c:pt idx="0">
                    <c:v>56.157451094888913</c:v>
                  </c:pt>
                  <c:pt idx="1">
                    <c:v>56.145449318836867</c:v>
                  </c:pt>
                  <c:pt idx="2">
                    <c:v>56.175511351648623</c:v>
                  </c:pt>
                  <c:pt idx="3">
                    <c:v>56.141690094181598</c:v>
                  </c:pt>
                  <c:pt idx="4">
                    <c:v>56.210836842798976</c:v>
                  </c:pt>
                  <c:pt idx="5">
                    <c:v>56.229409287069416</c:v>
                  </c:pt>
                  <c:pt idx="6">
                    <c:v>56.146716490558418</c:v>
                  </c:pt>
                  <c:pt idx="7">
                    <c:v>56.16351805635194</c:v>
                  </c:pt>
                  <c:pt idx="8">
                    <c:v>56.853074938341919</c:v>
                  </c:pt>
                  <c:pt idx="9">
                    <c:v>56.471993127627925</c:v>
                  </c:pt>
                  <c:pt idx="10">
                    <c:v>56.190769529415128</c:v>
                  </c:pt>
                  <c:pt idx="11">
                    <c:v>56.139811374773004</c:v>
                  </c:pt>
                  <c:pt idx="12">
                    <c:v>56.186812753437501</c:v>
                  </c:pt>
                  <c:pt idx="13">
                    <c:v>56.703096133722767</c:v>
                  </c:pt>
                  <c:pt idx="14">
                    <c:v>56.513293976056836</c:v>
                  </c:pt>
                  <c:pt idx="15">
                    <c:v>56.148607255972252</c:v>
                  </c:pt>
                  <c:pt idx="16">
                    <c:v>56.677530603800506</c:v>
                  </c:pt>
                  <c:pt idx="17">
                    <c:v>57.488269299152499</c:v>
                  </c:pt>
                  <c:pt idx="18">
                    <c:v>97.308112217026121</c:v>
                  </c:pt>
                  <c:pt idx="19">
                    <c:v>79.535686019809461</c:v>
                  </c:pt>
                  <c:pt idx="20">
                    <c:v>153.32090547367386</c:v>
                  </c:pt>
                  <c:pt idx="21">
                    <c:v>82.327845950463598</c:v>
                  </c:pt>
                  <c:pt idx="22">
                    <c:v>106.93766011955695</c:v>
                  </c:pt>
                  <c:pt idx="23">
                    <c:v>92.06880709811918</c:v>
                  </c:pt>
                  <c:pt idx="24">
                    <c:v>56.424306483142999</c:v>
                  </c:pt>
                  <c:pt idx="25">
                    <c:v>56.838652387619064</c:v>
                  </c:pt>
                  <c:pt idx="26">
                    <c:v>66.348118575355215</c:v>
                  </c:pt>
                  <c:pt idx="27">
                    <c:v>100.32924124749836</c:v>
                  </c:pt>
                  <c:pt idx="28">
                    <c:v>104.4191804121605</c:v>
                  </c:pt>
                  <c:pt idx="29">
                    <c:v>108.94501089713094</c:v>
                  </c:pt>
                  <c:pt idx="30">
                    <c:v>79.392289127343176</c:v>
                  </c:pt>
                </c:numCache>
              </c:numRef>
            </c:plus>
            <c:minus>
              <c:numRef>
                <c:f>'SDZ L-H'!$J$12:$J$42</c:f>
                <c:numCache>
                  <c:formatCode>General</c:formatCode>
                  <c:ptCount val="31"/>
                  <c:pt idx="0">
                    <c:v>56.157451094888913</c:v>
                  </c:pt>
                  <c:pt idx="1">
                    <c:v>56.145449318836867</c:v>
                  </c:pt>
                  <c:pt idx="2">
                    <c:v>56.175511351648623</c:v>
                  </c:pt>
                  <c:pt idx="3">
                    <c:v>56.141690094181598</c:v>
                  </c:pt>
                  <c:pt idx="4">
                    <c:v>56.210836842798976</c:v>
                  </c:pt>
                  <c:pt idx="5">
                    <c:v>56.229409287069416</c:v>
                  </c:pt>
                  <c:pt idx="6">
                    <c:v>56.146716490558418</c:v>
                  </c:pt>
                  <c:pt idx="7">
                    <c:v>56.16351805635194</c:v>
                  </c:pt>
                  <c:pt idx="8">
                    <c:v>56.853074938341919</c:v>
                  </c:pt>
                  <c:pt idx="9">
                    <c:v>56.471993127627925</c:v>
                  </c:pt>
                  <c:pt idx="10">
                    <c:v>56.190769529415128</c:v>
                  </c:pt>
                  <c:pt idx="11">
                    <c:v>56.139811374773004</c:v>
                  </c:pt>
                  <c:pt idx="12">
                    <c:v>56.186812753437501</c:v>
                  </c:pt>
                  <c:pt idx="13">
                    <c:v>56.703096133722767</c:v>
                  </c:pt>
                  <c:pt idx="14">
                    <c:v>56.513293976056836</c:v>
                  </c:pt>
                  <c:pt idx="15">
                    <c:v>56.148607255972252</c:v>
                  </c:pt>
                  <c:pt idx="16">
                    <c:v>56.677530603800506</c:v>
                  </c:pt>
                  <c:pt idx="17">
                    <c:v>57.488269299152499</c:v>
                  </c:pt>
                  <c:pt idx="18">
                    <c:v>97.308112217026121</c:v>
                  </c:pt>
                  <c:pt idx="19">
                    <c:v>79.535686019809461</c:v>
                  </c:pt>
                  <c:pt idx="20">
                    <c:v>153.32090547367386</c:v>
                  </c:pt>
                  <c:pt idx="21">
                    <c:v>82.327845950463598</c:v>
                  </c:pt>
                  <c:pt idx="22">
                    <c:v>106.93766011955695</c:v>
                  </c:pt>
                  <c:pt idx="23">
                    <c:v>92.06880709811918</c:v>
                  </c:pt>
                  <c:pt idx="24">
                    <c:v>56.424306483142999</c:v>
                  </c:pt>
                  <c:pt idx="25">
                    <c:v>56.838652387619064</c:v>
                  </c:pt>
                  <c:pt idx="26">
                    <c:v>66.348118575355215</c:v>
                  </c:pt>
                  <c:pt idx="27">
                    <c:v>100.32924124749836</c:v>
                  </c:pt>
                  <c:pt idx="28">
                    <c:v>104.4191804121605</c:v>
                  </c:pt>
                  <c:pt idx="29">
                    <c:v>108.94501089713094</c:v>
                  </c:pt>
                  <c:pt idx="30">
                    <c:v>79.392289127343176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'SDZ L-H'!$B$12:$B$42</c:f>
              <c:numCache>
                <c:formatCode>0.00</c:formatCode>
                <c:ptCount val="31"/>
                <c:pt idx="0">
                  <c:v>428.82267040157706</c:v>
                </c:pt>
                <c:pt idx="1">
                  <c:v>413.82267040157706</c:v>
                </c:pt>
                <c:pt idx="2">
                  <c:v>398.82267040157706</c:v>
                </c:pt>
                <c:pt idx="3">
                  <c:v>383.82267040157706</c:v>
                </c:pt>
                <c:pt idx="4">
                  <c:v>368.82267040157706</c:v>
                </c:pt>
                <c:pt idx="5">
                  <c:v>353.82267040157706</c:v>
                </c:pt>
                <c:pt idx="6">
                  <c:v>348.64621397751932</c:v>
                </c:pt>
                <c:pt idx="7">
                  <c:v>338.82267040157706</c:v>
                </c:pt>
                <c:pt idx="8">
                  <c:v>318.64621397751932</c:v>
                </c:pt>
                <c:pt idx="9">
                  <c:v>288.64621397751932</c:v>
                </c:pt>
                <c:pt idx="10">
                  <c:v>273.64621397751932</c:v>
                </c:pt>
                <c:pt idx="11">
                  <c:v>258.64621397751932</c:v>
                </c:pt>
                <c:pt idx="12">
                  <c:v>243.64621397751935</c:v>
                </c:pt>
                <c:pt idx="13">
                  <c:v>228.64621397751935</c:v>
                </c:pt>
                <c:pt idx="14">
                  <c:v>213.64621397751935</c:v>
                </c:pt>
                <c:pt idx="15">
                  <c:v>198.64621397751935</c:v>
                </c:pt>
                <c:pt idx="16">
                  <c:v>186.30991099002722</c:v>
                </c:pt>
                <c:pt idx="17">
                  <c:v>171.30991099002722</c:v>
                </c:pt>
                <c:pt idx="18">
                  <c:v>156.30991099002722</c:v>
                </c:pt>
                <c:pt idx="19">
                  <c:v>141.30991099002722</c:v>
                </c:pt>
                <c:pt idx="20">
                  <c:v>126.30991099002721</c:v>
                </c:pt>
                <c:pt idx="21" formatCode="General">
                  <c:v>120</c:v>
                </c:pt>
                <c:pt idx="22">
                  <c:v>111.30991099002721</c:v>
                </c:pt>
                <c:pt idx="23">
                  <c:v>96.309910990027205</c:v>
                </c:pt>
                <c:pt idx="24" formatCode="General">
                  <c:v>90</c:v>
                </c:pt>
                <c:pt idx="25" formatCode="General">
                  <c:v>75</c:v>
                </c:pt>
                <c:pt idx="26" formatCode="General">
                  <c:v>60</c:v>
                </c:pt>
                <c:pt idx="27" formatCode="General">
                  <c:v>45</c:v>
                </c:pt>
                <c:pt idx="28" formatCode="General">
                  <c:v>30</c:v>
                </c:pt>
                <c:pt idx="29" formatCode="General">
                  <c:v>15</c:v>
                </c:pt>
                <c:pt idx="30" formatCode="General">
                  <c:v>0</c:v>
                </c:pt>
              </c:numCache>
            </c:numRef>
          </c:xVal>
          <c:yVal>
            <c:numRef>
              <c:f>'SDZ L-H'!$L$12:$L$42</c:f>
              <c:numCache>
                <c:formatCode>General</c:formatCode>
                <c:ptCount val="31"/>
                <c:pt idx="0">
                  <c:v>5.5352546895482675</c:v>
                </c:pt>
                <c:pt idx="1">
                  <c:v>5.2232604103740687</c:v>
                </c:pt>
                <c:pt idx="2">
                  <c:v>5.0255204459583966</c:v>
                </c:pt>
                <c:pt idx="3">
                  <c:v>4.4896094059836082</c:v>
                </c:pt>
                <c:pt idx="4">
                  <c:v>4.2926460580485619</c:v>
                </c:pt>
                <c:pt idx="5">
                  <c:v>4.2204693479098729</c:v>
                </c:pt>
                <c:pt idx="6">
                  <c:v>4.0176103053109662</c:v>
                </c:pt>
                <c:pt idx="7">
                  <c:v>3.9260122347292477</c:v>
                </c:pt>
                <c:pt idx="8">
                  <c:v>3.7606901438891334</c:v>
                </c:pt>
                <c:pt idx="9">
                  <c:v>3.6828929273750171</c:v>
                </c:pt>
                <c:pt idx="10">
                  <c:v>3.7003914680266963</c:v>
                </c:pt>
                <c:pt idx="11">
                  <c:v>3.3435247996636326</c:v>
                </c:pt>
                <c:pt idx="12">
                  <c:v>3.2241273924333949</c:v>
                </c:pt>
                <c:pt idx="13">
                  <c:v>3.0114609194855402</c:v>
                </c:pt>
                <c:pt idx="14">
                  <c:v>2.7691198109574495</c:v>
                </c:pt>
                <c:pt idx="15">
                  <c:v>2.4034076431800173</c:v>
                </c:pt>
                <c:pt idx="16">
                  <c:v>2.1212159611617247</c:v>
                </c:pt>
                <c:pt idx="17">
                  <c:v>1.8596518862165925</c:v>
                </c:pt>
                <c:pt idx="18">
                  <c:v>1.5553844724317381</c:v>
                </c:pt>
                <c:pt idx="19">
                  <c:v>1.3216861551959722</c:v>
                </c:pt>
                <c:pt idx="20">
                  <c:v>0.98542139781573745</c:v>
                </c:pt>
                <c:pt idx="21">
                  <c:v>0.76858780158115214</c:v>
                </c:pt>
                <c:pt idx="22">
                  <c:v>0.8084901595617241</c:v>
                </c:pt>
                <c:pt idx="23">
                  <c:v>0.69523944270512272</c:v>
                </c:pt>
                <c:pt idx="24">
                  <c:v>0.67657744234120842</c:v>
                </c:pt>
                <c:pt idx="25">
                  <c:v>0.58590482993566195</c:v>
                </c:pt>
                <c:pt idx="26">
                  <c:v>0.39620373474064091</c:v>
                </c:pt>
                <c:pt idx="27">
                  <c:v>0.30805714255063554</c:v>
                </c:pt>
                <c:pt idx="28">
                  <c:v>0.24030998834410025</c:v>
                </c:pt>
                <c:pt idx="29">
                  <c:v>7.6591188372104699E-2</c:v>
                </c:pt>
                <c:pt idx="3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BF-4CDA-B7F2-159654BD5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45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50"/>
      </c:valAx>
      <c:valAx>
        <c:axId val="1320359279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 sz="1200"/>
                  <a:t>-ln(C</a:t>
                </a:r>
                <a:r>
                  <a:rPr lang="es-ES_tradnl" sz="1200" baseline="-25000"/>
                  <a:t>t</a:t>
                </a:r>
                <a:r>
                  <a:rPr lang="es-ES_tradnl" sz="1200" baseline="0"/>
                  <a:t>/C</a:t>
                </a:r>
                <a:r>
                  <a:rPr lang="es-ES_tradnl" sz="1200" baseline="-25000"/>
                  <a:t>0</a:t>
                </a:r>
                <a:r>
                  <a:rPr lang="es-ES_tradnl" sz="1200" baseline="0"/>
                  <a:t>)</a:t>
                </a:r>
                <a:endParaRPr lang="es-ES_tradnl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2282766347315808"/>
          <c:y val="0.69504827458389529"/>
          <c:w val="0.1686728498375244"/>
          <c:h val="0.119048452276798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6350" cap="rnd">
              <a:noFill/>
              <a:round/>
            </a:ln>
            <a:effectLst/>
          </c:spPr>
          <c:marker>
            <c:symbol val="squar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'CIP L-H'!$J$11:$J$31</c:f>
                <c:numCache>
                  <c:formatCode>General</c:formatCode>
                  <c:ptCount val="21"/>
                  <c:pt idx="0">
                    <c:v>8.993247026466344</c:v>
                  </c:pt>
                  <c:pt idx="1">
                    <c:v>9.103174687708087</c:v>
                  </c:pt>
                  <c:pt idx="2">
                    <c:v>9.0993151523441433</c:v>
                  </c:pt>
                  <c:pt idx="3">
                    <c:v>9.0614658577425509</c:v>
                  </c:pt>
                  <c:pt idx="4">
                    <c:v>9.0283432948257705</c:v>
                  </c:pt>
                  <c:pt idx="5">
                    <c:v>9.0121650439760881</c:v>
                  </c:pt>
                  <c:pt idx="6">
                    <c:v>9.9919901798118733</c:v>
                  </c:pt>
                  <c:pt idx="7">
                    <c:v>12.572156499199036</c:v>
                  </c:pt>
                  <c:pt idx="8">
                    <c:v>21.011371611746313</c:v>
                  </c:pt>
                  <c:pt idx="9">
                    <c:v>10.671414021538723</c:v>
                  </c:pt>
                  <c:pt idx="10">
                    <c:v>10.327611902494315</c:v>
                  </c:pt>
                  <c:pt idx="11">
                    <c:v>10.583678937859466</c:v>
                  </c:pt>
                  <c:pt idx="12">
                    <c:v>18.981528722204814</c:v>
                  </c:pt>
                  <c:pt idx="13">
                    <c:v>33.397443091770377</c:v>
                  </c:pt>
                  <c:pt idx="14">
                    <c:v>41.745140322783826</c:v>
                  </c:pt>
                  <c:pt idx="15">
                    <c:v>85.245647990578021</c:v>
                  </c:pt>
                  <c:pt idx="16">
                    <c:v>11.744995655481253</c:v>
                  </c:pt>
                  <c:pt idx="17">
                    <c:v>131.280218444209</c:v>
                  </c:pt>
                  <c:pt idx="18">
                    <c:v>32.942556613064951</c:v>
                  </c:pt>
                  <c:pt idx="19">
                    <c:v>81.820851903299726</c:v>
                  </c:pt>
                  <c:pt idx="20">
                    <c:v>12.696801429911744</c:v>
                  </c:pt>
                </c:numCache>
              </c:numRef>
            </c:plus>
            <c:minus>
              <c:numRef>
                <c:f>'CIP L-H'!$J$11:$J$31</c:f>
                <c:numCache>
                  <c:formatCode>General</c:formatCode>
                  <c:ptCount val="21"/>
                  <c:pt idx="0">
                    <c:v>8.993247026466344</c:v>
                  </c:pt>
                  <c:pt idx="1">
                    <c:v>9.103174687708087</c:v>
                  </c:pt>
                  <c:pt idx="2">
                    <c:v>9.0993151523441433</c:v>
                  </c:pt>
                  <c:pt idx="3">
                    <c:v>9.0614658577425509</c:v>
                  </c:pt>
                  <c:pt idx="4">
                    <c:v>9.0283432948257705</c:v>
                  </c:pt>
                  <c:pt idx="5">
                    <c:v>9.0121650439760881</c:v>
                  </c:pt>
                  <c:pt idx="6">
                    <c:v>9.9919901798118733</c:v>
                  </c:pt>
                  <c:pt idx="7">
                    <c:v>12.572156499199036</c:v>
                  </c:pt>
                  <c:pt idx="8">
                    <c:v>21.011371611746313</c:v>
                  </c:pt>
                  <c:pt idx="9">
                    <c:v>10.671414021538723</c:v>
                  </c:pt>
                  <c:pt idx="10">
                    <c:v>10.327611902494315</c:v>
                  </c:pt>
                  <c:pt idx="11">
                    <c:v>10.583678937859466</c:v>
                  </c:pt>
                  <c:pt idx="12">
                    <c:v>18.981528722204814</c:v>
                  </c:pt>
                  <c:pt idx="13">
                    <c:v>33.397443091770377</c:v>
                  </c:pt>
                  <c:pt idx="14">
                    <c:v>41.745140322783826</c:v>
                  </c:pt>
                  <c:pt idx="15">
                    <c:v>85.245647990578021</c:v>
                  </c:pt>
                  <c:pt idx="16">
                    <c:v>11.744995655481253</c:v>
                  </c:pt>
                  <c:pt idx="17">
                    <c:v>131.280218444209</c:v>
                  </c:pt>
                  <c:pt idx="18">
                    <c:v>32.942556613064951</c:v>
                  </c:pt>
                  <c:pt idx="19">
                    <c:v>81.820851903299726</c:v>
                  </c:pt>
                  <c:pt idx="20">
                    <c:v>12.696801429911744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'CIP L-H'!$B$11:$B$31</c:f>
              <c:numCache>
                <c:formatCode>0.00</c:formatCode>
                <c:ptCount val="21"/>
                <c:pt idx="0">
                  <c:v>212.01709744260734</c:v>
                </c:pt>
                <c:pt idx="1">
                  <c:v>197.01709744260734</c:v>
                </c:pt>
                <c:pt idx="2">
                  <c:v>182.01709744260734</c:v>
                </c:pt>
                <c:pt idx="3">
                  <c:v>176.34294846431743</c:v>
                </c:pt>
                <c:pt idx="4">
                  <c:v>161.34294846431743</c:v>
                </c:pt>
                <c:pt idx="5">
                  <c:v>146.34294846431743</c:v>
                </c:pt>
                <c:pt idx="6">
                  <c:v>136.5680796253873</c:v>
                </c:pt>
                <c:pt idx="7">
                  <c:v>131.34294846431743</c:v>
                </c:pt>
                <c:pt idx="8">
                  <c:v>121.5680796253873</c:v>
                </c:pt>
                <c:pt idx="9">
                  <c:v>116.34294846431743</c:v>
                </c:pt>
                <c:pt idx="10">
                  <c:v>106.5680796253873</c:v>
                </c:pt>
                <c:pt idx="11">
                  <c:v>91.568079625387298</c:v>
                </c:pt>
                <c:pt idx="12" formatCode="General">
                  <c:v>90</c:v>
                </c:pt>
                <c:pt idx="13">
                  <c:v>76.568079625387298</c:v>
                </c:pt>
                <c:pt idx="14" formatCode="General">
                  <c:v>75</c:v>
                </c:pt>
                <c:pt idx="15">
                  <c:v>61.568079625387305</c:v>
                </c:pt>
                <c:pt idx="16" formatCode="General">
                  <c:v>60</c:v>
                </c:pt>
                <c:pt idx="17" formatCode="General">
                  <c:v>45</c:v>
                </c:pt>
                <c:pt idx="18" formatCode="General">
                  <c:v>30</c:v>
                </c:pt>
                <c:pt idx="19" formatCode="General">
                  <c:v>15</c:v>
                </c:pt>
                <c:pt idx="20" formatCode="General">
                  <c:v>0</c:v>
                </c:pt>
              </c:numCache>
            </c:numRef>
          </c:xVal>
          <c:yVal>
            <c:numRef>
              <c:f>'CIP L-H'!$D$11:$D$31</c:f>
              <c:numCache>
                <c:formatCode>General</c:formatCode>
                <c:ptCount val="21"/>
                <c:pt idx="0">
                  <c:v>7.1596130983778163E-254</c:v>
                </c:pt>
                <c:pt idx="1">
                  <c:v>9.3093248943049592E-236</c:v>
                </c:pt>
                <c:pt idx="2">
                  <c:v>1.2104499055593069E-217</c:v>
                </c:pt>
                <c:pt idx="3">
                  <c:v>8.6111262868962014E-211</c:v>
                </c:pt>
                <c:pt idx="4">
                  <c:v>1.1196662614180881E-192</c:v>
                </c:pt>
                <c:pt idx="5">
                  <c:v>1.4558519933282204E-174</c:v>
                </c:pt>
                <c:pt idx="6">
                  <c:v>9.2740086056839407E-163</c:v>
                </c:pt>
                <c:pt idx="7">
                  <c:v>1.8929792738359925E-156</c:v>
                </c:pt>
                <c:pt idx="8">
                  <c:v>1.2058578864052469E-144</c:v>
                </c:pt>
                <c:pt idx="9">
                  <c:v>2.4613563381401852E-138</c:v>
                </c:pt>
                <c:pt idx="10">
                  <c:v>1.56792311074032E-126</c:v>
                </c:pt>
                <c:pt idx="11">
                  <c:v>2.0387003384970732E-108</c:v>
                </c:pt>
                <c:pt idx="12">
                  <c:v>1.5957665010377241E-106</c:v>
                </c:pt>
                <c:pt idx="13">
                  <c:v>2.6508309251373295E-90</c:v>
                </c:pt>
                <c:pt idx="14">
                  <c:v>2.0749038543680325E-88</c:v>
                </c:pt>
                <c:pt idx="15">
                  <c:v>3.446756966177999E-72</c:v>
                </c:pt>
                <c:pt idx="16">
                  <c:v>2.6979047386141E-70</c:v>
                </c:pt>
                <c:pt idx="17">
                  <c:v>3.5079649417554985E-52</c:v>
                </c:pt>
                <c:pt idx="18">
                  <c:v>4.5612500161540524E-34</c:v>
                </c:pt>
                <c:pt idx="19">
                  <c:v>5.9307895190804988E-16</c:v>
                </c:pt>
                <c:pt idx="20">
                  <c:v>771.15405196081042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85-4DF3-B13B-EA6EA9D35FE9}"/>
            </c:ext>
          </c:extLst>
        </c:ser>
        <c:ser>
          <c:idx val="4"/>
          <c:order val="1"/>
          <c:spPr>
            <a:ln w="95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y"/>
            <c:errBarType val="both"/>
            <c:errValType val="fixedVal"/>
            <c:noEndCap val="0"/>
            <c:val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Ref>
              <c:f>'CIP L-H'!$B$11:$B$31</c:f>
              <c:numCache>
                <c:formatCode>0.00</c:formatCode>
                <c:ptCount val="21"/>
                <c:pt idx="0">
                  <c:v>212.01709744260734</c:v>
                </c:pt>
                <c:pt idx="1">
                  <c:v>197.01709744260734</c:v>
                </c:pt>
                <c:pt idx="2">
                  <c:v>182.01709744260734</c:v>
                </c:pt>
                <c:pt idx="3">
                  <c:v>176.34294846431743</c:v>
                </c:pt>
                <c:pt idx="4">
                  <c:v>161.34294846431743</c:v>
                </c:pt>
                <c:pt idx="5">
                  <c:v>146.34294846431743</c:v>
                </c:pt>
                <c:pt idx="6">
                  <c:v>136.5680796253873</c:v>
                </c:pt>
                <c:pt idx="7">
                  <c:v>131.34294846431743</c:v>
                </c:pt>
                <c:pt idx="8">
                  <c:v>121.5680796253873</c:v>
                </c:pt>
                <c:pt idx="9">
                  <c:v>116.34294846431743</c:v>
                </c:pt>
                <c:pt idx="10">
                  <c:v>106.5680796253873</c:v>
                </c:pt>
                <c:pt idx="11">
                  <c:v>91.568079625387298</c:v>
                </c:pt>
                <c:pt idx="12" formatCode="General">
                  <c:v>90</c:v>
                </c:pt>
                <c:pt idx="13">
                  <c:v>76.568079625387298</c:v>
                </c:pt>
                <c:pt idx="14" formatCode="General">
                  <c:v>75</c:v>
                </c:pt>
                <c:pt idx="15">
                  <c:v>61.568079625387305</c:v>
                </c:pt>
                <c:pt idx="16" formatCode="General">
                  <c:v>60</c:v>
                </c:pt>
                <c:pt idx="17" formatCode="General">
                  <c:v>45</c:v>
                </c:pt>
                <c:pt idx="18" formatCode="General">
                  <c:v>30</c:v>
                </c:pt>
                <c:pt idx="19" formatCode="General">
                  <c:v>15</c:v>
                </c:pt>
                <c:pt idx="20" formatCode="General">
                  <c:v>0</c:v>
                </c:pt>
              </c:numCache>
            </c:numRef>
          </c:xVal>
          <c:yVal>
            <c:numRef>
              <c:f>'CIP L-H'!$E$11:$E$31</c:f>
              <c:numCache>
                <c:formatCode>General</c:formatCode>
                <c:ptCount val="21"/>
                <c:pt idx="0">
                  <c:v>589.53604583910953</c:v>
                </c:pt>
                <c:pt idx="1">
                  <c:v>547.82695353356826</c:v>
                </c:pt>
                <c:pt idx="2">
                  <c:v>506.11786122802698</c:v>
                </c:pt>
                <c:pt idx="3">
                  <c:v>490.34028766196792</c:v>
                </c:pt>
                <c:pt idx="4">
                  <c:v>448.63119535642664</c:v>
                </c:pt>
                <c:pt idx="5">
                  <c:v>406.92210305088543</c:v>
                </c:pt>
                <c:pt idx="6">
                  <c:v>379.74204260571906</c:v>
                </c:pt>
                <c:pt idx="7">
                  <c:v>365.21301074534415</c:v>
                </c:pt>
                <c:pt idx="8">
                  <c:v>338.03295030017779</c:v>
                </c:pt>
                <c:pt idx="9">
                  <c:v>323.50391843980293</c:v>
                </c:pt>
                <c:pt idx="10">
                  <c:v>296.32385799463657</c:v>
                </c:pt>
                <c:pt idx="11">
                  <c:v>254.61476568909529</c:v>
                </c:pt>
                <c:pt idx="12">
                  <c:v>250.25455383324748</c:v>
                </c:pt>
                <c:pt idx="13">
                  <c:v>212.90567338355405</c:v>
                </c:pt>
                <c:pt idx="14">
                  <c:v>208.54546152770624</c:v>
                </c:pt>
                <c:pt idx="15">
                  <c:v>171.19658107801283</c:v>
                </c:pt>
                <c:pt idx="16">
                  <c:v>166.83636922216499</c:v>
                </c:pt>
                <c:pt idx="17">
                  <c:v>125.12727691662374</c:v>
                </c:pt>
                <c:pt idx="18">
                  <c:v>83.418184611082495</c:v>
                </c:pt>
                <c:pt idx="19">
                  <c:v>41.709092305541247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85-4DF3-B13B-EA6EA9D35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35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50"/>
      </c:valAx>
      <c:valAx>
        <c:axId val="1320359279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 sz="1200"/>
                  <a:t>-ln(C</a:t>
                </a:r>
                <a:r>
                  <a:rPr lang="es-ES_tradnl" sz="1200" baseline="-25000"/>
                  <a:t>t</a:t>
                </a:r>
                <a:r>
                  <a:rPr lang="es-ES_tradnl" sz="1200" baseline="0"/>
                  <a:t>/C</a:t>
                </a:r>
                <a:r>
                  <a:rPr lang="es-ES_tradnl" sz="1200" baseline="-25000"/>
                  <a:t>0</a:t>
                </a:r>
                <a:r>
                  <a:rPr lang="es-ES_tradnl" sz="1200" baseline="0"/>
                  <a:t>)-k</a:t>
                </a:r>
                <a:r>
                  <a:rPr lang="es-ES_tradnl" sz="1200" baseline="-25000"/>
                  <a:t>2</a:t>
                </a:r>
                <a:r>
                  <a:rPr lang="es-ES_tradnl" sz="1200" baseline="0"/>
                  <a:t>·(</a:t>
                </a:r>
                <a:r>
                  <a:rPr lang="es-ES_tradnl" sz="1200" b="0" i="0" u="none" strike="noStrike" baseline="0">
                    <a:effectLst/>
                  </a:rPr>
                  <a:t>C</a:t>
                </a:r>
                <a:r>
                  <a:rPr lang="es-ES_tradnl" sz="1200" b="0" i="0" u="none" strike="noStrike" baseline="-25000">
                    <a:effectLst/>
                  </a:rPr>
                  <a:t>t</a:t>
                </a:r>
                <a:r>
                  <a:rPr lang="es-ES_tradnl" sz="1200" b="0" i="0" u="none" strike="noStrike" baseline="0">
                    <a:effectLst/>
                  </a:rPr>
                  <a:t>-C</a:t>
                </a:r>
                <a:r>
                  <a:rPr lang="es-ES_tradnl" sz="1200" b="0" i="0" u="none" strike="noStrike" baseline="-25000">
                    <a:effectLst/>
                  </a:rPr>
                  <a:t>0</a:t>
                </a:r>
                <a:r>
                  <a:rPr lang="es-ES_tradnl" sz="1200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0711761960088182"/>
          <c:y val="0.49592355643044628"/>
          <c:w val="0.1686728498375244"/>
          <c:h val="0.119048452276798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star"/>
            <c:size val="3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'CIP L-H'!$J$45:$J$65</c:f>
                <c:numCache>
                  <c:formatCode>General</c:formatCode>
                  <c:ptCount val="21"/>
                  <c:pt idx="0">
                    <c:v>0.16997664437887106</c:v>
                  </c:pt>
                  <c:pt idx="1">
                    <c:v>0.53214958594102291</c:v>
                  </c:pt>
                  <c:pt idx="2">
                    <c:v>0.53206979213805861</c:v>
                  </c:pt>
                  <c:pt idx="3">
                    <c:v>0.44096237485118189</c:v>
                  </c:pt>
                  <c:pt idx="4">
                    <c:v>0.34226464816741403</c:v>
                  </c:pt>
                  <c:pt idx="5">
                    <c:v>0.28192283685532787</c:v>
                  </c:pt>
                  <c:pt idx="6">
                    <c:v>1.5772532469412468</c:v>
                  </c:pt>
                  <c:pt idx="7">
                    <c:v>3.164960636782332</c:v>
                  </c:pt>
                  <c:pt idx="8">
                    <c:v>6.8317390454372759</c:v>
                  </c:pt>
                  <c:pt idx="9">
                    <c:v>2.0744934552790406</c:v>
                  </c:pt>
                  <c:pt idx="10">
                    <c:v>1.8357080246533495</c:v>
                  </c:pt>
                  <c:pt idx="11">
                    <c:v>2.0155289878576639</c:v>
                  </c:pt>
                  <c:pt idx="12">
                    <c:v>6.0145193988604424</c:v>
                  </c:pt>
                  <c:pt idx="13">
                    <c:v>11.568673415942838</c:v>
                  </c:pt>
                  <c:pt idx="14">
                    <c:v>14.661619140479852</c:v>
                  </c:pt>
                  <c:pt idx="15">
                    <c:v>30.486694848667547</c:v>
                  </c:pt>
                  <c:pt idx="16">
                    <c:v>2.7232726444063822</c:v>
                  </c:pt>
                  <c:pt idx="17">
                    <c:v>47.102249888623085</c:v>
                  </c:pt>
                  <c:pt idx="18">
                    <c:v>11.398785660449558</c:v>
                  </c:pt>
                  <c:pt idx="19">
                    <c:v>29.247859232680256</c:v>
                  </c:pt>
                  <c:pt idx="20">
                    <c:v>3.2287900255861923</c:v>
                  </c:pt>
                </c:numCache>
              </c:numRef>
            </c:plus>
            <c:minus>
              <c:numRef>
                <c:f>'CIP L-H'!$J$45:$J$65</c:f>
                <c:numCache>
                  <c:formatCode>General</c:formatCode>
                  <c:ptCount val="21"/>
                  <c:pt idx="0">
                    <c:v>0.16997664437887106</c:v>
                  </c:pt>
                  <c:pt idx="1">
                    <c:v>0.53214958594102291</c:v>
                  </c:pt>
                  <c:pt idx="2">
                    <c:v>0.53206979213805861</c:v>
                  </c:pt>
                  <c:pt idx="3">
                    <c:v>0.44096237485118189</c:v>
                  </c:pt>
                  <c:pt idx="4">
                    <c:v>0.34226464816741403</c:v>
                  </c:pt>
                  <c:pt idx="5">
                    <c:v>0.28192283685532787</c:v>
                  </c:pt>
                  <c:pt idx="6">
                    <c:v>1.5772532469412468</c:v>
                  </c:pt>
                  <c:pt idx="7">
                    <c:v>3.164960636782332</c:v>
                  </c:pt>
                  <c:pt idx="8">
                    <c:v>6.8317390454372759</c:v>
                  </c:pt>
                  <c:pt idx="9">
                    <c:v>2.0744934552790406</c:v>
                  </c:pt>
                  <c:pt idx="10">
                    <c:v>1.8357080246533495</c:v>
                  </c:pt>
                  <c:pt idx="11">
                    <c:v>2.0155289878576639</c:v>
                  </c:pt>
                  <c:pt idx="12">
                    <c:v>6.0145193988604424</c:v>
                  </c:pt>
                  <c:pt idx="13">
                    <c:v>11.568673415942838</c:v>
                  </c:pt>
                  <c:pt idx="14">
                    <c:v>14.661619140479852</c:v>
                  </c:pt>
                  <c:pt idx="15">
                    <c:v>30.486694848667547</c:v>
                  </c:pt>
                  <c:pt idx="16">
                    <c:v>2.7232726444063822</c:v>
                  </c:pt>
                  <c:pt idx="17">
                    <c:v>47.102249888623085</c:v>
                  </c:pt>
                  <c:pt idx="18">
                    <c:v>11.398785660449558</c:v>
                  </c:pt>
                  <c:pt idx="19">
                    <c:v>29.247859232680256</c:v>
                  </c:pt>
                  <c:pt idx="20">
                    <c:v>3.2287900255861923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'CIP L-H'!$B$45:$B$65</c:f>
              <c:numCache>
                <c:formatCode>0.00</c:formatCode>
                <c:ptCount val="21"/>
                <c:pt idx="0">
                  <c:v>212.01709744260734</c:v>
                </c:pt>
                <c:pt idx="1">
                  <c:v>197.01709744260734</c:v>
                </c:pt>
                <c:pt idx="2">
                  <c:v>182.01709744260734</c:v>
                </c:pt>
                <c:pt idx="3">
                  <c:v>176.34294846431743</c:v>
                </c:pt>
                <c:pt idx="4">
                  <c:v>161.34294846431743</c:v>
                </c:pt>
                <c:pt idx="5">
                  <c:v>146.34294846431743</c:v>
                </c:pt>
                <c:pt idx="6">
                  <c:v>136.5680796253873</c:v>
                </c:pt>
                <c:pt idx="7">
                  <c:v>131.34294846431743</c:v>
                </c:pt>
                <c:pt idx="8">
                  <c:v>121.5680796253873</c:v>
                </c:pt>
                <c:pt idx="9">
                  <c:v>116.34294846431743</c:v>
                </c:pt>
                <c:pt idx="10">
                  <c:v>106.5680796253873</c:v>
                </c:pt>
                <c:pt idx="11">
                  <c:v>91.568079625387298</c:v>
                </c:pt>
                <c:pt idx="12" formatCode="General">
                  <c:v>90</c:v>
                </c:pt>
                <c:pt idx="13">
                  <c:v>76.568079625387298</c:v>
                </c:pt>
                <c:pt idx="14" formatCode="General">
                  <c:v>75</c:v>
                </c:pt>
                <c:pt idx="15">
                  <c:v>61.568079625387305</c:v>
                </c:pt>
                <c:pt idx="16" formatCode="General">
                  <c:v>60</c:v>
                </c:pt>
                <c:pt idx="17" formatCode="General">
                  <c:v>45</c:v>
                </c:pt>
                <c:pt idx="18" formatCode="General">
                  <c:v>30</c:v>
                </c:pt>
                <c:pt idx="19" formatCode="General">
                  <c:v>15</c:v>
                </c:pt>
                <c:pt idx="20" formatCode="General">
                  <c:v>0</c:v>
                </c:pt>
              </c:numCache>
            </c:numRef>
          </c:xVal>
          <c:yVal>
            <c:numRef>
              <c:f>'CIP L-H'!$C$45:$C$65</c:f>
              <c:numCache>
                <c:formatCode>General</c:formatCode>
                <c:ptCount val="21"/>
                <c:pt idx="0">
                  <c:v>0.75472884881890401</c:v>
                </c:pt>
                <c:pt idx="1">
                  <c:v>1.9575607808517868</c:v>
                </c:pt>
                <c:pt idx="2">
                  <c:v>8.111970672769786</c:v>
                </c:pt>
                <c:pt idx="3">
                  <c:v>9.0880253268987179</c:v>
                </c:pt>
                <c:pt idx="4">
                  <c:v>11.668292406235523</c:v>
                </c:pt>
                <c:pt idx="5">
                  <c:v>19.425798717946961</c:v>
                </c:pt>
                <c:pt idx="6">
                  <c:v>51.340128944239559</c:v>
                </c:pt>
                <c:pt idx="7">
                  <c:v>41.64168292487026</c:v>
                </c:pt>
                <c:pt idx="8">
                  <c:v>64.941639364127639</c:v>
                </c:pt>
                <c:pt idx="9">
                  <c:v>71.548246027253882</c:v>
                </c:pt>
                <c:pt idx="10">
                  <c:v>83.907498189880599</c:v>
                </c:pt>
                <c:pt idx="11">
                  <c:v>78.249632707027246</c:v>
                </c:pt>
                <c:pt idx="12">
                  <c:v>152.74356302582922</c:v>
                </c:pt>
                <c:pt idx="13">
                  <c:v>118.96939930410527</c:v>
                </c:pt>
                <c:pt idx="14">
                  <c:v>173.13248116312425</c:v>
                </c:pt>
                <c:pt idx="15">
                  <c:v>299.2280364046303</c:v>
                </c:pt>
                <c:pt idx="16">
                  <c:v>313.94878113148451</c:v>
                </c:pt>
                <c:pt idx="17">
                  <c:v>378.48269154692088</c:v>
                </c:pt>
                <c:pt idx="18">
                  <c:v>401.56189630033884</c:v>
                </c:pt>
                <c:pt idx="19">
                  <c:v>562.21702355995183</c:v>
                </c:pt>
                <c:pt idx="20">
                  <c:v>771.15405196081042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65-4A06-BB06-7065BD0B2A9E}"/>
            </c:ext>
          </c:extLst>
        </c:ser>
        <c:ser>
          <c:idx val="4"/>
          <c:order val="1"/>
          <c:spPr>
            <a:ln w="95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'CIP L-H'!$B$45:$B$65</c:f>
              <c:numCache>
                <c:formatCode>0.00</c:formatCode>
                <c:ptCount val="21"/>
                <c:pt idx="0">
                  <c:v>212.01709744260734</c:v>
                </c:pt>
                <c:pt idx="1">
                  <c:v>197.01709744260734</c:v>
                </c:pt>
                <c:pt idx="2">
                  <c:v>182.01709744260734</c:v>
                </c:pt>
                <c:pt idx="3">
                  <c:v>176.34294846431743</c:v>
                </c:pt>
                <c:pt idx="4">
                  <c:v>161.34294846431743</c:v>
                </c:pt>
                <c:pt idx="5">
                  <c:v>146.34294846431743</c:v>
                </c:pt>
                <c:pt idx="6">
                  <c:v>136.5680796253873</c:v>
                </c:pt>
                <c:pt idx="7">
                  <c:v>131.34294846431743</c:v>
                </c:pt>
                <c:pt idx="8">
                  <c:v>121.5680796253873</c:v>
                </c:pt>
                <c:pt idx="9">
                  <c:v>116.34294846431743</c:v>
                </c:pt>
                <c:pt idx="10">
                  <c:v>106.5680796253873</c:v>
                </c:pt>
                <c:pt idx="11">
                  <c:v>91.568079625387298</c:v>
                </c:pt>
                <c:pt idx="12" formatCode="General">
                  <c:v>90</c:v>
                </c:pt>
                <c:pt idx="13">
                  <c:v>76.568079625387298</c:v>
                </c:pt>
                <c:pt idx="14" formatCode="General">
                  <c:v>75</c:v>
                </c:pt>
                <c:pt idx="15">
                  <c:v>61.568079625387305</c:v>
                </c:pt>
                <c:pt idx="16" formatCode="General">
                  <c:v>60</c:v>
                </c:pt>
                <c:pt idx="17" formatCode="General">
                  <c:v>45</c:v>
                </c:pt>
                <c:pt idx="18" formatCode="General">
                  <c:v>30</c:v>
                </c:pt>
                <c:pt idx="19" formatCode="General">
                  <c:v>15</c:v>
                </c:pt>
                <c:pt idx="20" formatCode="General">
                  <c:v>0</c:v>
                </c:pt>
              </c:numCache>
            </c:numRef>
          </c:xVal>
          <c:yVal>
            <c:numRef>
              <c:f>'CIP L-H'!$H$45:$H$65</c:f>
              <c:numCache>
                <c:formatCode>0.000000000</c:formatCode>
                <c:ptCount val="21"/>
                <c:pt idx="0">
                  <c:v>1.7209963834031632</c:v>
                </c:pt>
                <c:pt idx="1">
                  <c:v>3.0299676746583573</c:v>
                </c:pt>
                <c:pt idx="2">
                  <c:v>5.3213577891714428</c:v>
                </c:pt>
                <c:pt idx="3">
                  <c:v>6.5783385830574765</c:v>
                </c:pt>
                <c:pt idx="4">
                  <c:v>11.477568392918103</c:v>
                </c:pt>
                <c:pt idx="5">
                  <c:v>19.851138882822529</c:v>
                </c:pt>
                <c:pt idx="6">
                  <c:v>28.165310045037543</c:v>
                </c:pt>
                <c:pt idx="7">
                  <c:v>33.850909641219744</c:v>
                </c:pt>
                <c:pt idx="8">
                  <c:v>47.399834099117015</c:v>
                </c:pt>
                <c:pt idx="9">
                  <c:v>56.483141938372079</c:v>
                </c:pt>
                <c:pt idx="10">
                  <c:v>77.598612825971657</c:v>
                </c:pt>
                <c:pt idx="11">
                  <c:v>122.44024627441561</c:v>
                </c:pt>
                <c:pt idx="12">
                  <c:v>128.10407794600079</c:v>
                </c:pt>
                <c:pt idx="13" formatCode="0.0000000">
                  <c:v>184.84125824752627</c:v>
                </c:pt>
                <c:pt idx="14" formatCode="0.0000000">
                  <c:v>192.44811189760239</c:v>
                </c:pt>
                <c:pt idx="15" formatCode="0.0000000">
                  <c:v>266.10527638629003</c:v>
                </c:pt>
                <c:pt idx="16" formatCode="0.0000000">
                  <c:v>275.68441718213563</c:v>
                </c:pt>
                <c:pt idx="17" formatCode="0.0000000">
                  <c:v>377.1808005386041</c:v>
                </c:pt>
                <c:pt idx="18" formatCode="0.0000000">
                  <c:v>495.12109037464165</c:v>
                </c:pt>
                <c:pt idx="19" formatCode="0.0000000">
                  <c:v>627.20619059169906</c:v>
                </c:pt>
                <c:pt idx="20" formatCode="0.0000000">
                  <c:v>771.15423525217193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65-4A06-BB06-7065BD0B2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3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50"/>
      </c:valAx>
      <c:valAx>
        <c:axId val="1320359279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75883476565748"/>
          <c:y val="0.15913933338977793"/>
          <c:w val="0.2102356199024849"/>
          <c:h val="9.6774870883075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0" i="0" baseline="0">
                <a:effectLst/>
              </a:rPr>
              <a:t>Pseudocinética de orden 1</a:t>
            </a:r>
            <a:endParaRPr lang="es-ES" sz="1200">
              <a:effectLst/>
            </a:endParaRPr>
          </a:p>
        </c:rich>
      </c:tx>
      <c:layout>
        <c:manualLayout>
          <c:xMode val="edge"/>
          <c:yMode val="edge"/>
          <c:x val="9.0759075907590761E-2"/>
          <c:y val="4.57516235221785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squar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7.9722460435019876E-2"/>
                  <c:y val="0.2462237898835675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'CIP L-H'!$J$11:$J$31</c:f>
                <c:numCache>
                  <c:formatCode>General</c:formatCode>
                  <c:ptCount val="21"/>
                  <c:pt idx="0">
                    <c:v>8.993247026466344</c:v>
                  </c:pt>
                  <c:pt idx="1">
                    <c:v>9.103174687708087</c:v>
                  </c:pt>
                  <c:pt idx="2">
                    <c:v>9.0993151523441433</c:v>
                  </c:pt>
                  <c:pt idx="3">
                    <c:v>9.0614658577425509</c:v>
                  </c:pt>
                  <c:pt idx="4">
                    <c:v>9.0283432948257705</c:v>
                  </c:pt>
                  <c:pt idx="5">
                    <c:v>9.0121650439760881</c:v>
                  </c:pt>
                  <c:pt idx="6">
                    <c:v>9.9919901798118733</c:v>
                  </c:pt>
                  <c:pt idx="7">
                    <c:v>12.572156499199036</c:v>
                  </c:pt>
                  <c:pt idx="8">
                    <c:v>21.011371611746313</c:v>
                  </c:pt>
                  <c:pt idx="9">
                    <c:v>10.671414021538723</c:v>
                  </c:pt>
                  <c:pt idx="10">
                    <c:v>10.327611902494315</c:v>
                  </c:pt>
                  <c:pt idx="11">
                    <c:v>10.583678937859466</c:v>
                  </c:pt>
                  <c:pt idx="12">
                    <c:v>18.981528722204814</c:v>
                  </c:pt>
                  <c:pt idx="13">
                    <c:v>33.397443091770377</c:v>
                  </c:pt>
                  <c:pt idx="14">
                    <c:v>41.745140322783826</c:v>
                  </c:pt>
                  <c:pt idx="15">
                    <c:v>85.245647990578021</c:v>
                  </c:pt>
                  <c:pt idx="16">
                    <c:v>11.744995655481253</c:v>
                  </c:pt>
                  <c:pt idx="17">
                    <c:v>131.280218444209</c:v>
                  </c:pt>
                  <c:pt idx="18">
                    <c:v>32.942556613064951</c:v>
                  </c:pt>
                  <c:pt idx="19">
                    <c:v>81.820851903299726</c:v>
                  </c:pt>
                  <c:pt idx="20">
                    <c:v>12.696801429911744</c:v>
                  </c:pt>
                </c:numCache>
              </c:numRef>
            </c:plus>
            <c:minus>
              <c:numRef>
                <c:f>'CIP L-H'!$J$11:$J$31</c:f>
                <c:numCache>
                  <c:formatCode>General</c:formatCode>
                  <c:ptCount val="21"/>
                  <c:pt idx="0">
                    <c:v>8.993247026466344</c:v>
                  </c:pt>
                  <c:pt idx="1">
                    <c:v>9.103174687708087</c:v>
                  </c:pt>
                  <c:pt idx="2">
                    <c:v>9.0993151523441433</c:v>
                  </c:pt>
                  <c:pt idx="3">
                    <c:v>9.0614658577425509</c:v>
                  </c:pt>
                  <c:pt idx="4">
                    <c:v>9.0283432948257705</c:v>
                  </c:pt>
                  <c:pt idx="5">
                    <c:v>9.0121650439760881</c:v>
                  </c:pt>
                  <c:pt idx="6">
                    <c:v>9.9919901798118733</c:v>
                  </c:pt>
                  <c:pt idx="7">
                    <c:v>12.572156499199036</c:v>
                  </c:pt>
                  <c:pt idx="8">
                    <c:v>21.011371611746313</c:v>
                  </c:pt>
                  <c:pt idx="9">
                    <c:v>10.671414021538723</c:v>
                  </c:pt>
                  <c:pt idx="10">
                    <c:v>10.327611902494315</c:v>
                  </c:pt>
                  <c:pt idx="11">
                    <c:v>10.583678937859466</c:v>
                  </c:pt>
                  <c:pt idx="12">
                    <c:v>18.981528722204814</c:v>
                  </c:pt>
                  <c:pt idx="13">
                    <c:v>33.397443091770377</c:v>
                  </c:pt>
                  <c:pt idx="14">
                    <c:v>41.745140322783826</c:v>
                  </c:pt>
                  <c:pt idx="15">
                    <c:v>85.245647990578021</c:v>
                  </c:pt>
                  <c:pt idx="16">
                    <c:v>11.744995655481253</c:v>
                  </c:pt>
                  <c:pt idx="17">
                    <c:v>131.280218444209</c:v>
                  </c:pt>
                  <c:pt idx="18">
                    <c:v>32.942556613064951</c:v>
                  </c:pt>
                  <c:pt idx="19">
                    <c:v>81.820851903299726</c:v>
                  </c:pt>
                  <c:pt idx="20">
                    <c:v>12.696801429911744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'CIP L-H'!$B$11:$B$31</c:f>
              <c:numCache>
                <c:formatCode>0.00</c:formatCode>
                <c:ptCount val="21"/>
                <c:pt idx="0">
                  <c:v>212.01709744260734</c:v>
                </c:pt>
                <c:pt idx="1">
                  <c:v>197.01709744260734</c:v>
                </c:pt>
                <c:pt idx="2">
                  <c:v>182.01709744260734</c:v>
                </c:pt>
                <c:pt idx="3">
                  <c:v>176.34294846431743</c:v>
                </c:pt>
                <c:pt idx="4">
                  <c:v>161.34294846431743</c:v>
                </c:pt>
                <c:pt idx="5">
                  <c:v>146.34294846431743</c:v>
                </c:pt>
                <c:pt idx="6">
                  <c:v>136.5680796253873</c:v>
                </c:pt>
                <c:pt idx="7">
                  <c:v>131.34294846431743</c:v>
                </c:pt>
                <c:pt idx="8">
                  <c:v>121.5680796253873</c:v>
                </c:pt>
                <c:pt idx="9">
                  <c:v>116.34294846431743</c:v>
                </c:pt>
                <c:pt idx="10">
                  <c:v>106.5680796253873</c:v>
                </c:pt>
                <c:pt idx="11">
                  <c:v>91.568079625387298</c:v>
                </c:pt>
                <c:pt idx="12" formatCode="General">
                  <c:v>90</c:v>
                </c:pt>
                <c:pt idx="13">
                  <c:v>76.568079625387298</c:v>
                </c:pt>
                <c:pt idx="14" formatCode="General">
                  <c:v>75</c:v>
                </c:pt>
                <c:pt idx="15">
                  <c:v>61.568079625387305</c:v>
                </c:pt>
                <c:pt idx="16" formatCode="General">
                  <c:v>60</c:v>
                </c:pt>
                <c:pt idx="17" formatCode="General">
                  <c:v>45</c:v>
                </c:pt>
                <c:pt idx="18" formatCode="General">
                  <c:v>30</c:v>
                </c:pt>
                <c:pt idx="19" formatCode="General">
                  <c:v>15</c:v>
                </c:pt>
                <c:pt idx="20" formatCode="General">
                  <c:v>0</c:v>
                </c:pt>
              </c:numCache>
            </c:numRef>
          </c:xVal>
          <c:yVal>
            <c:numRef>
              <c:f>'CIP L-H'!$L$11:$L$31</c:f>
              <c:numCache>
                <c:formatCode>General</c:formatCode>
                <c:ptCount val="21"/>
                <c:pt idx="0">
                  <c:v>6.9292848964718159</c:v>
                </c:pt>
                <c:pt idx="1">
                  <c:v>5.9761889629507055</c:v>
                </c:pt>
                <c:pt idx="2">
                  <c:v>4.5545473300424755</c:v>
                </c:pt>
                <c:pt idx="3">
                  <c:v>4.4409305127694827</c:v>
                </c:pt>
                <c:pt idx="4">
                  <c:v>4.1910130493760249</c:v>
                </c:pt>
                <c:pt idx="5">
                  <c:v>3.6812861481456314</c:v>
                </c:pt>
                <c:pt idx="6">
                  <c:v>2.7094154745806143</c:v>
                </c:pt>
                <c:pt idx="7">
                  <c:v>2.9187865026018187</c:v>
                </c:pt>
                <c:pt idx="8">
                  <c:v>2.4743991509499788</c:v>
                </c:pt>
                <c:pt idx="9">
                  <c:v>2.377516169837798</c:v>
                </c:pt>
                <c:pt idx="10">
                  <c:v>2.2181731815564287</c:v>
                </c:pt>
                <c:pt idx="11">
                  <c:v>2.2879840260257076</c:v>
                </c:pt>
                <c:pt idx="12">
                  <c:v>1.6191277050150508</c:v>
                </c:pt>
                <c:pt idx="13">
                  <c:v>1.8690218502569123</c:v>
                </c:pt>
                <c:pt idx="14">
                  <c:v>1.493831073092496</c:v>
                </c:pt>
                <c:pt idx="15">
                  <c:v>0.94668221532379226</c:v>
                </c:pt>
                <c:pt idx="16">
                  <c:v>0.89865830640753852</c:v>
                </c:pt>
                <c:pt idx="17">
                  <c:v>0.71171781883337104</c:v>
                </c:pt>
                <c:pt idx="18">
                  <c:v>0.65252647744912529</c:v>
                </c:pt>
                <c:pt idx="19">
                  <c:v>0.31600022332500172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AB-4794-ADF1-F99533F53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35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50"/>
      </c:valAx>
      <c:valAx>
        <c:axId val="1320359279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 sz="1200"/>
                  <a:t>-ln(C</a:t>
                </a:r>
                <a:r>
                  <a:rPr lang="es-ES_tradnl" sz="1200" baseline="-25000"/>
                  <a:t>t</a:t>
                </a:r>
                <a:r>
                  <a:rPr lang="es-ES_tradnl" sz="1200" baseline="0"/>
                  <a:t>/C</a:t>
                </a:r>
                <a:r>
                  <a:rPr lang="es-ES_tradnl" sz="1200" baseline="-25000"/>
                  <a:t>0</a:t>
                </a:r>
                <a:r>
                  <a:rPr lang="es-ES_tradnl" sz="1200" baseline="0"/>
                  <a:t>)</a:t>
                </a:r>
                <a:endParaRPr lang="es-ES_tradnl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0711761960088182"/>
          <c:y val="0.49592355643044628"/>
          <c:w val="0.1686728498375244"/>
          <c:h val="0.119048452276798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63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'TET L-H'!#REF!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'TET L-H'!#REF!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'TET L-H'!$B$6:$B$28</c:f>
              <c:numCache>
                <c:formatCode>0.00</c:formatCode>
                <c:ptCount val="23"/>
                <c:pt idx="0">
                  <c:v>252.8293937332904</c:v>
                </c:pt>
                <c:pt idx="1">
                  <c:v>226.75423093046544</c:v>
                </c:pt>
                <c:pt idx="2">
                  <c:v>222.8293937332904</c:v>
                </c:pt>
                <c:pt idx="3">
                  <c:v>211.75423093046544</c:v>
                </c:pt>
                <c:pt idx="4">
                  <c:v>207.8293937332904</c:v>
                </c:pt>
                <c:pt idx="5">
                  <c:v>192.8293937332904</c:v>
                </c:pt>
                <c:pt idx="6">
                  <c:v>177.8293937332904</c:v>
                </c:pt>
                <c:pt idx="7">
                  <c:v>162.8293937332904</c:v>
                </c:pt>
                <c:pt idx="8">
                  <c:v>153.61954357704332</c:v>
                </c:pt>
                <c:pt idx="9">
                  <c:v>147.8293937332904</c:v>
                </c:pt>
                <c:pt idx="10">
                  <c:v>138.61954357704332</c:v>
                </c:pt>
                <c:pt idx="11">
                  <c:v>132.8293937332904</c:v>
                </c:pt>
                <c:pt idx="12">
                  <c:v>123.61954357704332</c:v>
                </c:pt>
                <c:pt idx="13">
                  <c:v>108.61954357704332</c:v>
                </c:pt>
                <c:pt idx="14">
                  <c:v>93.619543577043316</c:v>
                </c:pt>
                <c:pt idx="15">
                  <c:v>78.619543577043316</c:v>
                </c:pt>
                <c:pt idx="16" formatCode="General">
                  <c:v>75</c:v>
                </c:pt>
                <c:pt idx="17">
                  <c:v>63.619543577043309</c:v>
                </c:pt>
                <c:pt idx="18" formatCode="General">
                  <c:v>60</c:v>
                </c:pt>
                <c:pt idx="19" formatCode="General">
                  <c:v>45</c:v>
                </c:pt>
                <c:pt idx="20" formatCode="General">
                  <c:v>30</c:v>
                </c:pt>
                <c:pt idx="21" formatCode="General">
                  <c:v>15</c:v>
                </c:pt>
                <c:pt idx="22" formatCode="General">
                  <c:v>0</c:v>
                </c:pt>
              </c:numCache>
            </c:numRef>
          </c:xVal>
          <c:yVal>
            <c:numRef>
              <c:f>'TET L-H'!$D$6:$D$28</c:f>
              <c:numCache>
                <c:formatCode>General</c:formatCode>
                <c:ptCount val="23"/>
                <c:pt idx="0">
                  <c:v>152.95223263283526</c:v>
                </c:pt>
                <c:pt idx="1">
                  <c:v>152.95223263283526</c:v>
                </c:pt>
                <c:pt idx="2">
                  <c:v>152.95223263283526</c:v>
                </c:pt>
                <c:pt idx="3">
                  <c:v>152.95223263283526</c:v>
                </c:pt>
                <c:pt idx="4">
                  <c:v>152.95223263283526</c:v>
                </c:pt>
                <c:pt idx="5">
                  <c:v>152.95223263283526</c:v>
                </c:pt>
                <c:pt idx="6">
                  <c:v>152.95223263283526</c:v>
                </c:pt>
                <c:pt idx="7">
                  <c:v>152.95223263283526</c:v>
                </c:pt>
                <c:pt idx="8">
                  <c:v>152.95223263283526</c:v>
                </c:pt>
                <c:pt idx="9">
                  <c:v>152.95223263283526</c:v>
                </c:pt>
                <c:pt idx="10">
                  <c:v>152.95223263283526</c:v>
                </c:pt>
                <c:pt idx="11">
                  <c:v>152.95223263283526</c:v>
                </c:pt>
                <c:pt idx="12">
                  <c:v>152.95223263283526</c:v>
                </c:pt>
                <c:pt idx="13">
                  <c:v>152.95223263283526</c:v>
                </c:pt>
                <c:pt idx="14">
                  <c:v>152.95223263283526</c:v>
                </c:pt>
                <c:pt idx="15">
                  <c:v>152.95223263283526</c:v>
                </c:pt>
                <c:pt idx="16">
                  <c:v>152.95223263283526</c:v>
                </c:pt>
                <c:pt idx="17">
                  <c:v>152.95223263283526</c:v>
                </c:pt>
                <c:pt idx="18">
                  <c:v>152.95223263283526</c:v>
                </c:pt>
                <c:pt idx="19">
                  <c:v>152.95223263283526</c:v>
                </c:pt>
                <c:pt idx="20">
                  <c:v>152.95223263283526</c:v>
                </c:pt>
                <c:pt idx="21">
                  <c:v>152.95223263283526</c:v>
                </c:pt>
                <c:pt idx="22">
                  <c:v>709.77064736751697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60-42EF-A685-E4CEF3DC8309}"/>
            </c:ext>
          </c:extLst>
        </c:ser>
        <c:ser>
          <c:idx val="4"/>
          <c:order val="1"/>
          <c:spPr>
            <a:ln w="952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y"/>
            <c:errBarType val="both"/>
            <c:errValType val="fixedVal"/>
            <c:noEndCap val="0"/>
            <c:val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Ref>
              <c:f>'TET L-H'!$B$6:$B$28</c:f>
              <c:numCache>
                <c:formatCode>0.00</c:formatCode>
                <c:ptCount val="23"/>
                <c:pt idx="0">
                  <c:v>252.8293937332904</c:v>
                </c:pt>
                <c:pt idx="1">
                  <c:v>226.75423093046544</c:v>
                </c:pt>
                <c:pt idx="2">
                  <c:v>222.8293937332904</c:v>
                </c:pt>
                <c:pt idx="3">
                  <c:v>211.75423093046544</c:v>
                </c:pt>
                <c:pt idx="4">
                  <c:v>207.8293937332904</c:v>
                </c:pt>
                <c:pt idx="5">
                  <c:v>192.8293937332904</c:v>
                </c:pt>
                <c:pt idx="6">
                  <c:v>177.8293937332904</c:v>
                </c:pt>
                <c:pt idx="7">
                  <c:v>162.8293937332904</c:v>
                </c:pt>
                <c:pt idx="8">
                  <c:v>153.61954357704332</c:v>
                </c:pt>
                <c:pt idx="9">
                  <c:v>147.8293937332904</c:v>
                </c:pt>
                <c:pt idx="10">
                  <c:v>138.61954357704332</c:v>
                </c:pt>
                <c:pt idx="11">
                  <c:v>132.8293937332904</c:v>
                </c:pt>
                <c:pt idx="12">
                  <c:v>123.61954357704332</c:v>
                </c:pt>
                <c:pt idx="13">
                  <c:v>108.61954357704332</c:v>
                </c:pt>
                <c:pt idx="14">
                  <c:v>93.619543577043316</c:v>
                </c:pt>
                <c:pt idx="15">
                  <c:v>78.619543577043316</c:v>
                </c:pt>
                <c:pt idx="16" formatCode="General">
                  <c:v>75</c:v>
                </c:pt>
                <c:pt idx="17">
                  <c:v>63.619543577043309</c:v>
                </c:pt>
                <c:pt idx="18" formatCode="General">
                  <c:v>60</c:v>
                </c:pt>
                <c:pt idx="19" formatCode="General">
                  <c:v>45</c:v>
                </c:pt>
                <c:pt idx="20" formatCode="General">
                  <c:v>30</c:v>
                </c:pt>
                <c:pt idx="21" formatCode="General">
                  <c:v>15</c:v>
                </c:pt>
                <c:pt idx="22" formatCode="General">
                  <c:v>0</c:v>
                </c:pt>
              </c:numCache>
            </c:numRef>
          </c:xVal>
          <c:yVal>
            <c:numRef>
              <c:f>'TET L-H'!$E$6:$E$28</c:f>
              <c:numCache>
                <c:formatCode>General</c:formatCode>
                <c:ptCount val="23"/>
                <c:pt idx="0">
                  <c:v>956.04235003623432</c:v>
                </c:pt>
                <c:pt idx="1">
                  <c:v>857.44242241117456</c:v>
                </c:pt>
                <c:pt idx="2">
                  <c:v>842.60114734386514</c:v>
                </c:pt>
                <c:pt idx="3">
                  <c:v>800.72182106498997</c:v>
                </c:pt>
                <c:pt idx="4">
                  <c:v>785.88054599768043</c:v>
                </c:pt>
                <c:pt idx="5">
                  <c:v>729.15994465149583</c:v>
                </c:pt>
                <c:pt idx="6">
                  <c:v>672.43934330531124</c:v>
                </c:pt>
                <c:pt idx="7">
                  <c:v>615.71874195912653</c:v>
                </c:pt>
                <c:pt idx="8">
                  <c:v>580.8928593477541</c:v>
                </c:pt>
                <c:pt idx="9">
                  <c:v>558.99814061294194</c:v>
                </c:pt>
                <c:pt idx="10">
                  <c:v>524.1722580015695</c:v>
                </c:pt>
                <c:pt idx="11">
                  <c:v>502.27753926675734</c:v>
                </c:pt>
                <c:pt idx="12">
                  <c:v>467.45165665538485</c:v>
                </c:pt>
                <c:pt idx="13">
                  <c:v>410.7310553092002</c:v>
                </c:pt>
                <c:pt idx="14">
                  <c:v>354.01045396301561</c:v>
                </c:pt>
                <c:pt idx="15">
                  <c:v>297.28985261683096</c:v>
                </c:pt>
                <c:pt idx="16">
                  <c:v>283.60300673092314</c:v>
                </c:pt>
                <c:pt idx="17">
                  <c:v>240.5692512706463</c:v>
                </c:pt>
                <c:pt idx="18">
                  <c:v>226.88240538473852</c:v>
                </c:pt>
                <c:pt idx="19">
                  <c:v>170.1618040385539</c:v>
                </c:pt>
                <c:pt idx="20">
                  <c:v>113.44120269236926</c:v>
                </c:pt>
                <c:pt idx="21">
                  <c:v>56.72060134618463</c:v>
                </c:pt>
                <c:pt idx="2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860-42EF-A685-E4CEF3DC8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35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50"/>
      </c:valAx>
      <c:valAx>
        <c:axId val="1320359279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 sz="1200"/>
                  <a:t>-ln(C</a:t>
                </a:r>
                <a:r>
                  <a:rPr lang="es-ES_tradnl" sz="1200" baseline="-25000"/>
                  <a:t>t</a:t>
                </a:r>
                <a:r>
                  <a:rPr lang="es-ES_tradnl" sz="1200" baseline="0"/>
                  <a:t>/C</a:t>
                </a:r>
                <a:r>
                  <a:rPr lang="es-ES_tradnl" sz="1200" baseline="-25000"/>
                  <a:t>0</a:t>
                </a:r>
                <a:r>
                  <a:rPr lang="es-ES_tradnl" sz="1200" baseline="0"/>
                  <a:t>)-k</a:t>
                </a:r>
                <a:r>
                  <a:rPr lang="es-ES_tradnl" sz="1200" baseline="-25000"/>
                  <a:t>2</a:t>
                </a:r>
                <a:r>
                  <a:rPr lang="es-ES_tradnl" sz="1200" baseline="0"/>
                  <a:t>·(</a:t>
                </a:r>
                <a:r>
                  <a:rPr lang="es-ES_tradnl" sz="1200" b="0" i="0" u="none" strike="noStrike" baseline="0">
                    <a:effectLst/>
                  </a:rPr>
                  <a:t>C</a:t>
                </a:r>
                <a:r>
                  <a:rPr lang="es-ES_tradnl" sz="1200" b="0" i="0" u="none" strike="noStrike" baseline="-25000">
                    <a:effectLst/>
                  </a:rPr>
                  <a:t>t</a:t>
                </a:r>
                <a:r>
                  <a:rPr lang="es-ES_tradnl" sz="1200" b="0" i="0" u="none" strike="noStrike" baseline="0">
                    <a:effectLst/>
                  </a:rPr>
                  <a:t>-C</a:t>
                </a:r>
                <a:r>
                  <a:rPr lang="es-ES_tradnl" sz="1200" b="0" i="0" u="none" strike="noStrike" baseline="-25000">
                    <a:effectLst/>
                  </a:rPr>
                  <a:t>0</a:t>
                </a:r>
                <a:r>
                  <a:rPr lang="es-ES_tradnl" sz="1200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0711761960088182"/>
          <c:y val="0.49592355643044628"/>
          <c:w val="0.1686728498375244"/>
          <c:h val="0.119048452276798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1"/>
          <c:order val="0"/>
          <c:tx>
            <c:v>TET</c:v>
          </c:tx>
          <c:spPr>
            <a:ln w="19050">
              <a:noFill/>
            </a:ln>
          </c:spPr>
          <c:marker>
            <c:symbol val="star"/>
            <c:size val="3"/>
            <c:spPr>
              <a:noFill/>
              <a:ln>
                <a:solidFill>
                  <a:schemeClr val="accent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'TET L-H'!#REF!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'TET L-H'!#REF!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</c:errBars>
          <c:xVal>
            <c:numRef>
              <c:f>'TET L-H'!#REF!</c:f>
            </c:numRef>
          </c:xVal>
          <c:yVal>
            <c:numRef>
              <c:f>'TET L-H'!#REF!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9818-D944-8545-35B331C61B65}"/>
            </c:ext>
          </c:extLst>
        </c:ser>
        <c:ser>
          <c:idx val="2"/>
          <c:order val="1"/>
          <c:tx>
            <c:v>TET</c:v>
          </c:tx>
          <c:spPr>
            <a:ln w="19050">
              <a:noFill/>
            </a:ln>
          </c:spPr>
          <c:marker>
            <c:symbol val="none"/>
          </c:marker>
          <c:xVal>
            <c:numRef>
              <c:f>'TET L-H'!#REF!</c:f>
            </c:numRef>
          </c:xVal>
          <c:yVal>
            <c:numRef>
              <c:f>'TET L-H'!#REF!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9818-D944-8545-35B331C61B65}"/>
            </c:ext>
          </c:extLst>
        </c:ser>
        <c:ser>
          <c:idx val="3"/>
          <c:order val="2"/>
          <c:tx>
            <c:v>CIP</c:v>
          </c:tx>
          <c:spPr>
            <a:ln w="19050">
              <a:noFill/>
            </a:ln>
          </c:spPr>
          <c:marker>
            <c:symbol val="circle"/>
            <c:size val="3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'CIP L-H'!$J$45:$J$65</c:f>
                <c:numCache>
                  <c:formatCode>General</c:formatCode>
                  <c:ptCount val="21"/>
                  <c:pt idx="0">
                    <c:v>0.16997664437887106</c:v>
                  </c:pt>
                  <c:pt idx="1">
                    <c:v>0.53214958594102291</c:v>
                  </c:pt>
                  <c:pt idx="2">
                    <c:v>0.53206979213805861</c:v>
                  </c:pt>
                  <c:pt idx="3">
                    <c:v>0.44096237485118189</c:v>
                  </c:pt>
                  <c:pt idx="4">
                    <c:v>0.34226464816741403</c:v>
                  </c:pt>
                  <c:pt idx="5">
                    <c:v>0.28192283685532787</c:v>
                  </c:pt>
                  <c:pt idx="6">
                    <c:v>1.5772532469412468</c:v>
                  </c:pt>
                  <c:pt idx="7">
                    <c:v>3.164960636782332</c:v>
                  </c:pt>
                  <c:pt idx="8">
                    <c:v>6.8317390454372759</c:v>
                  </c:pt>
                  <c:pt idx="9">
                    <c:v>2.0744934552790406</c:v>
                  </c:pt>
                  <c:pt idx="10">
                    <c:v>1.8357080246533495</c:v>
                  </c:pt>
                  <c:pt idx="11">
                    <c:v>2.0155289878576639</c:v>
                  </c:pt>
                  <c:pt idx="12">
                    <c:v>6.0145193988604424</c:v>
                  </c:pt>
                  <c:pt idx="13">
                    <c:v>11.568673415942838</c:v>
                  </c:pt>
                  <c:pt idx="14">
                    <c:v>14.661619140479852</c:v>
                  </c:pt>
                  <c:pt idx="15">
                    <c:v>30.486694848667547</c:v>
                  </c:pt>
                  <c:pt idx="16">
                    <c:v>2.7232726444063822</c:v>
                  </c:pt>
                  <c:pt idx="17">
                    <c:v>47.102249888623085</c:v>
                  </c:pt>
                  <c:pt idx="18">
                    <c:v>11.398785660449558</c:v>
                  </c:pt>
                  <c:pt idx="19">
                    <c:v>29.247859232680256</c:v>
                  </c:pt>
                  <c:pt idx="20">
                    <c:v>3.2287900255861923</c:v>
                  </c:pt>
                </c:numCache>
              </c:numRef>
            </c:plus>
            <c:minus>
              <c:numRef>
                <c:f>'CIP L-H'!$J$45:$J$65</c:f>
                <c:numCache>
                  <c:formatCode>General</c:formatCode>
                  <c:ptCount val="21"/>
                  <c:pt idx="0">
                    <c:v>0.16997664437887106</c:v>
                  </c:pt>
                  <c:pt idx="1">
                    <c:v>0.53214958594102291</c:v>
                  </c:pt>
                  <c:pt idx="2">
                    <c:v>0.53206979213805861</c:v>
                  </c:pt>
                  <c:pt idx="3">
                    <c:v>0.44096237485118189</c:v>
                  </c:pt>
                  <c:pt idx="4">
                    <c:v>0.34226464816741403</c:v>
                  </c:pt>
                  <c:pt idx="5">
                    <c:v>0.28192283685532787</c:v>
                  </c:pt>
                  <c:pt idx="6">
                    <c:v>1.5772532469412468</c:v>
                  </c:pt>
                  <c:pt idx="7">
                    <c:v>3.164960636782332</c:v>
                  </c:pt>
                  <c:pt idx="8">
                    <c:v>6.8317390454372759</c:v>
                  </c:pt>
                  <c:pt idx="9">
                    <c:v>2.0744934552790406</c:v>
                  </c:pt>
                  <c:pt idx="10">
                    <c:v>1.8357080246533495</c:v>
                  </c:pt>
                  <c:pt idx="11">
                    <c:v>2.0155289878576639</c:v>
                  </c:pt>
                  <c:pt idx="12">
                    <c:v>6.0145193988604424</c:v>
                  </c:pt>
                  <c:pt idx="13">
                    <c:v>11.568673415942838</c:v>
                  </c:pt>
                  <c:pt idx="14">
                    <c:v>14.661619140479852</c:v>
                  </c:pt>
                  <c:pt idx="15">
                    <c:v>30.486694848667547</c:v>
                  </c:pt>
                  <c:pt idx="16">
                    <c:v>2.7232726444063822</c:v>
                  </c:pt>
                  <c:pt idx="17">
                    <c:v>47.102249888623085</c:v>
                  </c:pt>
                  <c:pt idx="18">
                    <c:v>11.398785660449558</c:v>
                  </c:pt>
                  <c:pt idx="19">
                    <c:v>29.247859232680256</c:v>
                  </c:pt>
                  <c:pt idx="20">
                    <c:v>3.2287900255861923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'CIP L-H'!$B$45:$B$65</c:f>
              <c:numCache>
                <c:formatCode>0.00</c:formatCode>
                <c:ptCount val="21"/>
                <c:pt idx="0">
                  <c:v>212.01709744260734</c:v>
                </c:pt>
                <c:pt idx="1">
                  <c:v>197.01709744260734</c:v>
                </c:pt>
                <c:pt idx="2">
                  <c:v>182.01709744260734</c:v>
                </c:pt>
                <c:pt idx="3">
                  <c:v>176.34294846431743</c:v>
                </c:pt>
                <c:pt idx="4">
                  <c:v>161.34294846431743</c:v>
                </c:pt>
                <c:pt idx="5">
                  <c:v>146.34294846431743</c:v>
                </c:pt>
                <c:pt idx="6">
                  <c:v>136.5680796253873</c:v>
                </c:pt>
                <c:pt idx="7">
                  <c:v>131.34294846431743</c:v>
                </c:pt>
                <c:pt idx="8">
                  <c:v>121.5680796253873</c:v>
                </c:pt>
                <c:pt idx="9">
                  <c:v>116.34294846431743</c:v>
                </c:pt>
                <c:pt idx="10">
                  <c:v>106.5680796253873</c:v>
                </c:pt>
                <c:pt idx="11">
                  <c:v>91.568079625387298</c:v>
                </c:pt>
                <c:pt idx="12" formatCode="General">
                  <c:v>90</c:v>
                </c:pt>
                <c:pt idx="13">
                  <c:v>76.568079625387298</c:v>
                </c:pt>
                <c:pt idx="14" formatCode="General">
                  <c:v>75</c:v>
                </c:pt>
                <c:pt idx="15">
                  <c:v>61.568079625387305</c:v>
                </c:pt>
                <c:pt idx="16" formatCode="General">
                  <c:v>60</c:v>
                </c:pt>
                <c:pt idx="17" formatCode="General">
                  <c:v>45</c:v>
                </c:pt>
                <c:pt idx="18" formatCode="General">
                  <c:v>30</c:v>
                </c:pt>
                <c:pt idx="19" formatCode="General">
                  <c:v>15</c:v>
                </c:pt>
                <c:pt idx="20" formatCode="General">
                  <c:v>0</c:v>
                </c:pt>
              </c:numCache>
            </c:numRef>
          </c:xVal>
          <c:yVal>
            <c:numRef>
              <c:f>'CIP L-H'!$C$45:$C$65</c:f>
              <c:numCache>
                <c:formatCode>General</c:formatCode>
                <c:ptCount val="21"/>
                <c:pt idx="0">
                  <c:v>0.75472884881890401</c:v>
                </c:pt>
                <c:pt idx="1">
                  <c:v>1.9575607808517868</c:v>
                </c:pt>
                <c:pt idx="2">
                  <c:v>8.111970672769786</c:v>
                </c:pt>
                <c:pt idx="3">
                  <c:v>9.0880253268987179</c:v>
                </c:pt>
                <c:pt idx="4">
                  <c:v>11.668292406235523</c:v>
                </c:pt>
                <c:pt idx="5">
                  <c:v>19.425798717946961</c:v>
                </c:pt>
                <c:pt idx="6">
                  <c:v>51.340128944239559</c:v>
                </c:pt>
                <c:pt idx="7">
                  <c:v>41.64168292487026</c:v>
                </c:pt>
                <c:pt idx="8">
                  <c:v>64.941639364127639</c:v>
                </c:pt>
                <c:pt idx="9">
                  <c:v>71.548246027253882</c:v>
                </c:pt>
                <c:pt idx="10">
                  <c:v>83.907498189880599</c:v>
                </c:pt>
                <c:pt idx="11">
                  <c:v>78.249632707027246</c:v>
                </c:pt>
                <c:pt idx="12">
                  <c:v>152.74356302582922</c:v>
                </c:pt>
                <c:pt idx="13">
                  <c:v>118.96939930410527</c:v>
                </c:pt>
                <c:pt idx="14">
                  <c:v>173.13248116312425</c:v>
                </c:pt>
                <c:pt idx="15">
                  <c:v>299.2280364046303</c:v>
                </c:pt>
                <c:pt idx="16">
                  <c:v>313.94878113148451</c:v>
                </c:pt>
                <c:pt idx="17">
                  <c:v>378.48269154692088</c:v>
                </c:pt>
                <c:pt idx="18">
                  <c:v>401.56189630033884</c:v>
                </c:pt>
                <c:pt idx="19">
                  <c:v>562.21702355995183</c:v>
                </c:pt>
                <c:pt idx="20">
                  <c:v>771.15405196081042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9818-D944-8545-35B331C61B65}"/>
            </c:ext>
          </c:extLst>
        </c:ser>
        <c:ser>
          <c:idx val="5"/>
          <c:order val="3"/>
          <c:tx>
            <c:v>CIP</c:v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'CIP L-H'!$B$45:$B$65</c:f>
              <c:numCache>
                <c:formatCode>0.00</c:formatCode>
                <c:ptCount val="21"/>
                <c:pt idx="0">
                  <c:v>212.01709744260734</c:v>
                </c:pt>
                <c:pt idx="1">
                  <c:v>197.01709744260734</c:v>
                </c:pt>
                <c:pt idx="2">
                  <c:v>182.01709744260734</c:v>
                </c:pt>
                <c:pt idx="3">
                  <c:v>176.34294846431743</c:v>
                </c:pt>
                <c:pt idx="4">
                  <c:v>161.34294846431743</c:v>
                </c:pt>
                <c:pt idx="5">
                  <c:v>146.34294846431743</c:v>
                </c:pt>
                <c:pt idx="6">
                  <c:v>136.5680796253873</c:v>
                </c:pt>
                <c:pt idx="7">
                  <c:v>131.34294846431743</c:v>
                </c:pt>
                <c:pt idx="8">
                  <c:v>121.5680796253873</c:v>
                </c:pt>
                <c:pt idx="9">
                  <c:v>116.34294846431743</c:v>
                </c:pt>
                <c:pt idx="10">
                  <c:v>106.5680796253873</c:v>
                </c:pt>
                <c:pt idx="11">
                  <c:v>91.568079625387298</c:v>
                </c:pt>
                <c:pt idx="12" formatCode="General">
                  <c:v>90</c:v>
                </c:pt>
                <c:pt idx="13">
                  <c:v>76.568079625387298</c:v>
                </c:pt>
                <c:pt idx="14" formatCode="General">
                  <c:v>75</c:v>
                </c:pt>
                <c:pt idx="15">
                  <c:v>61.568079625387305</c:v>
                </c:pt>
                <c:pt idx="16" formatCode="General">
                  <c:v>60</c:v>
                </c:pt>
                <c:pt idx="17" formatCode="General">
                  <c:v>45</c:v>
                </c:pt>
                <c:pt idx="18" formatCode="General">
                  <c:v>30</c:v>
                </c:pt>
                <c:pt idx="19" formatCode="General">
                  <c:v>15</c:v>
                </c:pt>
                <c:pt idx="20" formatCode="General">
                  <c:v>0</c:v>
                </c:pt>
              </c:numCache>
            </c:numRef>
          </c:xVal>
          <c:yVal>
            <c:numRef>
              <c:f>'CIP L-H'!$H$45:$H$65</c:f>
              <c:numCache>
                <c:formatCode>0.000000000</c:formatCode>
                <c:ptCount val="21"/>
                <c:pt idx="0">
                  <c:v>1.7209963834031632</c:v>
                </c:pt>
                <c:pt idx="1">
                  <c:v>3.0299676746583573</c:v>
                </c:pt>
                <c:pt idx="2">
                  <c:v>5.3213577891714428</c:v>
                </c:pt>
                <c:pt idx="3">
                  <c:v>6.5783385830574765</c:v>
                </c:pt>
                <c:pt idx="4">
                  <c:v>11.477568392918103</c:v>
                </c:pt>
                <c:pt idx="5">
                  <c:v>19.851138882822529</c:v>
                </c:pt>
                <c:pt idx="6">
                  <c:v>28.165310045037543</c:v>
                </c:pt>
                <c:pt idx="7">
                  <c:v>33.850909641219744</c:v>
                </c:pt>
                <c:pt idx="8">
                  <c:v>47.399834099117015</c:v>
                </c:pt>
                <c:pt idx="9">
                  <c:v>56.483141938372079</c:v>
                </c:pt>
                <c:pt idx="10">
                  <c:v>77.598612825971657</c:v>
                </c:pt>
                <c:pt idx="11">
                  <c:v>122.44024627441561</c:v>
                </c:pt>
                <c:pt idx="12">
                  <c:v>128.10407794600079</c:v>
                </c:pt>
                <c:pt idx="13" formatCode="0.0000000">
                  <c:v>184.84125824752627</c:v>
                </c:pt>
                <c:pt idx="14" formatCode="0.0000000">
                  <c:v>192.44811189760239</c:v>
                </c:pt>
                <c:pt idx="15" formatCode="0.0000000">
                  <c:v>266.10527638629003</c:v>
                </c:pt>
                <c:pt idx="16" formatCode="0.0000000">
                  <c:v>275.68441718213563</c:v>
                </c:pt>
                <c:pt idx="17" formatCode="0.0000000">
                  <c:v>377.1808005386041</c:v>
                </c:pt>
                <c:pt idx="18" formatCode="0.0000000">
                  <c:v>495.12109037464165</c:v>
                </c:pt>
                <c:pt idx="19" formatCode="0.0000000">
                  <c:v>627.20619059169906</c:v>
                </c:pt>
                <c:pt idx="20" formatCode="0.0000000">
                  <c:v>771.15423525217193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9818-D944-8545-35B331C61B65}"/>
            </c:ext>
          </c:extLst>
        </c:ser>
        <c:ser>
          <c:idx val="6"/>
          <c:order val="4"/>
          <c:tx>
            <c:v>SDZ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3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'SDZ L-H'!$J$56:$J$86</c:f>
                <c:numCache>
                  <c:formatCode>General</c:formatCode>
                  <c:ptCount val="31"/>
                  <c:pt idx="0">
                    <c:v>0.49515261504392277</c:v>
                  </c:pt>
                  <c:pt idx="1">
                    <c:v>0.29586270860756392</c:v>
                  </c:pt>
                  <c:pt idx="2">
                    <c:v>0.69693508640112944</c:v>
                  </c:pt>
                  <c:pt idx="3">
                    <c:v>0.19490731311353432</c:v>
                  </c:pt>
                  <c:pt idx="4">
                    <c:v>0.97778980253591097</c:v>
                  </c:pt>
                  <c:pt idx="5">
                    <c:v>1.0968014216642714</c:v>
                  </c:pt>
                  <c:pt idx="6">
                    <c:v>0.32362488187592819</c:v>
                  </c:pt>
                  <c:pt idx="7">
                    <c:v>0.57255442463571571</c:v>
                  </c:pt>
                  <c:pt idx="8">
                    <c:v>3.0889720181716491</c:v>
                  </c:pt>
                  <c:pt idx="9">
                    <c:v>2.1061757119484628</c:v>
                  </c:pt>
                  <c:pt idx="10">
                    <c:v>0.83058590029279322</c:v>
                  </c:pt>
                  <c:pt idx="11">
                    <c:v>0.11437801840081986</c:v>
                  </c:pt>
                  <c:pt idx="12">
                    <c:v>0.79836581863194445</c:v>
                  </c:pt>
                  <c:pt idx="13">
                    <c:v>2.7440194311945323</c:v>
                  </c:pt>
                  <c:pt idx="14">
                    <c:v>2.2335217115505936</c:v>
                  </c:pt>
                  <c:pt idx="15">
                    <c:v>0.36039573585925888</c:v>
                  </c:pt>
                  <c:pt idx="16">
                    <c:v>2.6808965583140743</c:v>
                  </c:pt>
                  <c:pt idx="17">
                    <c:v>4.2583151844253937</c:v>
                  </c:pt>
                  <c:pt idx="18">
                    <c:v>27.332910371572417</c:v>
                  </c:pt>
                  <c:pt idx="19">
                    <c:v>19.375292518346839</c:v>
                  </c:pt>
                  <c:pt idx="20">
                    <c:v>49.064109011568092</c:v>
                  </c:pt>
                  <c:pt idx="21">
                    <c:v>20.708701934573696</c:v>
                  </c:pt>
                  <c:pt idx="22">
                    <c:v>31.299915163226608</c:v>
                  </c:pt>
                  <c:pt idx="23">
                    <c:v>25.094839716728373</c:v>
                  </c:pt>
                  <c:pt idx="24">
                    <c:v>1.9494268129969441</c:v>
                  </c:pt>
                  <c:pt idx="25">
                    <c:v>3.0578188979253063</c:v>
                  </c:pt>
                  <c:pt idx="26">
                    <c:v>12.160835826540668</c:v>
                  </c:pt>
                  <c:pt idx="27">
                    <c:v>28.595494492637037</c:v>
                  </c:pt>
                  <c:pt idx="28">
                    <c:v>30.277633385497289</c:v>
                  </c:pt>
                  <c:pt idx="29">
                    <c:v>32.108158963437894</c:v>
                  </c:pt>
                  <c:pt idx="30">
                    <c:v>19.305633740925622</c:v>
                  </c:pt>
                </c:numCache>
              </c:numRef>
            </c:plus>
            <c:minus>
              <c:numRef>
                <c:f>'SDZ L-H'!$J$56:$J$86</c:f>
                <c:numCache>
                  <c:formatCode>General</c:formatCode>
                  <c:ptCount val="31"/>
                  <c:pt idx="0">
                    <c:v>0.49515261504392277</c:v>
                  </c:pt>
                  <c:pt idx="1">
                    <c:v>0.29586270860756392</c:v>
                  </c:pt>
                  <c:pt idx="2">
                    <c:v>0.69693508640112944</c:v>
                  </c:pt>
                  <c:pt idx="3">
                    <c:v>0.19490731311353432</c:v>
                  </c:pt>
                  <c:pt idx="4">
                    <c:v>0.97778980253591097</c:v>
                  </c:pt>
                  <c:pt idx="5">
                    <c:v>1.0968014216642714</c:v>
                  </c:pt>
                  <c:pt idx="6">
                    <c:v>0.32362488187592819</c:v>
                  </c:pt>
                  <c:pt idx="7">
                    <c:v>0.57255442463571571</c:v>
                  </c:pt>
                  <c:pt idx="8">
                    <c:v>3.0889720181716491</c:v>
                  </c:pt>
                  <c:pt idx="9">
                    <c:v>2.1061757119484628</c:v>
                  </c:pt>
                  <c:pt idx="10">
                    <c:v>0.83058590029279322</c:v>
                  </c:pt>
                  <c:pt idx="11">
                    <c:v>0.11437801840081986</c:v>
                  </c:pt>
                  <c:pt idx="12">
                    <c:v>0.79836581863194445</c:v>
                  </c:pt>
                  <c:pt idx="13">
                    <c:v>2.7440194311945323</c:v>
                  </c:pt>
                  <c:pt idx="14">
                    <c:v>2.2335217115505936</c:v>
                  </c:pt>
                  <c:pt idx="15">
                    <c:v>0.36039573585925888</c:v>
                  </c:pt>
                  <c:pt idx="16">
                    <c:v>2.6808965583140743</c:v>
                  </c:pt>
                  <c:pt idx="17">
                    <c:v>4.2583151844253937</c:v>
                  </c:pt>
                  <c:pt idx="18">
                    <c:v>27.332910371572417</c:v>
                  </c:pt>
                  <c:pt idx="19">
                    <c:v>19.375292518346839</c:v>
                  </c:pt>
                  <c:pt idx="20">
                    <c:v>49.064109011568092</c:v>
                  </c:pt>
                  <c:pt idx="21">
                    <c:v>20.708701934573696</c:v>
                  </c:pt>
                  <c:pt idx="22">
                    <c:v>31.299915163226608</c:v>
                  </c:pt>
                  <c:pt idx="23">
                    <c:v>25.094839716728373</c:v>
                  </c:pt>
                  <c:pt idx="24">
                    <c:v>1.9494268129969441</c:v>
                  </c:pt>
                  <c:pt idx="25">
                    <c:v>3.0578188979253063</c:v>
                  </c:pt>
                  <c:pt idx="26">
                    <c:v>12.160835826540668</c:v>
                  </c:pt>
                  <c:pt idx="27">
                    <c:v>28.595494492637037</c:v>
                  </c:pt>
                  <c:pt idx="28">
                    <c:v>30.277633385497289</c:v>
                  </c:pt>
                  <c:pt idx="29">
                    <c:v>32.108158963437894</c:v>
                  </c:pt>
                  <c:pt idx="30">
                    <c:v>19.305633740925622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'SDZ L-H'!$B$56:$B$86</c:f>
              <c:numCache>
                <c:formatCode>0.00</c:formatCode>
                <c:ptCount val="31"/>
                <c:pt idx="0">
                  <c:v>428.82267040157706</c:v>
                </c:pt>
                <c:pt idx="1">
                  <c:v>413.82267040157706</c:v>
                </c:pt>
                <c:pt idx="2">
                  <c:v>398.82267040157706</c:v>
                </c:pt>
                <c:pt idx="3">
                  <c:v>383.82267040157706</c:v>
                </c:pt>
                <c:pt idx="4">
                  <c:v>368.82267040157706</c:v>
                </c:pt>
                <c:pt idx="5">
                  <c:v>353.82267040157706</c:v>
                </c:pt>
                <c:pt idx="6">
                  <c:v>348.64621397751932</c:v>
                </c:pt>
                <c:pt idx="7">
                  <c:v>338.82267040157706</c:v>
                </c:pt>
                <c:pt idx="8">
                  <c:v>318.64621397751932</c:v>
                </c:pt>
                <c:pt idx="9">
                  <c:v>288.64621397751932</c:v>
                </c:pt>
                <c:pt idx="10">
                  <c:v>273.64621397751932</c:v>
                </c:pt>
                <c:pt idx="11">
                  <c:v>258.64621397751932</c:v>
                </c:pt>
                <c:pt idx="12">
                  <c:v>243.64621397751935</c:v>
                </c:pt>
                <c:pt idx="13">
                  <c:v>228.64621397751935</c:v>
                </c:pt>
                <c:pt idx="14">
                  <c:v>213.64621397751935</c:v>
                </c:pt>
                <c:pt idx="15">
                  <c:v>198.64621397751935</c:v>
                </c:pt>
                <c:pt idx="16">
                  <c:v>186.30991099002722</c:v>
                </c:pt>
                <c:pt idx="17">
                  <c:v>171.30991099002722</c:v>
                </c:pt>
                <c:pt idx="18">
                  <c:v>156.30991099002722</c:v>
                </c:pt>
                <c:pt idx="19">
                  <c:v>141.30991099002722</c:v>
                </c:pt>
                <c:pt idx="20">
                  <c:v>126.30991099002721</c:v>
                </c:pt>
                <c:pt idx="21" formatCode="General">
                  <c:v>120</c:v>
                </c:pt>
                <c:pt idx="22">
                  <c:v>111.30991099002721</c:v>
                </c:pt>
                <c:pt idx="23">
                  <c:v>96.309910990027205</c:v>
                </c:pt>
                <c:pt idx="24" formatCode="General">
                  <c:v>90</c:v>
                </c:pt>
                <c:pt idx="25" formatCode="General">
                  <c:v>75</c:v>
                </c:pt>
                <c:pt idx="26" formatCode="General">
                  <c:v>60</c:v>
                </c:pt>
                <c:pt idx="27" formatCode="General">
                  <c:v>45</c:v>
                </c:pt>
                <c:pt idx="28" formatCode="General">
                  <c:v>30</c:v>
                </c:pt>
                <c:pt idx="29" formatCode="General">
                  <c:v>15</c:v>
                </c:pt>
                <c:pt idx="30" formatCode="General">
                  <c:v>0</c:v>
                </c:pt>
              </c:numCache>
            </c:numRef>
          </c:xVal>
          <c:yVal>
            <c:numRef>
              <c:f>'SDZ L-H'!$C$56:$C$86</c:f>
              <c:numCache>
                <c:formatCode>General</c:formatCode>
                <c:ptCount val="31"/>
                <c:pt idx="0">
                  <c:v>3.6553937013712758</c:v>
                </c:pt>
                <c:pt idx="1">
                  <c:v>4.9938046912303244</c:v>
                </c:pt>
                <c:pt idx="2">
                  <c:v>6.0856774222453005</c:v>
                </c:pt>
                <c:pt idx="3">
                  <c:v>10.400450128517434</c:v>
                </c:pt>
                <c:pt idx="4">
                  <c:v>12.664621971607227</c:v>
                </c:pt>
                <c:pt idx="5">
                  <c:v>13.612508938155267</c:v>
                </c:pt>
                <c:pt idx="6">
                  <c:v>16.673959440263229</c:v>
                </c:pt>
                <c:pt idx="7">
                  <c:v>18.273396483282102</c:v>
                </c:pt>
                <c:pt idx="8">
                  <c:v>21.558460732452357</c:v>
                </c:pt>
                <c:pt idx="9">
                  <c:v>23.302614519353597</c:v>
                </c:pt>
                <c:pt idx="10">
                  <c:v>22.898399671000934</c:v>
                </c:pt>
                <c:pt idx="11">
                  <c:v>32.718271820536387</c:v>
                </c:pt>
                <c:pt idx="12">
                  <c:v>36.867525667390119</c:v>
                </c:pt>
                <c:pt idx="13">
                  <c:v>45.604097653113385</c:v>
                </c:pt>
                <c:pt idx="14">
                  <c:v>58.110053213563376</c:v>
                </c:pt>
                <c:pt idx="15">
                  <c:v>83.767981287684378</c:v>
                </c:pt>
                <c:pt idx="16">
                  <c:v>111.07909683243119</c:v>
                </c:pt>
                <c:pt idx="17">
                  <c:v>144.28732247236289</c:v>
                </c:pt>
                <c:pt idx="18">
                  <c:v>195.60044259441531</c:v>
                </c:pt>
                <c:pt idx="19">
                  <c:v>247.09486645000746</c:v>
                </c:pt>
                <c:pt idx="20">
                  <c:v>345.86104659781341</c:v>
                </c:pt>
                <c:pt idx="21">
                  <c:v>429.60693723969911</c:v>
                </c:pt>
                <c:pt idx="22">
                  <c:v>412.80211315067385</c:v>
                </c:pt>
                <c:pt idx="23">
                  <c:v>462.30232032799887</c:v>
                </c:pt>
                <c:pt idx="24">
                  <c:v>471.0108126002383</c:v>
                </c:pt>
                <c:pt idx="25">
                  <c:v>515.71467795395893</c:v>
                </c:pt>
                <c:pt idx="26">
                  <c:v>623.44138934169234</c:v>
                </c:pt>
                <c:pt idx="27">
                  <c:v>680.89039784089664</c:v>
                </c:pt>
                <c:pt idx="28">
                  <c:v>728.61720963612936</c:v>
                </c:pt>
                <c:pt idx="29">
                  <c:v>858.2258595458411</c:v>
                </c:pt>
                <c:pt idx="30">
                  <c:v>926.54118111360003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9818-D944-8545-35B331C61B65}"/>
            </c:ext>
          </c:extLst>
        </c:ser>
        <c:ser>
          <c:idx val="7"/>
          <c:order val="5"/>
          <c:tx>
            <c:v>SDZ</c:v>
          </c:tx>
          <c:spPr>
            <a:ln w="952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'SDZ L-H'!$B$56:$B$86</c:f>
              <c:numCache>
                <c:formatCode>0.00</c:formatCode>
                <c:ptCount val="31"/>
                <c:pt idx="0">
                  <c:v>428.82267040157706</c:v>
                </c:pt>
                <c:pt idx="1">
                  <c:v>413.82267040157706</c:v>
                </c:pt>
                <c:pt idx="2">
                  <c:v>398.82267040157706</c:v>
                </c:pt>
                <c:pt idx="3">
                  <c:v>383.82267040157706</c:v>
                </c:pt>
                <c:pt idx="4">
                  <c:v>368.82267040157706</c:v>
                </c:pt>
                <c:pt idx="5">
                  <c:v>353.82267040157706</c:v>
                </c:pt>
                <c:pt idx="6">
                  <c:v>348.64621397751932</c:v>
                </c:pt>
                <c:pt idx="7">
                  <c:v>338.82267040157706</c:v>
                </c:pt>
                <c:pt idx="8">
                  <c:v>318.64621397751932</c:v>
                </c:pt>
                <c:pt idx="9">
                  <c:v>288.64621397751932</c:v>
                </c:pt>
                <c:pt idx="10">
                  <c:v>273.64621397751932</c:v>
                </c:pt>
                <c:pt idx="11">
                  <c:v>258.64621397751932</c:v>
                </c:pt>
                <c:pt idx="12">
                  <c:v>243.64621397751935</c:v>
                </c:pt>
                <c:pt idx="13">
                  <c:v>228.64621397751935</c:v>
                </c:pt>
                <c:pt idx="14">
                  <c:v>213.64621397751935</c:v>
                </c:pt>
                <c:pt idx="15">
                  <c:v>198.64621397751935</c:v>
                </c:pt>
                <c:pt idx="16">
                  <c:v>186.30991099002722</c:v>
                </c:pt>
                <c:pt idx="17">
                  <c:v>171.30991099002722</c:v>
                </c:pt>
                <c:pt idx="18">
                  <c:v>156.30991099002722</c:v>
                </c:pt>
                <c:pt idx="19">
                  <c:v>141.30991099002722</c:v>
                </c:pt>
                <c:pt idx="20">
                  <c:v>126.30991099002721</c:v>
                </c:pt>
                <c:pt idx="21" formatCode="General">
                  <c:v>120</c:v>
                </c:pt>
                <c:pt idx="22">
                  <c:v>111.30991099002721</c:v>
                </c:pt>
                <c:pt idx="23">
                  <c:v>96.309910990027205</c:v>
                </c:pt>
                <c:pt idx="24" formatCode="General">
                  <c:v>90</c:v>
                </c:pt>
                <c:pt idx="25" formatCode="General">
                  <c:v>75</c:v>
                </c:pt>
                <c:pt idx="26" formatCode="General">
                  <c:v>60</c:v>
                </c:pt>
                <c:pt idx="27" formatCode="General">
                  <c:v>45</c:v>
                </c:pt>
                <c:pt idx="28" formatCode="General">
                  <c:v>30</c:v>
                </c:pt>
                <c:pt idx="29" formatCode="General">
                  <c:v>15</c:v>
                </c:pt>
                <c:pt idx="30" formatCode="General">
                  <c:v>0</c:v>
                </c:pt>
              </c:numCache>
            </c:numRef>
          </c:xVal>
          <c:yVal>
            <c:numRef>
              <c:f>'SDZ L-H'!$H$56:$H$86</c:f>
              <c:numCache>
                <c:formatCode>0.000000000</c:formatCode>
                <c:ptCount val="31"/>
                <c:pt idx="0">
                  <c:v>4.223692011738656</c:v>
                </c:pt>
                <c:pt idx="1">
                  <c:v>5.2150841726495614</c:v>
                </c:pt>
                <c:pt idx="2">
                  <c:v>6.4381149592721068</c:v>
                </c:pt>
                <c:pt idx="3">
                  <c:v>7.9463534949096752</c:v>
                </c:pt>
                <c:pt idx="4">
                  <c:v>9.8054710717155054</c:v>
                </c:pt>
                <c:pt idx="5">
                  <c:v>12.095828130006367</c:v>
                </c:pt>
                <c:pt idx="6">
                  <c:v>13.00351701381145</c:v>
                </c:pt>
                <c:pt idx="7">
                  <c:v>14.915539106843731</c:v>
                </c:pt>
                <c:pt idx="8">
                  <c:v>19.757080962812793</c:v>
                </c:pt>
                <c:pt idx="9">
                  <c:v>29.944846556700959</c:v>
                </c:pt>
                <c:pt idx="10">
                  <c:v>36.818908664037146</c:v>
                </c:pt>
                <c:pt idx="11">
                  <c:v>45.221681393945929</c:v>
                </c:pt>
                <c:pt idx="12">
                  <c:v>55.469173274061177</c:v>
                </c:pt>
                <c:pt idx="13">
                  <c:v>67.931521684169113</c:v>
                </c:pt>
                <c:pt idx="14">
                  <c:v>83.037267997230757</c:v>
                </c:pt>
                <c:pt idx="15">
                  <c:v>101.27573653283183</c:v>
                </c:pt>
                <c:pt idx="16">
                  <c:v>119.00874559153651</c:v>
                </c:pt>
                <c:pt idx="17">
                  <c:v>144.4092776192675</c:v>
                </c:pt>
                <c:pt idx="18">
                  <c:v>174.63034310235042</c:v>
                </c:pt>
                <c:pt idx="19" formatCode="0.0000000">
                  <c:v>210.35016285575608</c:v>
                </c:pt>
                <c:pt idx="20" formatCode="0.0000000">
                  <c:v>252.26110492698973</c:v>
                </c:pt>
                <c:pt idx="21" formatCode="0.0000000">
                  <c:v>271.90672870837517</c:v>
                </c:pt>
                <c:pt idx="22" formatCode="0.0000000">
                  <c:v>301.04479151637412</c:v>
                </c:pt>
                <c:pt idx="23" formatCode="0.0000000">
                  <c:v>357.34395903877896</c:v>
                </c:pt>
                <c:pt idx="24" formatCode="0.0000000">
                  <c:v>383.41417131916501</c:v>
                </c:pt>
                <c:pt idx="25" formatCode="0.0000000">
                  <c:v>451.35734201024042</c:v>
                </c:pt>
                <c:pt idx="26" formatCode="0.0000000">
                  <c:v>528.0415906213309</c:v>
                </c:pt>
                <c:pt idx="27" formatCode="0.0000000">
                  <c:v>613.78138629447551</c:v>
                </c:pt>
                <c:pt idx="28" formatCode="0.0000000">
                  <c:v>708.76146600540937</c:v>
                </c:pt>
                <c:pt idx="29" formatCode="0.0000000">
                  <c:v>813.03688307568814</c:v>
                </c:pt>
                <c:pt idx="30" formatCode="0.0000000">
                  <c:v>926.54118174988753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9818-D944-8545-35B331C61B65}"/>
            </c:ext>
          </c:extLst>
        </c:ser>
        <c:ser>
          <c:idx val="0"/>
          <c:order val="6"/>
          <c:tx>
            <c:v>SMX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3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'SMX L-H'!$J$59:$J$92</c:f>
                <c:numCache>
                  <c:formatCode>General</c:formatCode>
                  <c:ptCount val="34"/>
                  <c:pt idx="0">
                    <c:v>0.21019886258579754</c:v>
                  </c:pt>
                  <c:pt idx="1">
                    <c:v>0.84806636889108578</c:v>
                  </c:pt>
                  <c:pt idx="2">
                    <c:v>0.2124913613334227</c:v>
                  </c:pt>
                  <c:pt idx="3">
                    <c:v>1.4086676623039993</c:v>
                  </c:pt>
                  <c:pt idx="4">
                    <c:v>0.55848552639103488</c:v>
                  </c:pt>
                  <c:pt idx="5">
                    <c:v>1.6793153969811279</c:v>
                  </c:pt>
                  <c:pt idx="6">
                    <c:v>0.40132870001231408</c:v>
                  </c:pt>
                  <c:pt idx="7">
                    <c:v>7.6634054966539147E-2</c:v>
                  </c:pt>
                  <c:pt idx="8">
                    <c:v>0.9195535945687574</c:v>
                  </c:pt>
                  <c:pt idx="9">
                    <c:v>0.65546908971128126</c:v>
                  </c:pt>
                  <c:pt idx="10">
                    <c:v>6.5425632271764997E-2</c:v>
                  </c:pt>
                  <c:pt idx="11">
                    <c:v>2.2354704399929197</c:v>
                  </c:pt>
                  <c:pt idx="12">
                    <c:v>2.0669995860484853</c:v>
                  </c:pt>
                  <c:pt idx="13">
                    <c:v>2.4185927060294361</c:v>
                  </c:pt>
                  <c:pt idx="14">
                    <c:v>1.2263147395760863</c:v>
                  </c:pt>
                  <c:pt idx="15">
                    <c:v>0.67998977702083541</c:v>
                  </c:pt>
                  <c:pt idx="16">
                    <c:v>6.8793559940784226</c:v>
                  </c:pt>
                  <c:pt idx="17">
                    <c:v>12.251232437414709</c:v>
                  </c:pt>
                  <c:pt idx="18">
                    <c:v>12.987004422968468</c:v>
                  </c:pt>
                  <c:pt idx="19">
                    <c:v>24.164232737371929</c:v>
                  </c:pt>
                  <c:pt idx="20">
                    <c:v>24.978240393042451</c:v>
                  </c:pt>
                  <c:pt idx="21">
                    <c:v>27.414679338764941</c:v>
                  </c:pt>
                  <c:pt idx="22">
                    <c:v>25.437445870314747</c:v>
                  </c:pt>
                  <c:pt idx="23">
                    <c:v>9.6820693491518561</c:v>
                  </c:pt>
                  <c:pt idx="24">
                    <c:v>7.3275038594301876</c:v>
                  </c:pt>
                  <c:pt idx="25">
                    <c:v>23.246536503445554</c:v>
                  </c:pt>
                  <c:pt idx="26">
                    <c:v>26.579743993817235</c:v>
                  </c:pt>
                  <c:pt idx="27">
                    <c:v>42.811715481707658</c:v>
                  </c:pt>
                  <c:pt idx="28">
                    <c:v>22.248882500551186</c:v>
                  </c:pt>
                  <c:pt idx="29">
                    <c:v>20.382651792202761</c:v>
                  </c:pt>
                  <c:pt idx="30">
                    <c:v>20.930230219657801</c:v>
                  </c:pt>
                  <c:pt idx="31">
                    <c:v>38.822677504739715</c:v>
                  </c:pt>
                  <c:pt idx="32">
                    <c:v>15.74218986047606</c:v>
                  </c:pt>
                  <c:pt idx="33">
                    <c:v>21.455191559193786</c:v>
                  </c:pt>
                </c:numCache>
              </c:numRef>
            </c:plus>
            <c:minus>
              <c:numRef>
                <c:f>'SMX L-H'!$J$59:$J$92</c:f>
                <c:numCache>
                  <c:formatCode>General</c:formatCode>
                  <c:ptCount val="34"/>
                  <c:pt idx="0">
                    <c:v>0.21019886258579754</c:v>
                  </c:pt>
                  <c:pt idx="1">
                    <c:v>0.84806636889108578</c:v>
                  </c:pt>
                  <c:pt idx="2">
                    <c:v>0.2124913613334227</c:v>
                  </c:pt>
                  <c:pt idx="3">
                    <c:v>1.4086676623039993</c:v>
                  </c:pt>
                  <c:pt idx="4">
                    <c:v>0.55848552639103488</c:v>
                  </c:pt>
                  <c:pt idx="5">
                    <c:v>1.6793153969811279</c:v>
                  </c:pt>
                  <c:pt idx="6">
                    <c:v>0.40132870001231408</c:v>
                  </c:pt>
                  <c:pt idx="7">
                    <c:v>7.6634054966539147E-2</c:v>
                  </c:pt>
                  <c:pt idx="8">
                    <c:v>0.9195535945687574</c:v>
                  </c:pt>
                  <c:pt idx="9">
                    <c:v>0.65546908971128126</c:v>
                  </c:pt>
                  <c:pt idx="10">
                    <c:v>6.5425632271764997E-2</c:v>
                  </c:pt>
                  <c:pt idx="11">
                    <c:v>2.2354704399929197</c:v>
                  </c:pt>
                  <c:pt idx="12">
                    <c:v>2.0669995860484853</c:v>
                  </c:pt>
                  <c:pt idx="13">
                    <c:v>2.4185927060294361</c:v>
                  </c:pt>
                  <c:pt idx="14">
                    <c:v>1.2263147395760863</c:v>
                  </c:pt>
                  <c:pt idx="15">
                    <c:v>0.67998977702083541</c:v>
                  </c:pt>
                  <c:pt idx="16">
                    <c:v>6.8793559940784226</c:v>
                  </c:pt>
                  <c:pt idx="17">
                    <c:v>12.251232437414709</c:v>
                  </c:pt>
                  <c:pt idx="18">
                    <c:v>12.987004422968468</c:v>
                  </c:pt>
                  <c:pt idx="19">
                    <c:v>24.164232737371929</c:v>
                  </c:pt>
                  <c:pt idx="20">
                    <c:v>24.978240393042451</c:v>
                  </c:pt>
                  <c:pt idx="21">
                    <c:v>27.414679338764941</c:v>
                  </c:pt>
                  <c:pt idx="22">
                    <c:v>25.437445870314747</c:v>
                  </c:pt>
                  <c:pt idx="23">
                    <c:v>9.6820693491518561</c:v>
                  </c:pt>
                  <c:pt idx="24">
                    <c:v>7.3275038594301876</c:v>
                  </c:pt>
                  <c:pt idx="25">
                    <c:v>23.246536503445554</c:v>
                  </c:pt>
                  <c:pt idx="26">
                    <c:v>26.579743993817235</c:v>
                  </c:pt>
                  <c:pt idx="27">
                    <c:v>42.811715481707658</c:v>
                  </c:pt>
                  <c:pt idx="28">
                    <c:v>22.248882500551186</c:v>
                  </c:pt>
                  <c:pt idx="29">
                    <c:v>20.382651792202761</c:v>
                  </c:pt>
                  <c:pt idx="30">
                    <c:v>20.930230219657801</c:v>
                  </c:pt>
                  <c:pt idx="31">
                    <c:v>38.822677504739715</c:v>
                  </c:pt>
                  <c:pt idx="32">
                    <c:v>15.74218986047606</c:v>
                  </c:pt>
                  <c:pt idx="33">
                    <c:v>21.455191559193786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'SMX L-H'!$B$59:$B$92</c:f>
              <c:numCache>
                <c:formatCode>0.00</c:formatCode>
                <c:ptCount val="34"/>
                <c:pt idx="0">
                  <c:v>989.28624414282581</c:v>
                </c:pt>
                <c:pt idx="1">
                  <c:v>974.28624414282581</c:v>
                </c:pt>
                <c:pt idx="2">
                  <c:v>959.28624414282581</c:v>
                </c:pt>
                <c:pt idx="3">
                  <c:v>944.28624414282581</c:v>
                </c:pt>
                <c:pt idx="4">
                  <c:v>929.28624414282581</c:v>
                </c:pt>
                <c:pt idx="5">
                  <c:v>917.60296318225096</c:v>
                </c:pt>
                <c:pt idx="6">
                  <c:v>914.28624414282581</c:v>
                </c:pt>
                <c:pt idx="7">
                  <c:v>899.28624414282581</c:v>
                </c:pt>
                <c:pt idx="8">
                  <c:v>887.60296318225096</c:v>
                </c:pt>
                <c:pt idx="9">
                  <c:v>857.60296318225096</c:v>
                </c:pt>
                <c:pt idx="10">
                  <c:v>842.60296318225096</c:v>
                </c:pt>
                <c:pt idx="11">
                  <c:v>827.60296318225096</c:v>
                </c:pt>
                <c:pt idx="12">
                  <c:v>812.60296318225096</c:v>
                </c:pt>
                <c:pt idx="13">
                  <c:v>797.60296318225096</c:v>
                </c:pt>
                <c:pt idx="14">
                  <c:v>782.60296318225096</c:v>
                </c:pt>
                <c:pt idx="15">
                  <c:v>767.60296318225096</c:v>
                </c:pt>
                <c:pt idx="16">
                  <c:v>336.13922523870258</c:v>
                </c:pt>
                <c:pt idx="17">
                  <c:v>306.13922523870258</c:v>
                </c:pt>
                <c:pt idx="18">
                  <c:v>276.13922523870258</c:v>
                </c:pt>
                <c:pt idx="19">
                  <c:v>261.13922523870258</c:v>
                </c:pt>
                <c:pt idx="20">
                  <c:v>246.13922523870261</c:v>
                </c:pt>
                <c:pt idx="21">
                  <c:v>231.13922523870261</c:v>
                </c:pt>
                <c:pt idx="22">
                  <c:v>216.13922523870261</c:v>
                </c:pt>
                <c:pt idx="23">
                  <c:v>201.13922523870261</c:v>
                </c:pt>
                <c:pt idx="24">
                  <c:v>186.13922523870261</c:v>
                </c:pt>
                <c:pt idx="25" formatCode="General">
                  <c:v>150</c:v>
                </c:pt>
                <c:pt idx="26" formatCode="General">
                  <c:v>120</c:v>
                </c:pt>
                <c:pt idx="27" formatCode="General">
                  <c:v>90</c:v>
                </c:pt>
                <c:pt idx="28" formatCode="General">
                  <c:v>75</c:v>
                </c:pt>
                <c:pt idx="29" formatCode="General">
                  <c:v>60</c:v>
                </c:pt>
                <c:pt idx="30" formatCode="General">
                  <c:v>45</c:v>
                </c:pt>
                <c:pt idx="31" formatCode="General">
                  <c:v>30</c:v>
                </c:pt>
                <c:pt idx="32" formatCode="General">
                  <c:v>15</c:v>
                </c:pt>
                <c:pt idx="33" formatCode="General">
                  <c:v>0</c:v>
                </c:pt>
              </c:numCache>
            </c:numRef>
          </c:xVal>
          <c:yVal>
            <c:numRef>
              <c:f>'SMX L-H'!$C$59:$C$92</c:f>
              <c:numCache>
                <c:formatCode>0.00</c:formatCode>
                <c:ptCount val="34"/>
                <c:pt idx="0">
                  <c:v>10.934696518336736</c:v>
                </c:pt>
                <c:pt idx="1">
                  <c:v>13.432417935660355</c:v>
                </c:pt>
                <c:pt idx="2">
                  <c:v>13.702939530068083</c:v>
                </c:pt>
                <c:pt idx="3">
                  <c:v>15.2772152647079</c:v>
                </c:pt>
                <c:pt idx="4">
                  <c:v>17.667418721167866</c:v>
                </c:pt>
                <c:pt idx="5">
                  <c:v>16.365763605015374</c:v>
                </c:pt>
                <c:pt idx="6">
                  <c:v>18.232995585420333</c:v>
                </c:pt>
                <c:pt idx="7">
                  <c:v>19.121794394714854</c:v>
                </c:pt>
                <c:pt idx="8">
                  <c:v>20.879722874304868</c:v>
                </c:pt>
                <c:pt idx="9">
                  <c:v>21.593965305344835</c:v>
                </c:pt>
                <c:pt idx="10">
                  <c:v>23.859133358390192</c:v>
                </c:pt>
                <c:pt idx="11">
                  <c:v>29.720465433531903</c:v>
                </c:pt>
                <c:pt idx="12">
                  <c:v>36.168797093770067</c:v>
                </c:pt>
                <c:pt idx="13">
                  <c:v>40.87000855578831</c:v>
                </c:pt>
                <c:pt idx="14">
                  <c:v>40.193992762834228</c:v>
                </c:pt>
                <c:pt idx="15">
                  <c:v>44.819358160821601</c:v>
                </c:pt>
                <c:pt idx="16">
                  <c:v>231.35469884666313</c:v>
                </c:pt>
                <c:pt idx="17">
                  <c:v>244.32464215463915</c:v>
                </c:pt>
                <c:pt idx="18">
                  <c:v>257.39206309690496</c:v>
                </c:pt>
                <c:pt idx="19">
                  <c:v>296.19534014481178</c:v>
                </c:pt>
                <c:pt idx="20">
                  <c:v>308.37480889052438</c:v>
                </c:pt>
                <c:pt idx="21">
                  <c:v>326.29151403385777</c:v>
                </c:pt>
                <c:pt idx="22">
                  <c:v>358.34917035920267</c:v>
                </c:pt>
                <c:pt idx="23">
                  <c:v>424.08419701737142</c:v>
                </c:pt>
                <c:pt idx="24">
                  <c:v>459.35132084731799</c:v>
                </c:pt>
                <c:pt idx="25">
                  <c:v>545.71255856391952</c:v>
                </c:pt>
                <c:pt idx="26">
                  <c:v>533.84696234008982</c:v>
                </c:pt>
                <c:pt idx="27" formatCode="General">
                  <c:v>635.35001115260627</c:v>
                </c:pt>
                <c:pt idx="28">
                  <c:v>697.81685970231615</c:v>
                </c:pt>
                <c:pt idx="29">
                  <c:v>691.85392117462334</c:v>
                </c:pt>
                <c:pt idx="30">
                  <c:v>732.90501763829457</c:v>
                </c:pt>
                <c:pt idx="31">
                  <c:v>807.4023574092796</c:v>
                </c:pt>
                <c:pt idx="32" formatCode="General">
                  <c:v>785.20389652052188</c:v>
                </c:pt>
                <c:pt idx="33">
                  <c:v>945.7763652588792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9818-D944-8545-35B331C61B65}"/>
            </c:ext>
          </c:extLst>
        </c:ser>
        <c:ser>
          <c:idx val="4"/>
          <c:order val="7"/>
          <c:tx>
            <c:v>SMX</c:v>
          </c:tx>
          <c:spPr>
            <a:ln w="3175"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'SMX L-H'!$K$59:$K$100</c:f>
              <c:numCache>
                <c:formatCode>0.00</c:formatCode>
                <c:ptCount val="42"/>
                <c:pt idx="0">
                  <c:v>989.28624414282581</c:v>
                </c:pt>
                <c:pt idx="1">
                  <c:v>974.28624414282581</c:v>
                </c:pt>
                <c:pt idx="2">
                  <c:v>959.28624414282581</c:v>
                </c:pt>
                <c:pt idx="3">
                  <c:v>944.28624414282581</c:v>
                </c:pt>
                <c:pt idx="4">
                  <c:v>929.28624414282581</c:v>
                </c:pt>
                <c:pt idx="5">
                  <c:v>917.60296318225096</c:v>
                </c:pt>
                <c:pt idx="6">
                  <c:v>914.28624414282581</c:v>
                </c:pt>
                <c:pt idx="7">
                  <c:v>899.28624414282581</c:v>
                </c:pt>
                <c:pt idx="8">
                  <c:v>887.60296318225096</c:v>
                </c:pt>
                <c:pt idx="9">
                  <c:v>857.60296318225096</c:v>
                </c:pt>
                <c:pt idx="10">
                  <c:v>842.60296318225096</c:v>
                </c:pt>
                <c:pt idx="11">
                  <c:v>827.60296318225096</c:v>
                </c:pt>
                <c:pt idx="12">
                  <c:v>812.60296318225096</c:v>
                </c:pt>
                <c:pt idx="13">
                  <c:v>797.60296318225096</c:v>
                </c:pt>
                <c:pt idx="14">
                  <c:v>782.60296318225096</c:v>
                </c:pt>
                <c:pt idx="15">
                  <c:v>767.60296318225096</c:v>
                </c:pt>
                <c:pt idx="16" formatCode="General">
                  <c:v>750</c:v>
                </c:pt>
                <c:pt idx="17" formatCode="General">
                  <c:v>700</c:v>
                </c:pt>
                <c:pt idx="18" formatCode="General">
                  <c:v>650</c:v>
                </c:pt>
                <c:pt idx="19" formatCode="General">
                  <c:v>600</c:v>
                </c:pt>
                <c:pt idx="20" formatCode="General">
                  <c:v>550</c:v>
                </c:pt>
                <c:pt idx="21" formatCode="General">
                  <c:v>500</c:v>
                </c:pt>
                <c:pt idx="22" formatCode="General">
                  <c:v>450</c:v>
                </c:pt>
                <c:pt idx="23" formatCode="General">
                  <c:v>400</c:v>
                </c:pt>
                <c:pt idx="24">
                  <c:v>336.13922523870258</c:v>
                </c:pt>
                <c:pt idx="25">
                  <c:v>306.13922523870258</c:v>
                </c:pt>
                <c:pt idx="26">
                  <c:v>276.13922523870258</c:v>
                </c:pt>
                <c:pt idx="27">
                  <c:v>261.13922523870258</c:v>
                </c:pt>
                <c:pt idx="28">
                  <c:v>246.13922523870261</c:v>
                </c:pt>
                <c:pt idx="29">
                  <c:v>231.13922523870261</c:v>
                </c:pt>
                <c:pt idx="30">
                  <c:v>216.13922523870261</c:v>
                </c:pt>
                <c:pt idx="31">
                  <c:v>201.13922523870261</c:v>
                </c:pt>
                <c:pt idx="32">
                  <c:v>186.13922523870261</c:v>
                </c:pt>
                <c:pt idx="33" formatCode="General">
                  <c:v>150</c:v>
                </c:pt>
                <c:pt idx="34" formatCode="General">
                  <c:v>120</c:v>
                </c:pt>
                <c:pt idx="35" formatCode="General">
                  <c:v>90</c:v>
                </c:pt>
                <c:pt idx="36" formatCode="General">
                  <c:v>75</c:v>
                </c:pt>
                <c:pt idx="37" formatCode="General">
                  <c:v>60</c:v>
                </c:pt>
                <c:pt idx="38" formatCode="General">
                  <c:v>45</c:v>
                </c:pt>
                <c:pt idx="39" formatCode="General">
                  <c:v>30</c:v>
                </c:pt>
                <c:pt idx="40" formatCode="General">
                  <c:v>15</c:v>
                </c:pt>
                <c:pt idx="41" formatCode="General">
                  <c:v>0</c:v>
                </c:pt>
              </c:numCache>
            </c:numRef>
          </c:xVal>
          <c:yVal>
            <c:numRef>
              <c:f>'SMX L-H'!$L$59:$L$100</c:f>
              <c:numCache>
                <c:formatCode>0.000000000</c:formatCode>
                <c:ptCount val="42"/>
                <c:pt idx="0">
                  <c:v>13.547246521740066</c:v>
                </c:pt>
                <c:pt idx="1">
                  <c:v>14.448063124336668</c:v>
                </c:pt>
                <c:pt idx="2">
                  <c:v>15.40877905431338</c:v>
                </c:pt>
                <c:pt idx="3">
                  <c:v>16.433377947917577</c:v>
                </c:pt>
                <c:pt idx="4">
                  <c:v>17.526106272756572</c:v>
                </c:pt>
                <c:pt idx="5">
                  <c:v>18.42731253651392</c:v>
                </c:pt>
                <c:pt idx="6">
                  <c:v>18.6914959184849</c:v>
                </c:pt>
                <c:pt idx="7">
                  <c:v>19.934375629644066</c:v>
                </c:pt>
                <c:pt idx="8">
                  <c:v>20.959416390754733</c:v>
                </c:pt>
                <c:pt idx="9">
                  <c:v>23.839458813992042</c:v>
                </c:pt>
                <c:pt idx="10">
                  <c:v>25.424650704593592</c:v>
                </c:pt>
                <c:pt idx="11">
                  <c:v>27.115249064855441</c:v>
                </c:pt>
                <c:pt idx="12">
                  <c:v>28.91826284349737</c:v>
                </c:pt>
                <c:pt idx="13">
                  <c:v>30.841168942276166</c:v>
                </c:pt>
                <c:pt idx="14">
                  <c:v>32.891935332149522</c:v>
                </c:pt>
                <c:pt idx="15">
                  <c:v>35.079066307214951</c:v>
                </c:pt>
                <c:pt idx="16" formatCode="General">
                  <c:v>37.831912132727176</c:v>
                </c:pt>
                <c:pt idx="17" formatCode="General">
                  <c:v>46.887128381700101</c:v>
                </c:pt>
                <c:pt idx="18" formatCode="General">
                  <c:v>58.109745908657572</c:v>
                </c:pt>
                <c:pt idx="19" formatCode="General">
                  <c:v>72.018540972364875</c:v>
                </c:pt>
                <c:pt idx="20" formatCode="General">
                  <c:v>89.256461596682286</c:v>
                </c:pt>
                <c:pt idx="21" formatCode="General">
                  <c:v>110.62034447756336</c:v>
                </c:pt>
                <c:pt idx="22" formatCode="General">
                  <c:v>137.09775283210294</c:v>
                </c:pt>
                <c:pt idx="23" formatCode="General">
                  <c:v>169.91264675035606</c:v>
                </c:pt>
                <c:pt idx="24">
                  <c:v>223.48904536659677</c:v>
                </c:pt>
                <c:pt idx="25">
                  <c:v>254.19877129383909</c:v>
                </c:pt>
                <c:pt idx="26">
                  <c:v>289.12833387931863</c:v>
                </c:pt>
                <c:pt idx="27">
                  <c:v>308.35376593878743</c:v>
                </c:pt>
                <c:pt idx="28">
                  <c:v>328.85758270561013</c:v>
                </c:pt>
                <c:pt idx="29">
                  <c:v>350.72478972066625</c:v>
                </c:pt>
                <c:pt idx="30">
                  <c:v>374.04604499789815</c:v>
                </c:pt>
                <c:pt idx="31" formatCode="0.0000000">
                  <c:v>398.91803494832038</c:v>
                </c:pt>
                <c:pt idx="32" formatCode="0.0000000">
                  <c:v>425.44387532261021</c:v>
                </c:pt>
                <c:pt idx="33" formatCode="0.0000000">
                  <c:v>496.82383485547535</c:v>
                </c:pt>
                <c:pt idx="34" formatCode="0.0000000">
                  <c:v>565.09260574320626</c:v>
                </c:pt>
                <c:pt idx="35" formatCode="0.0000000">
                  <c:v>642.74222393817831</c:v>
                </c:pt>
                <c:pt idx="36" formatCode="0.0000000">
                  <c:v>685.48102271047173</c:v>
                </c:pt>
                <c:pt idx="37" formatCode="0.0000000">
                  <c:v>731.06171530168638</c:v>
                </c:pt>
                <c:pt idx="38" formatCode="0.0000000">
                  <c:v>779.67327099445663</c:v>
                </c:pt>
                <c:pt idx="39" formatCode="0.0000000">
                  <c:v>831.5172247718483</c:v>
                </c:pt>
                <c:pt idx="40" formatCode="0.0000000">
                  <c:v>886.80851313956657</c:v>
                </c:pt>
                <c:pt idx="41" formatCode="0.0000000">
                  <c:v>945.77643501487148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9818-D944-8545-35B331C6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12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200"/>
      </c:valAx>
      <c:valAx>
        <c:axId val="1320359279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6475883476565748"/>
          <c:y val="7.1191361666110953E-2"/>
          <c:w val="7.7882617613974733E-2"/>
          <c:h val="0.402963912898509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2"/>
          <c:order val="0"/>
          <c:tx>
            <c:v>TET</c:v>
          </c:tx>
          <c:spPr>
            <a:ln w="6350">
              <a:noFill/>
            </a:ln>
          </c:spPr>
          <c:marker>
            <c:symbol val="star"/>
            <c:size val="3"/>
            <c:spPr>
              <a:noFill/>
              <a:ln>
                <a:solidFill>
                  <a:schemeClr val="accent5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'TET L-H'!#REF!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'TET L-H'!#REF!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</c:errBars>
          <c:xVal>
            <c:numRef>
              <c:f>'TET L-H'!$B$6:$B$28</c:f>
              <c:numCache>
                <c:formatCode>0.00</c:formatCode>
                <c:ptCount val="23"/>
                <c:pt idx="0">
                  <c:v>252.8293937332904</c:v>
                </c:pt>
                <c:pt idx="1">
                  <c:v>226.75423093046544</c:v>
                </c:pt>
                <c:pt idx="2">
                  <c:v>222.8293937332904</c:v>
                </c:pt>
                <c:pt idx="3">
                  <c:v>211.75423093046544</c:v>
                </c:pt>
                <c:pt idx="4">
                  <c:v>207.8293937332904</c:v>
                </c:pt>
                <c:pt idx="5">
                  <c:v>192.8293937332904</c:v>
                </c:pt>
                <c:pt idx="6">
                  <c:v>177.8293937332904</c:v>
                </c:pt>
                <c:pt idx="7">
                  <c:v>162.8293937332904</c:v>
                </c:pt>
                <c:pt idx="8">
                  <c:v>153.61954357704332</c:v>
                </c:pt>
                <c:pt idx="9">
                  <c:v>147.8293937332904</c:v>
                </c:pt>
                <c:pt idx="10">
                  <c:v>138.61954357704332</c:v>
                </c:pt>
                <c:pt idx="11">
                  <c:v>132.8293937332904</c:v>
                </c:pt>
                <c:pt idx="12">
                  <c:v>123.61954357704332</c:v>
                </c:pt>
                <c:pt idx="13">
                  <c:v>108.61954357704332</c:v>
                </c:pt>
                <c:pt idx="14">
                  <c:v>93.619543577043316</c:v>
                </c:pt>
                <c:pt idx="15">
                  <c:v>78.619543577043316</c:v>
                </c:pt>
                <c:pt idx="16" formatCode="General">
                  <c:v>75</c:v>
                </c:pt>
                <c:pt idx="17">
                  <c:v>63.619543577043309</c:v>
                </c:pt>
                <c:pt idx="18" formatCode="General">
                  <c:v>60</c:v>
                </c:pt>
                <c:pt idx="19" formatCode="General">
                  <c:v>45</c:v>
                </c:pt>
                <c:pt idx="20" formatCode="General">
                  <c:v>30</c:v>
                </c:pt>
                <c:pt idx="21" formatCode="General">
                  <c:v>15</c:v>
                </c:pt>
                <c:pt idx="22" formatCode="General">
                  <c:v>0</c:v>
                </c:pt>
              </c:numCache>
            </c:numRef>
          </c:xVal>
          <c:yVal>
            <c:numRef>
              <c:f>'TET L-H'!$D$6:$D$28</c:f>
              <c:numCache>
                <c:formatCode>General</c:formatCode>
                <c:ptCount val="23"/>
                <c:pt idx="0">
                  <c:v>152.95223263283526</c:v>
                </c:pt>
                <c:pt idx="1">
                  <c:v>152.95223263283526</c:v>
                </c:pt>
                <c:pt idx="2">
                  <c:v>152.95223263283526</c:v>
                </c:pt>
                <c:pt idx="3">
                  <c:v>152.95223263283526</c:v>
                </c:pt>
                <c:pt idx="4">
                  <c:v>152.95223263283526</c:v>
                </c:pt>
                <c:pt idx="5">
                  <c:v>152.95223263283526</c:v>
                </c:pt>
                <c:pt idx="6">
                  <c:v>152.95223263283526</c:v>
                </c:pt>
                <c:pt idx="7">
                  <c:v>152.95223263283526</c:v>
                </c:pt>
                <c:pt idx="8">
                  <c:v>152.95223263283526</c:v>
                </c:pt>
                <c:pt idx="9">
                  <c:v>152.95223263283526</c:v>
                </c:pt>
                <c:pt idx="10">
                  <c:v>152.95223263283526</c:v>
                </c:pt>
                <c:pt idx="11">
                  <c:v>152.95223263283526</c:v>
                </c:pt>
                <c:pt idx="12">
                  <c:v>152.95223263283526</c:v>
                </c:pt>
                <c:pt idx="13">
                  <c:v>152.95223263283526</c:v>
                </c:pt>
                <c:pt idx="14">
                  <c:v>152.95223263283526</c:v>
                </c:pt>
                <c:pt idx="15">
                  <c:v>152.95223263283526</c:v>
                </c:pt>
                <c:pt idx="16">
                  <c:v>152.95223263283526</c:v>
                </c:pt>
                <c:pt idx="17">
                  <c:v>152.95223263283526</c:v>
                </c:pt>
                <c:pt idx="18">
                  <c:v>152.95223263283526</c:v>
                </c:pt>
                <c:pt idx="19">
                  <c:v>152.95223263283526</c:v>
                </c:pt>
                <c:pt idx="20">
                  <c:v>152.95223263283526</c:v>
                </c:pt>
                <c:pt idx="21">
                  <c:v>152.95223263283526</c:v>
                </c:pt>
                <c:pt idx="22">
                  <c:v>709.77064736751697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141F-1142-B816-412395659918}"/>
            </c:ext>
          </c:extLst>
        </c:ser>
        <c:ser>
          <c:idx val="3"/>
          <c:order val="1"/>
          <c:tx>
            <c:v>TET</c:v>
          </c:tx>
          <c:spPr>
            <a:ln w="9525">
              <a:solidFill>
                <a:srgbClr val="0070C0"/>
              </a:solidFill>
            </a:ln>
          </c:spPr>
          <c:marker>
            <c:symbol val="none"/>
          </c:marker>
          <c:errBars>
            <c:errDir val="y"/>
            <c:errBarType val="both"/>
            <c:errValType val="fixedVal"/>
            <c:noEndCap val="0"/>
            <c:val val="0"/>
            <c:spPr>
              <a:ln>
                <a:noFill/>
              </a:ln>
            </c:spPr>
          </c:errBars>
          <c:xVal>
            <c:numRef>
              <c:f>'TET L-H'!$B$6:$B$28</c:f>
              <c:numCache>
                <c:formatCode>0.00</c:formatCode>
                <c:ptCount val="23"/>
                <c:pt idx="0">
                  <c:v>252.8293937332904</c:v>
                </c:pt>
                <c:pt idx="1">
                  <c:v>226.75423093046544</c:v>
                </c:pt>
                <c:pt idx="2">
                  <c:v>222.8293937332904</c:v>
                </c:pt>
                <c:pt idx="3">
                  <c:v>211.75423093046544</c:v>
                </c:pt>
                <c:pt idx="4">
                  <c:v>207.8293937332904</c:v>
                </c:pt>
                <c:pt idx="5">
                  <c:v>192.8293937332904</c:v>
                </c:pt>
                <c:pt idx="6">
                  <c:v>177.8293937332904</c:v>
                </c:pt>
                <c:pt idx="7">
                  <c:v>162.8293937332904</c:v>
                </c:pt>
                <c:pt idx="8">
                  <c:v>153.61954357704332</c:v>
                </c:pt>
                <c:pt idx="9">
                  <c:v>147.8293937332904</c:v>
                </c:pt>
                <c:pt idx="10">
                  <c:v>138.61954357704332</c:v>
                </c:pt>
                <c:pt idx="11">
                  <c:v>132.8293937332904</c:v>
                </c:pt>
                <c:pt idx="12">
                  <c:v>123.61954357704332</c:v>
                </c:pt>
                <c:pt idx="13">
                  <c:v>108.61954357704332</c:v>
                </c:pt>
                <c:pt idx="14">
                  <c:v>93.619543577043316</c:v>
                </c:pt>
                <c:pt idx="15">
                  <c:v>78.619543577043316</c:v>
                </c:pt>
                <c:pt idx="16" formatCode="General">
                  <c:v>75</c:v>
                </c:pt>
                <c:pt idx="17">
                  <c:v>63.619543577043309</c:v>
                </c:pt>
                <c:pt idx="18" formatCode="General">
                  <c:v>60</c:v>
                </c:pt>
                <c:pt idx="19" formatCode="General">
                  <c:v>45</c:v>
                </c:pt>
                <c:pt idx="20" formatCode="General">
                  <c:v>30</c:v>
                </c:pt>
                <c:pt idx="21" formatCode="General">
                  <c:v>15</c:v>
                </c:pt>
                <c:pt idx="22" formatCode="General">
                  <c:v>0</c:v>
                </c:pt>
              </c:numCache>
            </c:numRef>
          </c:xVal>
          <c:yVal>
            <c:numRef>
              <c:f>'TET L-H'!$E$6:$E$28</c:f>
              <c:numCache>
                <c:formatCode>General</c:formatCode>
                <c:ptCount val="23"/>
                <c:pt idx="0">
                  <c:v>956.04235003623432</c:v>
                </c:pt>
                <c:pt idx="1">
                  <c:v>857.44242241117456</c:v>
                </c:pt>
                <c:pt idx="2">
                  <c:v>842.60114734386514</c:v>
                </c:pt>
                <c:pt idx="3">
                  <c:v>800.72182106498997</c:v>
                </c:pt>
                <c:pt idx="4">
                  <c:v>785.88054599768043</c:v>
                </c:pt>
                <c:pt idx="5">
                  <c:v>729.15994465149583</c:v>
                </c:pt>
                <c:pt idx="6">
                  <c:v>672.43934330531124</c:v>
                </c:pt>
                <c:pt idx="7">
                  <c:v>615.71874195912653</c:v>
                </c:pt>
                <c:pt idx="8">
                  <c:v>580.8928593477541</c:v>
                </c:pt>
                <c:pt idx="9">
                  <c:v>558.99814061294194</c:v>
                </c:pt>
                <c:pt idx="10">
                  <c:v>524.1722580015695</c:v>
                </c:pt>
                <c:pt idx="11">
                  <c:v>502.27753926675734</c:v>
                </c:pt>
                <c:pt idx="12">
                  <c:v>467.45165665538485</c:v>
                </c:pt>
                <c:pt idx="13">
                  <c:v>410.7310553092002</c:v>
                </c:pt>
                <c:pt idx="14">
                  <c:v>354.01045396301561</c:v>
                </c:pt>
                <c:pt idx="15">
                  <c:v>297.28985261683096</c:v>
                </c:pt>
                <c:pt idx="16">
                  <c:v>283.60300673092314</c:v>
                </c:pt>
                <c:pt idx="17">
                  <c:v>240.5692512706463</c:v>
                </c:pt>
                <c:pt idx="18">
                  <c:v>226.88240538473852</c:v>
                </c:pt>
                <c:pt idx="19">
                  <c:v>170.1618040385539</c:v>
                </c:pt>
                <c:pt idx="20">
                  <c:v>113.44120269236926</c:v>
                </c:pt>
                <c:pt idx="21">
                  <c:v>56.72060134618463</c:v>
                </c:pt>
                <c:pt idx="2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141F-1142-B816-412395659918}"/>
            </c:ext>
          </c:extLst>
        </c:ser>
        <c:ser>
          <c:idx val="4"/>
          <c:order val="2"/>
          <c:tx>
            <c:v>CIP</c:v>
          </c:tx>
          <c:spPr>
            <a:ln w="635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'CIP L-H'!$J$11:$J$31</c:f>
                <c:numCache>
                  <c:formatCode>General</c:formatCode>
                  <c:ptCount val="21"/>
                  <c:pt idx="0">
                    <c:v>8.993247026466344</c:v>
                  </c:pt>
                  <c:pt idx="1">
                    <c:v>9.103174687708087</c:v>
                  </c:pt>
                  <c:pt idx="2">
                    <c:v>9.0993151523441433</c:v>
                  </c:pt>
                  <c:pt idx="3">
                    <c:v>9.0614658577425509</c:v>
                  </c:pt>
                  <c:pt idx="4">
                    <c:v>9.0283432948257705</c:v>
                  </c:pt>
                  <c:pt idx="5">
                    <c:v>9.0121650439760881</c:v>
                  </c:pt>
                  <c:pt idx="6">
                    <c:v>9.9919901798118733</c:v>
                  </c:pt>
                  <c:pt idx="7">
                    <c:v>12.572156499199036</c:v>
                  </c:pt>
                  <c:pt idx="8">
                    <c:v>21.011371611746313</c:v>
                  </c:pt>
                  <c:pt idx="9">
                    <c:v>10.671414021538723</c:v>
                  </c:pt>
                  <c:pt idx="10">
                    <c:v>10.327611902494315</c:v>
                  </c:pt>
                  <c:pt idx="11">
                    <c:v>10.583678937859466</c:v>
                  </c:pt>
                  <c:pt idx="12">
                    <c:v>18.981528722204814</c:v>
                  </c:pt>
                  <c:pt idx="13">
                    <c:v>33.397443091770377</c:v>
                  </c:pt>
                  <c:pt idx="14">
                    <c:v>41.745140322783826</c:v>
                  </c:pt>
                  <c:pt idx="15">
                    <c:v>85.245647990578021</c:v>
                  </c:pt>
                  <c:pt idx="16">
                    <c:v>11.744995655481253</c:v>
                  </c:pt>
                  <c:pt idx="17">
                    <c:v>131.280218444209</c:v>
                  </c:pt>
                  <c:pt idx="18">
                    <c:v>32.942556613064951</c:v>
                  </c:pt>
                  <c:pt idx="19">
                    <c:v>81.820851903299726</c:v>
                  </c:pt>
                  <c:pt idx="20">
                    <c:v>12.696801429911744</c:v>
                  </c:pt>
                </c:numCache>
              </c:numRef>
            </c:plus>
            <c:minus>
              <c:numRef>
                <c:f>'CIP L-H'!$J$11:$J$31</c:f>
                <c:numCache>
                  <c:formatCode>General</c:formatCode>
                  <c:ptCount val="21"/>
                  <c:pt idx="0">
                    <c:v>8.993247026466344</c:v>
                  </c:pt>
                  <c:pt idx="1">
                    <c:v>9.103174687708087</c:v>
                  </c:pt>
                  <c:pt idx="2">
                    <c:v>9.0993151523441433</c:v>
                  </c:pt>
                  <c:pt idx="3">
                    <c:v>9.0614658577425509</c:v>
                  </c:pt>
                  <c:pt idx="4">
                    <c:v>9.0283432948257705</c:v>
                  </c:pt>
                  <c:pt idx="5">
                    <c:v>9.0121650439760881</c:v>
                  </c:pt>
                  <c:pt idx="6">
                    <c:v>9.9919901798118733</c:v>
                  </c:pt>
                  <c:pt idx="7">
                    <c:v>12.572156499199036</c:v>
                  </c:pt>
                  <c:pt idx="8">
                    <c:v>21.011371611746313</c:v>
                  </c:pt>
                  <c:pt idx="9">
                    <c:v>10.671414021538723</c:v>
                  </c:pt>
                  <c:pt idx="10">
                    <c:v>10.327611902494315</c:v>
                  </c:pt>
                  <c:pt idx="11">
                    <c:v>10.583678937859466</c:v>
                  </c:pt>
                  <c:pt idx="12">
                    <c:v>18.981528722204814</c:v>
                  </c:pt>
                  <c:pt idx="13">
                    <c:v>33.397443091770377</c:v>
                  </c:pt>
                  <c:pt idx="14">
                    <c:v>41.745140322783826</c:v>
                  </c:pt>
                  <c:pt idx="15">
                    <c:v>85.245647990578021</c:v>
                  </c:pt>
                  <c:pt idx="16">
                    <c:v>11.744995655481253</c:v>
                  </c:pt>
                  <c:pt idx="17">
                    <c:v>131.280218444209</c:v>
                  </c:pt>
                  <c:pt idx="18">
                    <c:v>32.942556613064951</c:v>
                  </c:pt>
                  <c:pt idx="19">
                    <c:v>81.820851903299726</c:v>
                  </c:pt>
                  <c:pt idx="20">
                    <c:v>12.696801429911744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'CIP L-H'!$B$11:$B$31</c:f>
              <c:numCache>
                <c:formatCode>0.00</c:formatCode>
                <c:ptCount val="21"/>
                <c:pt idx="0">
                  <c:v>212.01709744260734</c:v>
                </c:pt>
                <c:pt idx="1">
                  <c:v>197.01709744260734</c:v>
                </c:pt>
                <c:pt idx="2">
                  <c:v>182.01709744260734</c:v>
                </c:pt>
                <c:pt idx="3">
                  <c:v>176.34294846431743</c:v>
                </c:pt>
                <c:pt idx="4">
                  <c:v>161.34294846431743</c:v>
                </c:pt>
                <c:pt idx="5">
                  <c:v>146.34294846431743</c:v>
                </c:pt>
                <c:pt idx="6">
                  <c:v>136.5680796253873</c:v>
                </c:pt>
                <c:pt idx="7">
                  <c:v>131.34294846431743</c:v>
                </c:pt>
                <c:pt idx="8">
                  <c:v>121.5680796253873</c:v>
                </c:pt>
                <c:pt idx="9">
                  <c:v>116.34294846431743</c:v>
                </c:pt>
                <c:pt idx="10">
                  <c:v>106.5680796253873</c:v>
                </c:pt>
                <c:pt idx="11">
                  <c:v>91.568079625387298</c:v>
                </c:pt>
                <c:pt idx="12" formatCode="General">
                  <c:v>90</c:v>
                </c:pt>
                <c:pt idx="13">
                  <c:v>76.568079625387298</c:v>
                </c:pt>
                <c:pt idx="14" formatCode="General">
                  <c:v>75</c:v>
                </c:pt>
                <c:pt idx="15">
                  <c:v>61.568079625387305</c:v>
                </c:pt>
                <c:pt idx="16" formatCode="General">
                  <c:v>60</c:v>
                </c:pt>
                <c:pt idx="17" formatCode="General">
                  <c:v>45</c:v>
                </c:pt>
                <c:pt idx="18" formatCode="General">
                  <c:v>30</c:v>
                </c:pt>
                <c:pt idx="19" formatCode="General">
                  <c:v>15</c:v>
                </c:pt>
                <c:pt idx="20" formatCode="General">
                  <c:v>0</c:v>
                </c:pt>
              </c:numCache>
            </c:numRef>
          </c:xVal>
          <c:yVal>
            <c:numRef>
              <c:f>'CIP L-H'!$D$11:$D$31</c:f>
              <c:numCache>
                <c:formatCode>General</c:formatCode>
                <c:ptCount val="21"/>
                <c:pt idx="0">
                  <c:v>7.1596130983778163E-254</c:v>
                </c:pt>
                <c:pt idx="1">
                  <c:v>9.3093248943049592E-236</c:v>
                </c:pt>
                <c:pt idx="2">
                  <c:v>1.2104499055593069E-217</c:v>
                </c:pt>
                <c:pt idx="3">
                  <c:v>8.6111262868962014E-211</c:v>
                </c:pt>
                <c:pt idx="4">
                  <c:v>1.1196662614180881E-192</c:v>
                </c:pt>
                <c:pt idx="5">
                  <c:v>1.4558519933282204E-174</c:v>
                </c:pt>
                <c:pt idx="6">
                  <c:v>9.2740086056839407E-163</c:v>
                </c:pt>
                <c:pt idx="7">
                  <c:v>1.8929792738359925E-156</c:v>
                </c:pt>
                <c:pt idx="8">
                  <c:v>1.2058578864052469E-144</c:v>
                </c:pt>
                <c:pt idx="9">
                  <c:v>2.4613563381401852E-138</c:v>
                </c:pt>
                <c:pt idx="10">
                  <c:v>1.56792311074032E-126</c:v>
                </c:pt>
                <c:pt idx="11">
                  <c:v>2.0387003384970732E-108</c:v>
                </c:pt>
                <c:pt idx="12">
                  <c:v>1.5957665010377241E-106</c:v>
                </c:pt>
                <c:pt idx="13">
                  <c:v>2.6508309251373295E-90</c:v>
                </c:pt>
                <c:pt idx="14">
                  <c:v>2.0749038543680325E-88</c:v>
                </c:pt>
                <c:pt idx="15">
                  <c:v>3.446756966177999E-72</c:v>
                </c:pt>
                <c:pt idx="16">
                  <c:v>2.6979047386141E-70</c:v>
                </c:pt>
                <c:pt idx="17">
                  <c:v>3.5079649417554985E-52</c:v>
                </c:pt>
                <c:pt idx="18">
                  <c:v>4.5612500161540524E-34</c:v>
                </c:pt>
                <c:pt idx="19">
                  <c:v>5.9307895190804988E-16</c:v>
                </c:pt>
                <c:pt idx="20">
                  <c:v>771.15405196081042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141F-1142-B816-412395659918}"/>
            </c:ext>
          </c:extLst>
        </c:ser>
        <c:ser>
          <c:idx val="5"/>
          <c:order val="3"/>
          <c:tx>
            <c:v>CIP</c:v>
          </c:tx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0"/>
            <c:val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Ref>
              <c:f>'CIP L-H'!$B$11:$B$31</c:f>
              <c:numCache>
                <c:formatCode>0.00</c:formatCode>
                <c:ptCount val="21"/>
                <c:pt idx="0">
                  <c:v>212.01709744260734</c:v>
                </c:pt>
                <c:pt idx="1">
                  <c:v>197.01709744260734</c:v>
                </c:pt>
                <c:pt idx="2">
                  <c:v>182.01709744260734</c:v>
                </c:pt>
                <c:pt idx="3">
                  <c:v>176.34294846431743</c:v>
                </c:pt>
                <c:pt idx="4">
                  <c:v>161.34294846431743</c:v>
                </c:pt>
                <c:pt idx="5">
                  <c:v>146.34294846431743</c:v>
                </c:pt>
                <c:pt idx="6">
                  <c:v>136.5680796253873</c:v>
                </c:pt>
                <c:pt idx="7">
                  <c:v>131.34294846431743</c:v>
                </c:pt>
                <c:pt idx="8">
                  <c:v>121.5680796253873</c:v>
                </c:pt>
                <c:pt idx="9">
                  <c:v>116.34294846431743</c:v>
                </c:pt>
                <c:pt idx="10">
                  <c:v>106.5680796253873</c:v>
                </c:pt>
                <c:pt idx="11">
                  <c:v>91.568079625387298</c:v>
                </c:pt>
                <c:pt idx="12" formatCode="General">
                  <c:v>90</c:v>
                </c:pt>
                <c:pt idx="13">
                  <c:v>76.568079625387298</c:v>
                </c:pt>
                <c:pt idx="14" formatCode="General">
                  <c:v>75</c:v>
                </c:pt>
                <c:pt idx="15">
                  <c:v>61.568079625387305</c:v>
                </c:pt>
                <c:pt idx="16" formatCode="General">
                  <c:v>60</c:v>
                </c:pt>
                <c:pt idx="17" formatCode="General">
                  <c:v>45</c:v>
                </c:pt>
                <c:pt idx="18" formatCode="General">
                  <c:v>30</c:v>
                </c:pt>
                <c:pt idx="19" formatCode="General">
                  <c:v>15</c:v>
                </c:pt>
                <c:pt idx="20" formatCode="General">
                  <c:v>0</c:v>
                </c:pt>
              </c:numCache>
            </c:numRef>
          </c:xVal>
          <c:yVal>
            <c:numRef>
              <c:f>'CIP L-H'!$E$11:$E$31</c:f>
              <c:numCache>
                <c:formatCode>General</c:formatCode>
                <c:ptCount val="21"/>
                <c:pt idx="0">
                  <c:v>589.53604583910953</c:v>
                </c:pt>
                <c:pt idx="1">
                  <c:v>547.82695353356826</c:v>
                </c:pt>
                <c:pt idx="2">
                  <c:v>506.11786122802698</c:v>
                </c:pt>
                <c:pt idx="3">
                  <c:v>490.34028766196792</c:v>
                </c:pt>
                <c:pt idx="4">
                  <c:v>448.63119535642664</c:v>
                </c:pt>
                <c:pt idx="5">
                  <c:v>406.92210305088543</c:v>
                </c:pt>
                <c:pt idx="6">
                  <c:v>379.74204260571906</c:v>
                </c:pt>
                <c:pt idx="7">
                  <c:v>365.21301074534415</c:v>
                </c:pt>
                <c:pt idx="8">
                  <c:v>338.03295030017779</c:v>
                </c:pt>
                <c:pt idx="9">
                  <c:v>323.50391843980293</c:v>
                </c:pt>
                <c:pt idx="10">
                  <c:v>296.32385799463657</c:v>
                </c:pt>
                <c:pt idx="11">
                  <c:v>254.61476568909529</c:v>
                </c:pt>
                <c:pt idx="12">
                  <c:v>250.25455383324748</c:v>
                </c:pt>
                <c:pt idx="13">
                  <c:v>212.90567338355405</c:v>
                </c:pt>
                <c:pt idx="14">
                  <c:v>208.54546152770624</c:v>
                </c:pt>
                <c:pt idx="15">
                  <c:v>171.19658107801283</c:v>
                </c:pt>
                <c:pt idx="16">
                  <c:v>166.83636922216499</c:v>
                </c:pt>
                <c:pt idx="17">
                  <c:v>125.12727691662374</c:v>
                </c:pt>
                <c:pt idx="18">
                  <c:v>83.418184611082495</c:v>
                </c:pt>
                <c:pt idx="19">
                  <c:v>41.709092305541247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141F-1142-B816-412395659918}"/>
            </c:ext>
          </c:extLst>
        </c:ser>
        <c:ser>
          <c:idx val="6"/>
          <c:order val="4"/>
          <c:tx>
            <c:v>SDZ</c:v>
          </c:tx>
          <c:spPr>
            <a:ln w="6350" cap="rnd">
              <a:noFill/>
              <a:round/>
            </a:ln>
            <a:effectLst/>
          </c:spPr>
          <c:marker>
            <c:symbol val="triangle"/>
            <c:size val="3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'SDZ L-H'!$J$12:$J$42</c:f>
                <c:numCache>
                  <c:formatCode>General</c:formatCode>
                  <c:ptCount val="31"/>
                  <c:pt idx="0">
                    <c:v>56.157451094888913</c:v>
                  </c:pt>
                  <c:pt idx="1">
                    <c:v>56.145449318836867</c:v>
                  </c:pt>
                  <c:pt idx="2">
                    <c:v>56.175511351648623</c:v>
                  </c:pt>
                  <c:pt idx="3">
                    <c:v>56.141690094181598</c:v>
                  </c:pt>
                  <c:pt idx="4">
                    <c:v>56.210836842798976</c:v>
                  </c:pt>
                  <c:pt idx="5">
                    <c:v>56.229409287069416</c:v>
                  </c:pt>
                  <c:pt idx="6">
                    <c:v>56.146716490558418</c:v>
                  </c:pt>
                  <c:pt idx="7">
                    <c:v>56.16351805635194</c:v>
                  </c:pt>
                  <c:pt idx="8">
                    <c:v>56.853074938341919</c:v>
                  </c:pt>
                  <c:pt idx="9">
                    <c:v>56.471993127627925</c:v>
                  </c:pt>
                  <c:pt idx="10">
                    <c:v>56.190769529415128</c:v>
                  </c:pt>
                  <c:pt idx="11">
                    <c:v>56.139811374773004</c:v>
                  </c:pt>
                  <c:pt idx="12">
                    <c:v>56.186812753437501</c:v>
                  </c:pt>
                  <c:pt idx="13">
                    <c:v>56.703096133722767</c:v>
                  </c:pt>
                  <c:pt idx="14">
                    <c:v>56.513293976056836</c:v>
                  </c:pt>
                  <c:pt idx="15">
                    <c:v>56.148607255972252</c:v>
                  </c:pt>
                  <c:pt idx="16">
                    <c:v>56.677530603800506</c:v>
                  </c:pt>
                  <c:pt idx="17">
                    <c:v>57.488269299152499</c:v>
                  </c:pt>
                  <c:pt idx="18">
                    <c:v>97.308112217026121</c:v>
                  </c:pt>
                  <c:pt idx="19">
                    <c:v>79.535686019809461</c:v>
                  </c:pt>
                  <c:pt idx="20">
                    <c:v>153.32090547367386</c:v>
                  </c:pt>
                  <c:pt idx="21">
                    <c:v>82.327845950463598</c:v>
                  </c:pt>
                  <c:pt idx="22">
                    <c:v>106.93766011955695</c:v>
                  </c:pt>
                  <c:pt idx="23">
                    <c:v>92.06880709811918</c:v>
                  </c:pt>
                  <c:pt idx="24">
                    <c:v>56.424306483142999</c:v>
                  </c:pt>
                  <c:pt idx="25">
                    <c:v>56.838652387619064</c:v>
                  </c:pt>
                  <c:pt idx="26">
                    <c:v>66.348118575355215</c:v>
                  </c:pt>
                  <c:pt idx="27">
                    <c:v>100.32924124749836</c:v>
                  </c:pt>
                  <c:pt idx="28">
                    <c:v>104.4191804121605</c:v>
                  </c:pt>
                  <c:pt idx="29">
                    <c:v>108.94501089713094</c:v>
                  </c:pt>
                  <c:pt idx="30">
                    <c:v>79.392289127343176</c:v>
                  </c:pt>
                </c:numCache>
              </c:numRef>
            </c:plus>
            <c:minus>
              <c:numRef>
                <c:f>'SDZ L-H'!$J$12:$J$42</c:f>
                <c:numCache>
                  <c:formatCode>General</c:formatCode>
                  <c:ptCount val="31"/>
                  <c:pt idx="0">
                    <c:v>56.157451094888913</c:v>
                  </c:pt>
                  <c:pt idx="1">
                    <c:v>56.145449318836867</c:v>
                  </c:pt>
                  <c:pt idx="2">
                    <c:v>56.175511351648623</c:v>
                  </c:pt>
                  <c:pt idx="3">
                    <c:v>56.141690094181598</c:v>
                  </c:pt>
                  <c:pt idx="4">
                    <c:v>56.210836842798976</c:v>
                  </c:pt>
                  <c:pt idx="5">
                    <c:v>56.229409287069416</c:v>
                  </c:pt>
                  <c:pt idx="6">
                    <c:v>56.146716490558418</c:v>
                  </c:pt>
                  <c:pt idx="7">
                    <c:v>56.16351805635194</c:v>
                  </c:pt>
                  <c:pt idx="8">
                    <c:v>56.853074938341919</c:v>
                  </c:pt>
                  <c:pt idx="9">
                    <c:v>56.471993127627925</c:v>
                  </c:pt>
                  <c:pt idx="10">
                    <c:v>56.190769529415128</c:v>
                  </c:pt>
                  <c:pt idx="11">
                    <c:v>56.139811374773004</c:v>
                  </c:pt>
                  <c:pt idx="12">
                    <c:v>56.186812753437501</c:v>
                  </c:pt>
                  <c:pt idx="13">
                    <c:v>56.703096133722767</c:v>
                  </c:pt>
                  <c:pt idx="14">
                    <c:v>56.513293976056836</c:v>
                  </c:pt>
                  <c:pt idx="15">
                    <c:v>56.148607255972252</c:v>
                  </c:pt>
                  <c:pt idx="16">
                    <c:v>56.677530603800506</c:v>
                  </c:pt>
                  <c:pt idx="17">
                    <c:v>57.488269299152499</c:v>
                  </c:pt>
                  <c:pt idx="18">
                    <c:v>97.308112217026121</c:v>
                  </c:pt>
                  <c:pt idx="19">
                    <c:v>79.535686019809461</c:v>
                  </c:pt>
                  <c:pt idx="20">
                    <c:v>153.32090547367386</c:v>
                  </c:pt>
                  <c:pt idx="21">
                    <c:v>82.327845950463598</c:v>
                  </c:pt>
                  <c:pt idx="22">
                    <c:v>106.93766011955695</c:v>
                  </c:pt>
                  <c:pt idx="23">
                    <c:v>92.06880709811918</c:v>
                  </c:pt>
                  <c:pt idx="24">
                    <c:v>56.424306483142999</c:v>
                  </c:pt>
                  <c:pt idx="25">
                    <c:v>56.838652387619064</c:v>
                  </c:pt>
                  <c:pt idx="26">
                    <c:v>66.348118575355215</c:v>
                  </c:pt>
                  <c:pt idx="27">
                    <c:v>100.32924124749836</c:v>
                  </c:pt>
                  <c:pt idx="28">
                    <c:v>104.4191804121605</c:v>
                  </c:pt>
                  <c:pt idx="29">
                    <c:v>108.94501089713094</c:v>
                  </c:pt>
                  <c:pt idx="30">
                    <c:v>79.392289127343176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'SDZ L-H'!$B$12:$B$42</c:f>
              <c:numCache>
                <c:formatCode>0.00</c:formatCode>
                <c:ptCount val="31"/>
                <c:pt idx="0">
                  <c:v>428.82267040157706</c:v>
                </c:pt>
                <c:pt idx="1">
                  <c:v>413.82267040157706</c:v>
                </c:pt>
                <c:pt idx="2">
                  <c:v>398.82267040157706</c:v>
                </c:pt>
                <c:pt idx="3">
                  <c:v>383.82267040157706</c:v>
                </c:pt>
                <c:pt idx="4">
                  <c:v>368.82267040157706</c:v>
                </c:pt>
                <c:pt idx="5">
                  <c:v>353.82267040157706</c:v>
                </c:pt>
                <c:pt idx="6">
                  <c:v>348.64621397751932</c:v>
                </c:pt>
                <c:pt idx="7">
                  <c:v>338.82267040157706</c:v>
                </c:pt>
                <c:pt idx="8">
                  <c:v>318.64621397751932</c:v>
                </c:pt>
                <c:pt idx="9">
                  <c:v>288.64621397751932</c:v>
                </c:pt>
                <c:pt idx="10">
                  <c:v>273.64621397751932</c:v>
                </c:pt>
                <c:pt idx="11">
                  <c:v>258.64621397751932</c:v>
                </c:pt>
                <c:pt idx="12">
                  <c:v>243.64621397751935</c:v>
                </c:pt>
                <c:pt idx="13">
                  <c:v>228.64621397751935</c:v>
                </c:pt>
                <c:pt idx="14">
                  <c:v>213.64621397751935</c:v>
                </c:pt>
                <c:pt idx="15">
                  <c:v>198.64621397751935</c:v>
                </c:pt>
                <c:pt idx="16">
                  <c:v>186.30991099002722</c:v>
                </c:pt>
                <c:pt idx="17">
                  <c:v>171.30991099002722</c:v>
                </c:pt>
                <c:pt idx="18">
                  <c:v>156.30991099002722</c:v>
                </c:pt>
                <c:pt idx="19">
                  <c:v>141.30991099002722</c:v>
                </c:pt>
                <c:pt idx="20">
                  <c:v>126.30991099002721</c:v>
                </c:pt>
                <c:pt idx="21" formatCode="General">
                  <c:v>120</c:v>
                </c:pt>
                <c:pt idx="22">
                  <c:v>111.30991099002721</c:v>
                </c:pt>
                <c:pt idx="23">
                  <c:v>96.309910990027205</c:v>
                </c:pt>
                <c:pt idx="24" formatCode="General">
                  <c:v>90</c:v>
                </c:pt>
                <c:pt idx="25" formatCode="General">
                  <c:v>75</c:v>
                </c:pt>
                <c:pt idx="26" formatCode="General">
                  <c:v>60</c:v>
                </c:pt>
                <c:pt idx="27" formatCode="General">
                  <c:v>45</c:v>
                </c:pt>
                <c:pt idx="28" formatCode="General">
                  <c:v>30</c:v>
                </c:pt>
                <c:pt idx="29" formatCode="General">
                  <c:v>15</c:v>
                </c:pt>
                <c:pt idx="30" formatCode="General">
                  <c:v>0</c:v>
                </c:pt>
              </c:numCache>
            </c:numRef>
          </c:xVal>
          <c:yVal>
            <c:numRef>
              <c:f>'SDZ L-H'!$D$12:$D$42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1.8616579211427589E-305</c:v>
                </c:pt>
                <c:pt idx="13">
                  <c:v>1.6336670466694277E-286</c:v>
                </c:pt>
                <c:pt idx="14">
                  <c:v>1.4335974343424778E-267</c:v>
                </c:pt>
                <c:pt idx="15">
                  <c:v>1.2580296627415775E-248</c:v>
                </c:pt>
                <c:pt idx="16">
                  <c:v>4.7754418228239671E-233</c:v>
                </c:pt>
                <c:pt idx="17">
                  <c:v>4.1906098057185735E-214</c:v>
                </c:pt>
                <c:pt idx="18">
                  <c:v>3.6774001642848617E-195</c:v>
                </c:pt>
                <c:pt idx="19">
                  <c:v>3.2270415512862793E-176</c:v>
                </c:pt>
                <c:pt idx="20">
                  <c:v>2.8318368163650486E-157</c:v>
                </c:pt>
                <c:pt idx="21">
                  <c:v>2.6348469692544612E-149</c:v>
                </c:pt>
                <c:pt idx="22">
                  <c:v>2.4850314528251528E-138</c:v>
                </c:pt>
                <c:pt idx="23">
                  <c:v>2.1806981552902547E-119</c:v>
                </c:pt>
                <c:pt idx="24">
                  <c:v>2.0290031869495143E-111</c:v>
                </c:pt>
                <c:pt idx="25">
                  <c:v>1.7805181104764762E-92</c:v>
                </c:pt>
                <c:pt idx="26">
                  <c:v>1.5624641509316682E-73</c:v>
                </c:pt>
                <c:pt idx="27">
                  <c:v>1.3711145135689657E-54</c:v>
                </c:pt>
                <c:pt idx="28">
                  <c:v>1.2031988114405225E-35</c:v>
                </c:pt>
                <c:pt idx="29">
                  <c:v>1.055847170695921E-16</c:v>
                </c:pt>
                <c:pt idx="30">
                  <c:v>926.54118111360003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141F-1142-B816-412395659918}"/>
            </c:ext>
          </c:extLst>
        </c:ser>
        <c:ser>
          <c:idx val="7"/>
          <c:order val="5"/>
          <c:tx>
            <c:v>SDZ</c:v>
          </c:tx>
          <c:spPr>
            <a:ln w="95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0"/>
            <c:val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Ref>
              <c:f>'SDZ L-H'!$B$12:$B$42</c:f>
              <c:numCache>
                <c:formatCode>0.00</c:formatCode>
                <c:ptCount val="31"/>
                <c:pt idx="0">
                  <c:v>428.82267040157706</c:v>
                </c:pt>
                <c:pt idx="1">
                  <c:v>413.82267040157706</c:v>
                </c:pt>
                <c:pt idx="2">
                  <c:v>398.82267040157706</c:v>
                </c:pt>
                <c:pt idx="3">
                  <c:v>383.82267040157706</c:v>
                </c:pt>
                <c:pt idx="4">
                  <c:v>368.82267040157706</c:v>
                </c:pt>
                <c:pt idx="5">
                  <c:v>353.82267040157706</c:v>
                </c:pt>
                <c:pt idx="6">
                  <c:v>348.64621397751932</c:v>
                </c:pt>
                <c:pt idx="7">
                  <c:v>338.82267040157706</c:v>
                </c:pt>
                <c:pt idx="8">
                  <c:v>318.64621397751932</c:v>
                </c:pt>
                <c:pt idx="9">
                  <c:v>288.64621397751932</c:v>
                </c:pt>
                <c:pt idx="10">
                  <c:v>273.64621397751932</c:v>
                </c:pt>
                <c:pt idx="11">
                  <c:v>258.64621397751932</c:v>
                </c:pt>
                <c:pt idx="12">
                  <c:v>243.64621397751935</c:v>
                </c:pt>
                <c:pt idx="13">
                  <c:v>228.64621397751935</c:v>
                </c:pt>
                <c:pt idx="14">
                  <c:v>213.64621397751935</c:v>
                </c:pt>
                <c:pt idx="15">
                  <c:v>198.64621397751935</c:v>
                </c:pt>
                <c:pt idx="16">
                  <c:v>186.30991099002722</c:v>
                </c:pt>
                <c:pt idx="17">
                  <c:v>171.30991099002722</c:v>
                </c:pt>
                <c:pt idx="18">
                  <c:v>156.30991099002722</c:v>
                </c:pt>
                <c:pt idx="19">
                  <c:v>141.30991099002722</c:v>
                </c:pt>
                <c:pt idx="20">
                  <c:v>126.30991099002721</c:v>
                </c:pt>
                <c:pt idx="21" formatCode="General">
                  <c:v>120</c:v>
                </c:pt>
                <c:pt idx="22">
                  <c:v>111.30991099002721</c:v>
                </c:pt>
                <c:pt idx="23">
                  <c:v>96.309910990027205</c:v>
                </c:pt>
                <c:pt idx="24" formatCode="General">
                  <c:v>90</c:v>
                </c:pt>
                <c:pt idx="25" formatCode="General">
                  <c:v>75</c:v>
                </c:pt>
                <c:pt idx="26" formatCode="General">
                  <c:v>60</c:v>
                </c:pt>
                <c:pt idx="27" formatCode="General">
                  <c:v>45</c:v>
                </c:pt>
                <c:pt idx="28" formatCode="General">
                  <c:v>30</c:v>
                </c:pt>
                <c:pt idx="29" formatCode="General">
                  <c:v>15</c:v>
                </c:pt>
                <c:pt idx="30" formatCode="General">
                  <c:v>0</c:v>
                </c:pt>
              </c:numCache>
            </c:numRef>
          </c:xVal>
          <c:yVal>
            <c:numRef>
              <c:f>'SDZ L-H'!$E$12:$E$42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141F-1142-B816-412395659918}"/>
            </c:ext>
          </c:extLst>
        </c:ser>
        <c:ser>
          <c:idx val="0"/>
          <c:order val="6"/>
          <c:tx>
            <c:v>SMX</c:v>
          </c:tx>
          <c:spPr>
            <a:ln w="6350" cap="rnd">
              <a:noFill/>
              <a:round/>
            </a:ln>
            <a:effectLst/>
          </c:spPr>
          <c:marker>
            <c:symbol val="square"/>
            <c:size val="3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'SMX L-H'!$J$13:$J$46</c:f>
                <c:numCache>
                  <c:formatCode>General</c:formatCode>
                  <c:ptCount val="34"/>
                  <c:pt idx="0">
                    <c:v>23.880714642471428</c:v>
                  </c:pt>
                  <c:pt idx="1">
                    <c:v>23.898291841214185</c:v>
                  </c:pt>
                  <c:pt idx="2">
                    <c:v>23.880737073091758</c:v>
                  </c:pt>
                  <c:pt idx="3">
                    <c:v>23.931152501902773</c:v>
                  </c:pt>
                  <c:pt idx="4">
                    <c:v>23.887670580382739</c:v>
                  </c:pt>
                  <c:pt idx="5">
                    <c:v>23.952815876692547</c:v>
                  </c:pt>
                  <c:pt idx="6">
                    <c:v>23.883748336729813</c:v>
                  </c:pt>
                  <c:pt idx="7">
                    <c:v>23.879713575923233</c:v>
                  </c:pt>
                  <c:pt idx="8">
                    <c:v>23.901523779392775</c:v>
                  </c:pt>
                  <c:pt idx="9">
                    <c:v>23.890721456582359</c:v>
                  </c:pt>
                  <c:pt idx="10">
                    <c:v>23.879672097632103</c:v>
                  </c:pt>
                  <c:pt idx="11">
                    <c:v>24.008947948796209</c:v>
                  </c:pt>
                  <c:pt idx="12">
                    <c:v>23.99019144594163</c:v>
                  </c:pt>
                  <c:pt idx="13">
                    <c:v>24.030879627111997</c:v>
                  </c:pt>
                  <c:pt idx="14">
                    <c:v>23.918554893587164</c:v>
                  </c:pt>
                  <c:pt idx="15">
                    <c:v>23.891555944292005</c:v>
                  </c:pt>
                  <c:pt idx="16">
                    <c:v>25.077068026191462</c:v>
                  </c:pt>
                  <c:pt idx="17">
                    <c:v>27.498452817013472</c:v>
                  </c:pt>
                  <c:pt idx="18">
                    <c:v>27.913584827434256</c:v>
                  </c:pt>
                  <c:pt idx="19">
                    <c:v>35.966166609665549</c:v>
                  </c:pt>
                  <c:pt idx="20">
                    <c:v>36.648579674985761</c:v>
                  </c:pt>
                  <c:pt idx="21">
                    <c:v>38.745959568322448</c:v>
                  </c:pt>
                  <c:pt idx="22">
                    <c:v>37.037759395599053</c:v>
                  </c:pt>
                  <c:pt idx="23">
                    <c:v>26.198443720192348</c:v>
                  </c:pt>
                  <c:pt idx="24">
                    <c:v>25.233819006754327</c:v>
                  </c:pt>
                  <c:pt idx="25">
                    <c:v>35.208854604329765</c:v>
                  </c:pt>
                  <c:pt idx="26">
                    <c:v>38.018405627684444</c:v>
                  </c:pt>
                  <c:pt idx="27">
                    <c:v>53.298144370395946</c:v>
                  </c:pt>
                  <c:pt idx="28">
                    <c:v>34.401117915599798</c:v>
                  </c:pt>
                  <c:pt idx="29">
                    <c:v>32.937525758059884</c:v>
                  </c:pt>
                  <c:pt idx="30">
                    <c:v>33.36021362320686</c:v>
                  </c:pt>
                  <c:pt idx="31">
                    <c:v>49.368983463517196</c:v>
                  </c:pt>
                  <c:pt idx="32">
                    <c:v>29.617887730462243</c:v>
                  </c:pt>
                  <c:pt idx="33">
                    <c:v>33.770798907884576</c:v>
                  </c:pt>
                </c:numCache>
              </c:numRef>
            </c:plus>
            <c:minus>
              <c:numRef>
                <c:f>'SMX L-H'!$J$13:$J$46</c:f>
                <c:numCache>
                  <c:formatCode>General</c:formatCode>
                  <c:ptCount val="34"/>
                  <c:pt idx="0">
                    <c:v>23.880714642471428</c:v>
                  </c:pt>
                  <c:pt idx="1">
                    <c:v>23.898291841214185</c:v>
                  </c:pt>
                  <c:pt idx="2">
                    <c:v>23.880737073091758</c:v>
                  </c:pt>
                  <c:pt idx="3">
                    <c:v>23.931152501902773</c:v>
                  </c:pt>
                  <c:pt idx="4">
                    <c:v>23.887670580382739</c:v>
                  </c:pt>
                  <c:pt idx="5">
                    <c:v>23.952815876692547</c:v>
                  </c:pt>
                  <c:pt idx="6">
                    <c:v>23.883748336729813</c:v>
                  </c:pt>
                  <c:pt idx="7">
                    <c:v>23.879713575923233</c:v>
                  </c:pt>
                  <c:pt idx="8">
                    <c:v>23.901523779392775</c:v>
                  </c:pt>
                  <c:pt idx="9">
                    <c:v>23.890721456582359</c:v>
                  </c:pt>
                  <c:pt idx="10">
                    <c:v>23.879672097632103</c:v>
                  </c:pt>
                  <c:pt idx="11">
                    <c:v>24.008947948796209</c:v>
                  </c:pt>
                  <c:pt idx="12">
                    <c:v>23.99019144594163</c:v>
                  </c:pt>
                  <c:pt idx="13">
                    <c:v>24.030879627111997</c:v>
                  </c:pt>
                  <c:pt idx="14">
                    <c:v>23.918554893587164</c:v>
                  </c:pt>
                  <c:pt idx="15">
                    <c:v>23.891555944292005</c:v>
                  </c:pt>
                  <c:pt idx="16">
                    <c:v>25.077068026191462</c:v>
                  </c:pt>
                  <c:pt idx="17">
                    <c:v>27.498452817013472</c:v>
                  </c:pt>
                  <c:pt idx="18">
                    <c:v>27.913584827434256</c:v>
                  </c:pt>
                  <c:pt idx="19">
                    <c:v>35.966166609665549</c:v>
                  </c:pt>
                  <c:pt idx="20">
                    <c:v>36.648579674985761</c:v>
                  </c:pt>
                  <c:pt idx="21">
                    <c:v>38.745959568322448</c:v>
                  </c:pt>
                  <c:pt idx="22">
                    <c:v>37.037759395599053</c:v>
                  </c:pt>
                  <c:pt idx="23">
                    <c:v>26.198443720192348</c:v>
                  </c:pt>
                  <c:pt idx="24">
                    <c:v>25.233819006754327</c:v>
                  </c:pt>
                  <c:pt idx="25">
                    <c:v>35.208854604329765</c:v>
                  </c:pt>
                  <c:pt idx="26">
                    <c:v>38.018405627684444</c:v>
                  </c:pt>
                  <c:pt idx="27">
                    <c:v>53.298144370395946</c:v>
                  </c:pt>
                  <c:pt idx="28">
                    <c:v>34.401117915599798</c:v>
                  </c:pt>
                  <c:pt idx="29">
                    <c:v>32.937525758059884</c:v>
                  </c:pt>
                  <c:pt idx="30">
                    <c:v>33.36021362320686</c:v>
                  </c:pt>
                  <c:pt idx="31">
                    <c:v>49.368983463517196</c:v>
                  </c:pt>
                  <c:pt idx="32">
                    <c:v>29.617887730462243</c:v>
                  </c:pt>
                  <c:pt idx="33">
                    <c:v>33.770798907884576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'SMX L-H'!$B$13:$B$46</c:f>
              <c:numCache>
                <c:formatCode>0.00</c:formatCode>
                <c:ptCount val="34"/>
                <c:pt idx="0">
                  <c:v>989.28624414282581</c:v>
                </c:pt>
                <c:pt idx="1">
                  <c:v>974.28624414282581</c:v>
                </c:pt>
                <c:pt idx="2">
                  <c:v>959.28624414282581</c:v>
                </c:pt>
                <c:pt idx="3">
                  <c:v>944.28624414282581</c:v>
                </c:pt>
                <c:pt idx="4">
                  <c:v>929.28624414282581</c:v>
                </c:pt>
                <c:pt idx="5">
                  <c:v>917.60296318225096</c:v>
                </c:pt>
                <c:pt idx="6">
                  <c:v>914.28624414282581</c:v>
                </c:pt>
                <c:pt idx="7">
                  <c:v>899.28624414282581</c:v>
                </c:pt>
                <c:pt idx="8">
                  <c:v>887.60296318225096</c:v>
                </c:pt>
                <c:pt idx="9">
                  <c:v>857.60296318225096</c:v>
                </c:pt>
                <c:pt idx="10">
                  <c:v>842.60296318225096</c:v>
                </c:pt>
                <c:pt idx="11">
                  <c:v>827.60296318225096</c:v>
                </c:pt>
                <c:pt idx="12">
                  <c:v>812.60296318225096</c:v>
                </c:pt>
                <c:pt idx="13">
                  <c:v>797.60296318225096</c:v>
                </c:pt>
                <c:pt idx="14">
                  <c:v>782.60296318225096</c:v>
                </c:pt>
                <c:pt idx="15">
                  <c:v>767.60296318225096</c:v>
                </c:pt>
                <c:pt idx="16">
                  <c:v>336.13922523870258</c:v>
                </c:pt>
                <c:pt idx="17">
                  <c:v>306.13922523870258</c:v>
                </c:pt>
                <c:pt idx="18">
                  <c:v>276.13922523870258</c:v>
                </c:pt>
                <c:pt idx="19">
                  <c:v>261.13922523870258</c:v>
                </c:pt>
                <c:pt idx="20">
                  <c:v>246.13922523870261</c:v>
                </c:pt>
                <c:pt idx="21">
                  <c:v>231.13922523870261</c:v>
                </c:pt>
                <c:pt idx="22">
                  <c:v>216.13922523870261</c:v>
                </c:pt>
                <c:pt idx="23">
                  <c:v>201.13922523870261</c:v>
                </c:pt>
                <c:pt idx="24">
                  <c:v>186.13922523870261</c:v>
                </c:pt>
                <c:pt idx="25" formatCode="General">
                  <c:v>150</c:v>
                </c:pt>
                <c:pt idx="26" formatCode="General">
                  <c:v>120</c:v>
                </c:pt>
                <c:pt idx="27" formatCode="General">
                  <c:v>90</c:v>
                </c:pt>
                <c:pt idx="28" formatCode="General">
                  <c:v>75</c:v>
                </c:pt>
                <c:pt idx="29" formatCode="General">
                  <c:v>60</c:v>
                </c:pt>
                <c:pt idx="30" formatCode="General">
                  <c:v>45</c:v>
                </c:pt>
                <c:pt idx="31" formatCode="General">
                  <c:v>30</c:v>
                </c:pt>
                <c:pt idx="32" formatCode="General">
                  <c:v>15</c:v>
                </c:pt>
                <c:pt idx="33" formatCode="General">
                  <c:v>0</c:v>
                </c:pt>
              </c:numCache>
            </c:numRef>
          </c:xVal>
          <c:yVal>
            <c:numRef>
              <c:f>'SMX L-H'!$D$13:$D$46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3.1389438998489388E-160</c:v>
                </c:pt>
                <c:pt idx="17">
                  <c:v>9.9501332771016638E-146</c:v>
                </c:pt>
                <c:pt idx="18">
                  <c:v>3.1540911654026331E-131</c:v>
                </c:pt>
                <c:pt idx="19">
                  <c:v>5.615609679751598E-124</c:v>
                </c:pt>
                <c:pt idx="20">
                  <c:v>9.9981485700950731E-117</c:v>
                </c:pt>
                <c:pt idx="21">
                  <c:v>1.7800912194829743E-109</c:v>
                </c:pt>
                <c:pt idx="22">
                  <c:v>3.1693115254940156E-102</c:v>
                </c:pt>
                <c:pt idx="23">
                  <c:v>5.6427083262320835E-95</c:v>
                </c:pt>
                <c:pt idx="24">
                  <c:v>1.0046395565347845E-87</c:v>
                </c:pt>
                <c:pt idx="25">
                  <c:v>2.9550289285746148E-70</c:v>
                </c:pt>
                <c:pt idx="26">
                  <c:v>9.3671415020898252E-56</c:v>
                </c:pt>
                <c:pt idx="27">
                  <c:v>2.969288695339394E-41</c:v>
                </c:pt>
                <c:pt idx="28">
                  <c:v>5.286583508564051E-34</c:v>
                </c:pt>
                <c:pt idx="29">
                  <c:v>9.4123435140841055E-27</c:v>
                </c:pt>
                <c:pt idx="30">
                  <c:v>1.6757932657945524E-19</c:v>
                </c:pt>
                <c:pt idx="31">
                  <c:v>2.9836172739341836E-12</c:v>
                </c:pt>
                <c:pt idx="32">
                  <c:v>5.3120944086726079E-5</c:v>
                </c:pt>
                <c:pt idx="33">
                  <c:v>945.7763652588792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141F-1142-B816-412395659918}"/>
            </c:ext>
          </c:extLst>
        </c:ser>
        <c:ser>
          <c:idx val="1"/>
          <c:order val="7"/>
          <c:tx>
            <c:v>SMX</c:v>
          </c:tx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'SMX L-H'!$B$13:$B$46</c:f>
              <c:numCache>
                <c:formatCode>0.00</c:formatCode>
                <c:ptCount val="34"/>
                <c:pt idx="0">
                  <c:v>989.28624414282581</c:v>
                </c:pt>
                <c:pt idx="1">
                  <c:v>974.28624414282581</c:v>
                </c:pt>
                <c:pt idx="2">
                  <c:v>959.28624414282581</c:v>
                </c:pt>
                <c:pt idx="3">
                  <c:v>944.28624414282581</c:v>
                </c:pt>
                <c:pt idx="4">
                  <c:v>929.28624414282581</c:v>
                </c:pt>
                <c:pt idx="5">
                  <c:v>917.60296318225096</c:v>
                </c:pt>
                <c:pt idx="6">
                  <c:v>914.28624414282581</c:v>
                </c:pt>
                <c:pt idx="7">
                  <c:v>899.28624414282581</c:v>
                </c:pt>
                <c:pt idx="8">
                  <c:v>887.60296318225096</c:v>
                </c:pt>
                <c:pt idx="9">
                  <c:v>857.60296318225096</c:v>
                </c:pt>
                <c:pt idx="10">
                  <c:v>842.60296318225096</c:v>
                </c:pt>
                <c:pt idx="11">
                  <c:v>827.60296318225096</c:v>
                </c:pt>
                <c:pt idx="12">
                  <c:v>812.60296318225096</c:v>
                </c:pt>
                <c:pt idx="13">
                  <c:v>797.60296318225096</c:v>
                </c:pt>
                <c:pt idx="14">
                  <c:v>782.60296318225096</c:v>
                </c:pt>
                <c:pt idx="15">
                  <c:v>767.60296318225096</c:v>
                </c:pt>
                <c:pt idx="16">
                  <c:v>336.13922523870258</c:v>
                </c:pt>
                <c:pt idx="17">
                  <c:v>306.13922523870258</c:v>
                </c:pt>
                <c:pt idx="18">
                  <c:v>276.13922523870258</c:v>
                </c:pt>
                <c:pt idx="19">
                  <c:v>261.13922523870258</c:v>
                </c:pt>
                <c:pt idx="20">
                  <c:v>246.13922523870261</c:v>
                </c:pt>
                <c:pt idx="21">
                  <c:v>231.13922523870261</c:v>
                </c:pt>
                <c:pt idx="22">
                  <c:v>216.13922523870261</c:v>
                </c:pt>
                <c:pt idx="23">
                  <c:v>201.13922523870261</c:v>
                </c:pt>
                <c:pt idx="24">
                  <c:v>186.13922523870261</c:v>
                </c:pt>
                <c:pt idx="25" formatCode="General">
                  <c:v>150</c:v>
                </c:pt>
                <c:pt idx="26" formatCode="General">
                  <c:v>120</c:v>
                </c:pt>
                <c:pt idx="27" formatCode="General">
                  <c:v>90</c:v>
                </c:pt>
                <c:pt idx="28" formatCode="General">
                  <c:v>75</c:v>
                </c:pt>
                <c:pt idx="29" formatCode="General">
                  <c:v>60</c:v>
                </c:pt>
                <c:pt idx="30" formatCode="General">
                  <c:v>45</c:v>
                </c:pt>
                <c:pt idx="31" formatCode="General">
                  <c:v>30</c:v>
                </c:pt>
                <c:pt idx="32" formatCode="General">
                  <c:v>15</c:v>
                </c:pt>
                <c:pt idx="33" formatCode="General">
                  <c:v>0</c:v>
                </c:pt>
              </c:numCache>
            </c:numRef>
          </c:xVal>
          <c:yVal>
            <c:numRef>
              <c:f>'SMX L-H'!$E$13:$E$46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141F-1142-B816-412395659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12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200"/>
      </c:valAx>
      <c:valAx>
        <c:axId val="1320359279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 sz="1200"/>
                  <a:t>-ln(C</a:t>
                </a:r>
                <a:r>
                  <a:rPr lang="es-ES_tradnl" sz="1200" baseline="-25000"/>
                  <a:t>t</a:t>
                </a:r>
                <a:r>
                  <a:rPr lang="es-ES_tradnl" sz="1200" baseline="0"/>
                  <a:t>/C</a:t>
                </a:r>
                <a:r>
                  <a:rPr lang="es-ES_tradnl" sz="1200" baseline="-25000"/>
                  <a:t>0</a:t>
                </a:r>
                <a:r>
                  <a:rPr lang="es-ES_tradnl" sz="1200" baseline="0"/>
                  <a:t>)-k</a:t>
                </a:r>
                <a:r>
                  <a:rPr lang="es-ES_tradnl" sz="1200" baseline="-25000"/>
                  <a:t>2</a:t>
                </a:r>
                <a:r>
                  <a:rPr lang="es-ES_tradnl" sz="1200" baseline="0"/>
                  <a:t>·(</a:t>
                </a:r>
                <a:r>
                  <a:rPr lang="es-ES_tradnl" sz="1200" b="0" i="0" u="none" strike="noStrike" baseline="0">
                    <a:effectLst/>
                  </a:rPr>
                  <a:t>C</a:t>
                </a:r>
                <a:r>
                  <a:rPr lang="es-ES_tradnl" sz="1200" b="0" i="0" u="none" strike="noStrike" baseline="-25000">
                    <a:effectLst/>
                  </a:rPr>
                  <a:t>t</a:t>
                </a:r>
                <a:r>
                  <a:rPr lang="es-ES_tradnl" sz="1200" b="0" i="0" u="none" strike="noStrike" baseline="0">
                    <a:effectLst/>
                  </a:rPr>
                  <a:t>-C</a:t>
                </a:r>
                <a:r>
                  <a:rPr lang="es-ES_tradnl" sz="1200" b="0" i="0" u="none" strike="noStrike" baseline="-25000">
                    <a:effectLst/>
                  </a:rPr>
                  <a:t>0</a:t>
                </a:r>
                <a:r>
                  <a:rPr lang="es-ES_tradnl" sz="1200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42968123716756651"/>
          <c:y val="4.0385224857813207E-2"/>
          <c:w val="8.1250302447927122E-2"/>
          <c:h val="0.512389843625240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[1]Tetra!$I$4:$I$12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F1-714F-9FDC-26994952F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620-A84D-B38E-6CC7DAFC2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[1]Tetra!$E$4:$E$12</c:f>
              <c:numCache>
                <c:formatCode>General</c:formatCode>
                <c:ptCount val="9"/>
                <c:pt idx="0">
                  <c:v>-3.1981764992533361</c:v>
                </c:pt>
                <c:pt idx="8">
                  <c:v>-0.37814910257213175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90-2548-AF09-99F254D0D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5" Type="http://schemas.openxmlformats.org/officeDocument/2006/relationships/chart" Target="../charts/chart65.xml"/><Relationship Id="rId4" Type="http://schemas.microsoft.com/office/2007/relationships/hdphoto" Target="../media/hdphoto1.wdp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13" Type="http://schemas.openxmlformats.org/officeDocument/2006/relationships/chart" Target="../charts/chart33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12" Type="http://schemas.openxmlformats.org/officeDocument/2006/relationships/chart" Target="../charts/chart32.xml"/><Relationship Id="rId2" Type="http://schemas.openxmlformats.org/officeDocument/2006/relationships/chart" Target="../charts/chart22.xml"/><Relationship Id="rId16" Type="http://schemas.openxmlformats.org/officeDocument/2006/relationships/chart" Target="../charts/chart36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11" Type="http://schemas.openxmlformats.org/officeDocument/2006/relationships/chart" Target="../charts/chart31.xml"/><Relationship Id="rId5" Type="http://schemas.openxmlformats.org/officeDocument/2006/relationships/chart" Target="../charts/chart25.xml"/><Relationship Id="rId15" Type="http://schemas.openxmlformats.org/officeDocument/2006/relationships/chart" Target="../charts/chart35.xml"/><Relationship Id="rId10" Type="http://schemas.openxmlformats.org/officeDocument/2006/relationships/chart" Target="../charts/chart30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Relationship Id="rId14" Type="http://schemas.openxmlformats.org/officeDocument/2006/relationships/chart" Target="../charts/chart3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12" Type="http://schemas.openxmlformats.org/officeDocument/2006/relationships/chart" Target="../charts/chart48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11" Type="http://schemas.openxmlformats.org/officeDocument/2006/relationships/chart" Target="../charts/chart47.xml"/><Relationship Id="rId5" Type="http://schemas.openxmlformats.org/officeDocument/2006/relationships/chart" Target="../charts/chart41.xml"/><Relationship Id="rId10" Type="http://schemas.openxmlformats.org/officeDocument/2006/relationships/chart" Target="../charts/chart46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5" Type="http://schemas.openxmlformats.org/officeDocument/2006/relationships/chart" Target="../charts/chart59.xml"/><Relationship Id="rId4" Type="http://schemas.microsoft.com/office/2007/relationships/hdphoto" Target="../media/hdphoto1.wdp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5" Type="http://schemas.openxmlformats.org/officeDocument/2006/relationships/chart" Target="../charts/chart62.xml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77755</xdr:rowOff>
    </xdr:from>
    <xdr:to>
      <xdr:col>5</xdr:col>
      <xdr:colOff>0</xdr:colOff>
      <xdr:row>14</xdr:row>
      <xdr:rowOff>168471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</xdr:row>
      <xdr:rowOff>74083</xdr:rowOff>
    </xdr:from>
    <xdr:to>
      <xdr:col>5</xdr:col>
      <xdr:colOff>0</xdr:colOff>
      <xdr:row>14</xdr:row>
      <xdr:rowOff>164799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</xdr:row>
      <xdr:rowOff>77755</xdr:rowOff>
    </xdr:from>
    <xdr:to>
      <xdr:col>8</xdr:col>
      <xdr:colOff>0</xdr:colOff>
      <xdr:row>14</xdr:row>
      <xdr:rowOff>168471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1</xdr:row>
      <xdr:rowOff>74083</xdr:rowOff>
    </xdr:from>
    <xdr:to>
      <xdr:col>8</xdr:col>
      <xdr:colOff>0</xdr:colOff>
      <xdr:row>14</xdr:row>
      <xdr:rowOff>164799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24</xdr:col>
      <xdr:colOff>630900</xdr:colOff>
      <xdr:row>2</xdr:row>
      <xdr:rowOff>12700</xdr:rowOff>
    </xdr:from>
    <xdr:ext cx="415307" cy="15936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18906200" y="419100"/>
              <a:ext cx="415307" cy="1593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𝛿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CACF870-6F0E-454B-A7EB-EE6FA0EF38A9}"/>
                </a:ext>
              </a:extLst>
            </xdr:cNvPr>
            <xdr:cNvSpPr txBox="1"/>
          </xdr:nvSpPr>
          <xdr:spPr>
            <a:xfrm>
              <a:off x="18906200" y="419100"/>
              <a:ext cx="415307" cy="1593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Fallback>
    </mc:AlternateContent>
    <xdr:clientData/>
  </xdr:oneCellAnchor>
  <xdr:oneCellAnchor>
    <xdr:from>
      <xdr:col>26</xdr:col>
      <xdr:colOff>495300</xdr:colOff>
      <xdr:row>2</xdr:row>
      <xdr:rowOff>25400</xdr:rowOff>
    </xdr:from>
    <xdr:ext cx="774700" cy="1761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20523200" y="4318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𝛿</m:t>
                      </m:r>
                      <m:r>
                        <m:rPr>
                          <m:sty m:val="p"/>
                        </m:rPr>
                        <a:rPr lang="es-ES" sz="1100" b="0" i="0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ln</m:t>
                      </m:r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⁡(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1940CF39-D9D1-C543-9747-CD696BE032D9}"/>
                </a:ext>
              </a:extLst>
            </xdr:cNvPr>
            <xdr:cNvSpPr txBox="1"/>
          </xdr:nvSpPr>
          <xdr:spPr>
            <a:xfrm>
              <a:off x="20523200" y="4318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ln⁡(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Fallback>
    </mc:AlternateContent>
    <xdr:clientData/>
  </xdr:oneCellAnchor>
  <xdr:twoCellAnchor>
    <xdr:from>
      <xdr:col>5</xdr:col>
      <xdr:colOff>0</xdr:colOff>
      <xdr:row>1</xdr:row>
      <xdr:rowOff>77755</xdr:rowOff>
    </xdr:from>
    <xdr:to>
      <xdr:col>5</xdr:col>
      <xdr:colOff>0</xdr:colOff>
      <xdr:row>14</xdr:row>
      <xdr:rowOff>168471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1</xdr:row>
      <xdr:rowOff>74083</xdr:rowOff>
    </xdr:from>
    <xdr:to>
      <xdr:col>5</xdr:col>
      <xdr:colOff>0</xdr:colOff>
      <xdr:row>14</xdr:row>
      <xdr:rowOff>164799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1</xdr:row>
      <xdr:rowOff>77755</xdr:rowOff>
    </xdr:from>
    <xdr:to>
      <xdr:col>8</xdr:col>
      <xdr:colOff>0</xdr:colOff>
      <xdr:row>14</xdr:row>
      <xdr:rowOff>168471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1</xdr:row>
      <xdr:rowOff>74083</xdr:rowOff>
    </xdr:from>
    <xdr:to>
      <xdr:col>8</xdr:col>
      <xdr:colOff>0</xdr:colOff>
      <xdr:row>14</xdr:row>
      <xdr:rowOff>164799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30</xdr:col>
      <xdr:colOff>571500</xdr:colOff>
      <xdr:row>1</xdr:row>
      <xdr:rowOff>197873</xdr:rowOff>
    </xdr:from>
    <xdr:ext cx="1081548" cy="191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/>
          </xdr:nvSpPr>
          <xdr:spPr>
            <a:xfrm>
              <a:off x="22567900" y="197873"/>
              <a:ext cx="1081548" cy="191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𝛿</m:t>
                    </m:r>
                    <m:d>
                      <m:dPr>
                        <m:ctrlPr>
                          <a:rPr lang="es-ES" sz="11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10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𝑘</m:t>
                            </m:r>
                          </m:e>
                          <m:sub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·</m:t>
                        </m:r>
                        <m:d>
                          <m:d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acc>
                                  <m:accPr>
                                    <m:chr m:val="̅"/>
                                    <m:ctrlP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</m:acc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𝑡</m:t>
                                </m:r>
                              </m:sub>
                            </m:sSub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acc>
                                  <m:accPr>
                                    <m:chr m:val="̅"/>
                                    <m:ctrlP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</m:acc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0</m:t>
                                </m:r>
                              </m:sub>
                            </m:sSub>
                          </m:e>
                        </m:d>
                      </m:e>
                    </m:d>
                  </m:oMath>
                </m:oMathPara>
              </a14:m>
              <a:endParaRPr lang="es-ES" sz="11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FFD5B0DA-C287-784A-85E4-2BB53C8112E4}"/>
                </a:ext>
              </a:extLst>
            </xdr:cNvPr>
            <xdr:cNvSpPr txBox="1"/>
          </xdr:nvSpPr>
          <xdr:spPr>
            <a:xfrm>
              <a:off x="22567900" y="197873"/>
              <a:ext cx="1081548" cy="191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𝛿(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𝑘_2·(𝐶 ̅_𝑡−𝐶 ̅_0 ))</a:t>
              </a:r>
              <a:endParaRPr lang="es-ES" sz="11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28</xdr:col>
      <xdr:colOff>486286</xdr:colOff>
      <xdr:row>2</xdr:row>
      <xdr:rowOff>17206</xdr:rowOff>
    </xdr:from>
    <xdr:ext cx="1081548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/>
          </xdr:nvSpPr>
          <xdr:spPr>
            <a:xfrm>
              <a:off x="20425286" y="220406"/>
              <a:ext cx="1081548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𝛿</m:t>
                    </m:r>
                    <m:d>
                      <m:dPr>
                        <m:ctrlP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acc>
                              <m:accPr>
                                <m:chr m:val="̅"/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accPr>
                              <m:e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</m:acc>
                          </m:e>
                          <m:sub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</m:sub>
                        </m:sSub>
                        <m: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acc>
                              <m:accPr>
                                <m:chr m:val="̅"/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accPr>
                              <m:e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</m:acc>
                          </m:e>
                          <m:sub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</m:e>
                    </m:d>
                  </m:oMath>
                </m:oMathPara>
              </a14:m>
              <a:endParaRPr lang="es-ES" sz="11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2BE93419-DEC6-4A47-B178-3E247BD21AA7}"/>
                </a:ext>
              </a:extLst>
            </xdr:cNvPr>
            <xdr:cNvSpPr txBox="1"/>
          </xdr:nvSpPr>
          <xdr:spPr>
            <a:xfrm>
              <a:off x="20425286" y="220406"/>
              <a:ext cx="1081548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(𝐶 ̅_𝑡−𝐶 ̅_0 )</a:t>
              </a:r>
              <a:endParaRPr lang="es-ES" sz="11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32</xdr:col>
      <xdr:colOff>900881</xdr:colOff>
      <xdr:row>1</xdr:row>
      <xdr:rowOff>38100</xdr:rowOff>
    </xdr:from>
    <xdr:ext cx="2027904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>
              <a:off x="25107081" y="241300"/>
              <a:ext cx="2027904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𝛿</m:t>
                    </m:r>
                    <m:d>
                      <m:dPr>
                        <m:ctrlPr>
                          <a:rPr lang="es-ES" sz="11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𝑙𝑛</m:t>
                        </m:r>
                        <m:d>
                          <m:d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type m:val="skw"/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acc>
                                      <m:accPr>
                                        <m:chr m:val="̅"/>
                                        <m:ctrlPr>
                                          <a:rPr lang="es-ES" sz="11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</m:ctrlPr>
                                      </m:accPr>
                                      <m:e>
                                        <m:r>
                                          <a:rPr lang="es-ES" sz="11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𝐶</m:t>
                                        </m:r>
                                      </m:e>
                                    </m:acc>
                                  </m:e>
                                  <m:sub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𝑡</m:t>
                                    </m:r>
                                  </m:sub>
                                </m:sSub>
                              </m:num>
                              <m:den>
                                <m:sSub>
                                  <m:sSubPr>
                                    <m:ctrlP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acc>
                                      <m:accPr>
                                        <m:chr m:val="̅"/>
                                        <m:ctrlPr>
                                          <a:rPr lang="es-ES" sz="11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</m:ctrlPr>
                                      </m:accPr>
                                      <m:e>
                                        <m:r>
                                          <a:rPr lang="es-ES" sz="11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𝐶</m:t>
                                        </m:r>
                                      </m:e>
                                    </m:acc>
                                  </m:e>
                                  <m:sub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0</m:t>
                                    </m:r>
                                  </m:sub>
                                </m:sSub>
                              </m:den>
                            </m:f>
                          </m:e>
                        </m:d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𝑘</m:t>
                            </m:r>
                          </m:e>
                          <m:sub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·</m:t>
                        </m:r>
                        <m:d>
                          <m:d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acc>
                                  <m:accPr>
                                    <m:chr m:val="̅"/>
                                    <m:ctrlP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</m:acc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𝑡</m:t>
                                </m:r>
                              </m:sub>
                            </m:sSub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acc>
                                  <m:accPr>
                                    <m:chr m:val="̅"/>
                                    <m:ctrlP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</m:acc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0</m:t>
                                </m:r>
                              </m:sub>
                            </m:sSub>
                          </m:e>
                        </m:d>
                      </m:e>
                    </m:d>
                  </m:oMath>
                </m:oMathPara>
              </a14:m>
              <a:endParaRPr lang="es-ES" sz="11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504A9BFE-0806-0141-A55C-D4E5D6E0FAAB}"/>
                </a:ext>
              </a:extLst>
            </xdr:cNvPr>
            <xdr:cNvSpPr txBox="1"/>
          </xdr:nvSpPr>
          <xdr:spPr>
            <a:xfrm>
              <a:off x="25107081" y="241300"/>
              <a:ext cx="2027904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𝛿(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−𝑙𝑛(𝐶 ̅_𝑡⁄𝐶 ̅_0 )−𝑘_2·(𝐶 ̅_𝑡−𝐶 ̅_0 ))</a:t>
              </a:r>
              <a:endParaRPr lang="es-ES" sz="11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twoCellAnchor>
    <xdr:from>
      <xdr:col>5</xdr:col>
      <xdr:colOff>0</xdr:colOff>
      <xdr:row>1</xdr:row>
      <xdr:rowOff>77755</xdr:rowOff>
    </xdr:from>
    <xdr:to>
      <xdr:col>5</xdr:col>
      <xdr:colOff>0</xdr:colOff>
      <xdr:row>14</xdr:row>
      <xdr:rowOff>168471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0</xdr:colOff>
      <xdr:row>1</xdr:row>
      <xdr:rowOff>74083</xdr:rowOff>
    </xdr:from>
    <xdr:to>
      <xdr:col>5</xdr:col>
      <xdr:colOff>0</xdr:colOff>
      <xdr:row>14</xdr:row>
      <xdr:rowOff>164799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0</xdr:colOff>
      <xdr:row>1</xdr:row>
      <xdr:rowOff>77755</xdr:rowOff>
    </xdr:from>
    <xdr:to>
      <xdr:col>8</xdr:col>
      <xdr:colOff>0</xdr:colOff>
      <xdr:row>14</xdr:row>
      <xdr:rowOff>168471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0</xdr:colOff>
      <xdr:row>1</xdr:row>
      <xdr:rowOff>74083</xdr:rowOff>
    </xdr:from>
    <xdr:to>
      <xdr:col>8</xdr:col>
      <xdr:colOff>0</xdr:colOff>
      <xdr:row>14</xdr:row>
      <xdr:rowOff>164799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0</xdr:colOff>
      <xdr:row>1</xdr:row>
      <xdr:rowOff>77755</xdr:rowOff>
    </xdr:from>
    <xdr:to>
      <xdr:col>5</xdr:col>
      <xdr:colOff>0</xdr:colOff>
      <xdr:row>14</xdr:row>
      <xdr:rowOff>168471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0</xdr:colOff>
      <xdr:row>1</xdr:row>
      <xdr:rowOff>74083</xdr:rowOff>
    </xdr:from>
    <xdr:to>
      <xdr:col>5</xdr:col>
      <xdr:colOff>0</xdr:colOff>
      <xdr:row>14</xdr:row>
      <xdr:rowOff>164799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0</xdr:colOff>
      <xdr:row>1</xdr:row>
      <xdr:rowOff>77755</xdr:rowOff>
    </xdr:from>
    <xdr:to>
      <xdr:col>8</xdr:col>
      <xdr:colOff>0</xdr:colOff>
      <xdr:row>14</xdr:row>
      <xdr:rowOff>168471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0</xdr:colOff>
      <xdr:row>1</xdr:row>
      <xdr:rowOff>74083</xdr:rowOff>
    </xdr:from>
    <xdr:to>
      <xdr:col>8</xdr:col>
      <xdr:colOff>0</xdr:colOff>
      <xdr:row>14</xdr:row>
      <xdr:rowOff>164799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0</xdr:colOff>
      <xdr:row>1</xdr:row>
      <xdr:rowOff>77755</xdr:rowOff>
    </xdr:from>
    <xdr:to>
      <xdr:col>5</xdr:col>
      <xdr:colOff>0</xdr:colOff>
      <xdr:row>14</xdr:row>
      <xdr:rowOff>168471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0</xdr:colOff>
      <xdr:row>1</xdr:row>
      <xdr:rowOff>74083</xdr:rowOff>
    </xdr:from>
    <xdr:to>
      <xdr:col>5</xdr:col>
      <xdr:colOff>0</xdr:colOff>
      <xdr:row>14</xdr:row>
      <xdr:rowOff>164799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0</xdr:colOff>
      <xdr:row>1</xdr:row>
      <xdr:rowOff>77755</xdr:rowOff>
    </xdr:from>
    <xdr:to>
      <xdr:col>8</xdr:col>
      <xdr:colOff>0</xdr:colOff>
      <xdr:row>14</xdr:row>
      <xdr:rowOff>168471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0</xdr:colOff>
      <xdr:row>1</xdr:row>
      <xdr:rowOff>74083</xdr:rowOff>
    </xdr:from>
    <xdr:to>
      <xdr:col>8</xdr:col>
      <xdr:colOff>0</xdr:colOff>
      <xdr:row>14</xdr:row>
      <xdr:rowOff>164799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0.6734</cdr:x>
      <cdr:y>0.40471</cdr:y>
    </cdr:from>
    <cdr:to>
      <cdr:x>0.76349</cdr:x>
      <cdr:y>0.4632</cdr:y>
    </cdr:to>
    <cdr:sp macro="" textlink="">
      <cdr:nvSpPr>
        <cdr:cNvPr id="2" name="CuadroTexto 6">
          <a:extLst xmlns:a="http://schemas.openxmlformats.org/drawingml/2006/main">
            <a:ext uri="{FF2B5EF4-FFF2-40B4-BE49-F238E27FC236}">
              <a16:creationId xmlns:a16="http://schemas.microsoft.com/office/drawing/2014/main" id="{E5056421-A2A5-A645-BF09-3B6C0A01FD8A}"/>
            </a:ext>
          </a:extLst>
        </cdr:cNvPr>
        <cdr:cNvSpPr txBox="1"/>
      </cdr:nvSpPr>
      <cdr:spPr>
        <a:xfrm xmlns:a="http://schemas.openxmlformats.org/drawingml/2006/main">
          <a:off x="4704310" y="1830509"/>
          <a:ext cx="62933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/>
            <a:t>R</a:t>
          </a:r>
          <a:r>
            <a:rPr lang="es-ES" sz="1100" baseline="30000"/>
            <a:t>2</a:t>
          </a:r>
          <a:r>
            <a:rPr lang="es-ES" sz="1100"/>
            <a:t>=0.98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758371</xdr:colOff>
      <xdr:row>38</xdr:row>
      <xdr:rowOff>170996</xdr:rowOff>
    </xdr:from>
    <xdr:ext cx="3108325" cy="6127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:cNvPr>
            <xdr:cNvSpPr txBox="1"/>
          </xdr:nvSpPr>
          <xdr:spPr>
            <a:xfrm>
              <a:off x="758371" y="7783376"/>
              <a:ext cx="3108325" cy="612775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𝑙𝑛</m:t>
                    </m:r>
                    <m:d>
                      <m:dPr>
                        <m:ctrlP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ES" sz="16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s-ES" sz="16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ES" sz="16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es-ES" sz="16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𝑡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es-ES" sz="16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ES" sz="16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es-ES" sz="16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0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sSub>
                      <m:sSubPr>
                        <m:ctrlP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</m:t>
                        </m:r>
                      </m:e>
                      <m:sub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d>
                      <m:dPr>
                        <m:ctrlP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6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6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6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</m:sub>
                        </m:sSub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6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6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6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</m:e>
                    </m:d>
                    <m:r>
                      <a:rPr lang="es-ES" sz="20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</m:t>
                        </m:r>
                      </m:e>
                      <m:sub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𝑡</m:t>
                    </m:r>
                  </m:oMath>
                </m:oMathPara>
              </a14:m>
              <a:endParaRPr lang="es-ES" sz="2000" b="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8E00D21-99E2-9B48-BAF4-3D2B559FB89A}"/>
                </a:ext>
              </a:extLst>
            </xdr:cNvPr>
            <xdr:cNvSpPr txBox="1"/>
          </xdr:nvSpPr>
          <xdr:spPr>
            <a:xfrm>
              <a:off x="758371" y="7783376"/>
              <a:ext cx="3108325" cy="612775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−𝑙𝑛(𝐶_𝑡/𝐶_0 )−𝑘_2·(𝐶_𝑡−𝐶_0 )</a:t>
              </a:r>
              <a:r>
                <a:rPr lang="es-ES" sz="2000" b="0" i="0">
                  <a:latin typeface="Cambria Math" panose="02040503050406030204" pitchFamily="18" charset="0"/>
                </a:rPr>
                <a:t>=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𝑘_1·𝑡</a:t>
              </a:r>
              <a:endParaRPr lang="es-ES" sz="2000" b="0"/>
            </a:p>
          </xdr:txBody>
        </xdr:sp>
      </mc:Fallback>
    </mc:AlternateContent>
    <xdr:clientData/>
  </xdr:oneCellAnchor>
  <xdr:twoCellAnchor>
    <xdr:from>
      <xdr:col>13</xdr:col>
      <xdr:colOff>38101</xdr:colOff>
      <xdr:row>10</xdr:row>
      <xdr:rowOff>25854</xdr:rowOff>
    </xdr:from>
    <xdr:to>
      <xdr:col>21</xdr:col>
      <xdr:colOff>514351</xdr:colOff>
      <xdr:row>30</xdr:row>
      <xdr:rowOff>85726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10886</xdr:colOff>
      <xdr:row>44</xdr:row>
      <xdr:rowOff>163286</xdr:rowOff>
    </xdr:from>
    <xdr:ext cx="3108325" cy="4463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0000000-0008-0000-0600-000004000000}"/>
                </a:ext>
              </a:extLst>
            </xdr:cNvPr>
            <xdr:cNvSpPr txBox="1"/>
          </xdr:nvSpPr>
          <xdr:spPr>
            <a:xfrm>
              <a:off x="9154886" y="8964386"/>
              <a:ext cx="3108325" cy="446314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s-ES" sz="16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𝑙𝑛</m:t>
                  </m:r>
                  <m:d>
                    <m:dPr>
                      <m:ctrlPr>
                        <a:rPr lang="es-ES" sz="16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f>
                        <m:fPr>
                          <m:ctrlPr>
                            <a:rPr lang="es-ES" sz="16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sSub>
                            <m:sSubPr>
                              <m:ctrlPr>
                                <a:rPr lang="es-ES" sz="16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s-ES" sz="16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𝐶</m:t>
                              </m:r>
                            </m:e>
                            <m:sub>
                              <m:r>
                                <a:rPr lang="es-ES" sz="16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𝑡</m:t>
                              </m:r>
                            </m:sub>
                          </m:sSub>
                        </m:num>
                        <m:den>
                          <m:sSub>
                            <m:sSubPr>
                              <m:ctrlPr>
                                <a:rPr lang="es-ES" sz="16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s-ES" sz="16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𝐶</m:t>
                              </m:r>
                            </m:e>
                            <m:sub>
                              <m:r>
                                <a:rPr lang="es-ES" sz="16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sub>
                          </m:sSub>
                        </m:den>
                      </m:f>
                    </m:e>
                  </m:d>
                  <m:r>
                    <a:rPr lang="es-ES" sz="16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+</m:t>
                  </m:r>
                  <m:sSub>
                    <m:sSubPr>
                      <m:ctrlPr>
                        <a:rPr lang="es-ES" sz="16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s-ES" sz="16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𝑘</m:t>
                      </m:r>
                    </m:e>
                    <m:sub>
                      <m:r>
                        <a:rPr lang="es-ES" sz="16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2</m:t>
                      </m:r>
                    </m:sub>
                  </m:sSub>
                  <m:r>
                    <a:rPr lang="es-ES" sz="16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·</m:t>
                  </m:r>
                  <m:d>
                    <m:dPr>
                      <m:ctrlPr>
                        <a:rPr lang="es-ES" sz="16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lang="es-ES" sz="16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s-ES" sz="16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𝐶</m:t>
                          </m:r>
                        </m:e>
                        <m:sub>
                          <m:r>
                            <a:rPr lang="es-ES" sz="16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𝑡</m:t>
                          </m:r>
                        </m:sub>
                      </m:sSub>
                      <m:r>
                        <a:rPr lang="es-ES" sz="16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sSub>
                        <m:sSubPr>
                          <m:ctrlPr>
                            <a:rPr lang="es-ES" sz="16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s-ES" sz="16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𝐶</m:t>
                          </m:r>
                        </m:e>
                        <m:sub>
                          <m:r>
                            <a:rPr lang="es-ES" sz="16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0</m:t>
                          </m:r>
                        </m:sub>
                      </m:sSub>
                    </m:e>
                  </m:d>
                  <m:r>
                    <a:rPr lang="es-ES" sz="2000" b="0" i="1">
                      <a:latin typeface="Cambria Math" panose="02040503050406030204" pitchFamily="18" charset="0"/>
                    </a:rPr>
                    <m:t>+</m:t>
                  </m:r>
                  <m:sSub>
                    <m:sSubPr>
                      <m:ctrlPr>
                        <a:rPr lang="es-ES" sz="16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s-ES" sz="16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𝑘</m:t>
                      </m:r>
                    </m:e>
                    <m:sub>
                      <m:r>
                        <a:rPr lang="es-ES" sz="16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</m:t>
                      </m:r>
                    </m:sub>
                  </m:sSub>
                  <m:r>
                    <a:rPr lang="es-ES" sz="16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·</m:t>
                  </m:r>
                  <m:r>
                    <a:rPr lang="es-ES" sz="16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𝑡</m:t>
                  </m:r>
                </m:oMath>
              </a14:m>
              <a:r>
                <a:rPr lang="es-ES" sz="2000" b="0"/>
                <a:t>=0</a:t>
              </a:r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8DF4DA42-F01B-6B4B-9E0F-92557D30C021}"/>
                </a:ext>
              </a:extLst>
            </xdr:cNvPr>
            <xdr:cNvSpPr txBox="1"/>
          </xdr:nvSpPr>
          <xdr:spPr>
            <a:xfrm>
              <a:off x="9154886" y="8964386"/>
              <a:ext cx="3108325" cy="446314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𝑙𝑛(𝐶_𝑡/𝐶_0 )+𝑘_2·(𝐶_𝑡−𝐶_0 )</a:t>
              </a:r>
              <a:r>
                <a:rPr lang="es-ES" sz="2000" b="0" i="0">
                  <a:latin typeface="Cambria Math" panose="02040503050406030204" pitchFamily="18" charset="0"/>
                </a:rPr>
                <a:t>+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𝑘_1·𝑡</a:t>
              </a:r>
              <a:r>
                <a:rPr lang="es-ES" sz="2000" b="0"/>
                <a:t>=0</a:t>
              </a:r>
            </a:p>
          </xdr:txBody>
        </xdr:sp>
      </mc:Fallback>
    </mc:AlternateContent>
    <xdr:clientData/>
  </xdr:oneCellAnchor>
  <xdr:twoCellAnchor>
    <xdr:from>
      <xdr:col>11</xdr:col>
      <xdr:colOff>326572</xdr:colOff>
      <xdr:row>50</xdr:row>
      <xdr:rowOff>174171</xdr:rowOff>
    </xdr:from>
    <xdr:to>
      <xdr:col>20</xdr:col>
      <xdr:colOff>283030</xdr:colOff>
      <xdr:row>73</xdr:row>
      <xdr:rowOff>96610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</xdr:col>
      <xdr:colOff>337457</xdr:colOff>
      <xdr:row>3</xdr:row>
      <xdr:rowOff>21770</xdr:rowOff>
    </xdr:from>
    <xdr:ext cx="2558143" cy="5116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0000000-0008-0000-0600-000006000000}"/>
                </a:ext>
              </a:extLst>
            </xdr:cNvPr>
            <xdr:cNvSpPr txBox="1"/>
          </xdr:nvSpPr>
          <xdr:spPr>
            <a:xfrm>
              <a:off x="1907177" y="684710"/>
              <a:ext cx="2558143" cy="5116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b="0" i="1">
                        <a:latin typeface="Cambria Math" panose="02040503050406030204" pitchFamily="18" charset="0"/>
                      </a:rPr>
                      <m:t>−</m:t>
                    </m:r>
                    <m:f>
                      <m:fPr>
                        <m:ctrlPr>
                          <a:rPr lang="es-ES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𝑑𝐶</m:t>
                        </m:r>
                      </m:num>
                      <m:den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𝑑𝑡</m:t>
                        </m:r>
                      </m:den>
                    </m:f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𝑟</m:t>
                        </m:r>
                      </m:sub>
                    </m:sSub>
                    <m:f>
                      <m:fPr>
                        <m:ctrlPr>
                          <a:rPr lang="es-ES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ES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𝑘</m:t>
                            </m:r>
                          </m:e>
                          <m:sub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·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𝐶</m:t>
                        </m:r>
                      </m:num>
                      <m:den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1+</m:t>
                        </m:r>
                        <m:sSub>
                          <m:sSubPr>
                            <m:ctrlP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·</m:t>
                        </m:r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den>
                    </m:f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·</m:t>
                        </m:r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num>
                      <m:den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1+</m:t>
                        </m:r>
                        <m:sSub>
                          <m:sSubPr>
                            <m:ctrlP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·</m:t>
                        </m:r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den>
                    </m:f>
                  </m:oMath>
                </m:oMathPara>
              </a14:m>
              <a:endParaRPr lang="es-ES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F5CB5BFF-4F51-6C47-9F36-C4E07DDD6DCA}"/>
                </a:ext>
              </a:extLst>
            </xdr:cNvPr>
            <xdr:cNvSpPr txBox="1"/>
          </xdr:nvSpPr>
          <xdr:spPr>
            <a:xfrm>
              <a:off x="1907177" y="684710"/>
              <a:ext cx="2558143" cy="5116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ES" sz="1400" b="0" i="0">
                  <a:latin typeface="Cambria Math" panose="02040503050406030204" pitchFamily="18" charset="0"/>
                </a:rPr>
                <a:t>−𝑑𝐶/𝑑𝑡=𝑘_𝑟  (𝑘_2·𝐶)/(1+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𝑘_2·𝐶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(𝑘_1·𝐶)/(1+𝑘_2·𝐶)</a:t>
              </a:r>
              <a:endParaRPr lang="es-ES" sz="1400"/>
            </a:p>
          </xdr:txBody>
        </xdr:sp>
      </mc:Fallback>
    </mc:AlternateContent>
    <xdr:clientData/>
  </xdr:oneCellAnchor>
  <xdr:oneCellAnchor>
    <xdr:from>
      <xdr:col>7</xdr:col>
      <xdr:colOff>163286</xdr:colOff>
      <xdr:row>3</xdr:row>
      <xdr:rowOff>10886</xdr:rowOff>
    </xdr:from>
    <xdr:ext cx="2460171" cy="5116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0000000-0008-0000-0600-000007000000}"/>
                </a:ext>
              </a:extLst>
            </xdr:cNvPr>
            <xdr:cNvSpPr txBox="1"/>
          </xdr:nvSpPr>
          <xdr:spPr>
            <a:xfrm>
              <a:off x="5908766" y="673826"/>
              <a:ext cx="2460171" cy="5116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b="0" i="1">
                        <a:latin typeface="Cambria Math" panose="02040503050406030204" pitchFamily="18" charset="0"/>
                      </a:rPr>
                      <m:t>−</m:t>
                    </m:r>
                    <m:func>
                      <m:funcPr>
                        <m:ctrlPr>
                          <a:rPr lang="es-ES" sz="1400" b="0" i="1">
                            <a:latin typeface="Cambria Math" panose="02040503050406030204" pitchFamily="18" charset="0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es-ES" sz="1400" b="0" i="0">
                            <a:latin typeface="Cambria Math" panose="02040503050406030204" pitchFamily="18" charset="0"/>
                          </a:rPr>
                          <m:t>ln</m:t>
                        </m:r>
                      </m:fName>
                      <m:e>
                        <m:d>
                          <m:dPr>
                            <m:ctrlPr>
                              <a:rPr lang="es-ES" sz="14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s-ES" sz="14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es-ES" sz="14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" sz="1400" b="0" i="1">
                                        <a:latin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  <m:sub>
                                    <m:r>
                                      <a:rPr lang="es-ES" sz="1400" b="0" i="1">
                                        <a:latin typeface="Cambria Math" panose="02040503050406030204" pitchFamily="18" charset="0"/>
                                      </a:rPr>
                                      <m:t>𝑡</m:t>
                                    </m:r>
                                  </m:sub>
                                </m:sSub>
                              </m:num>
                              <m:den>
                                <m:sSub>
                                  <m:sSubPr>
                                    <m:ctrlPr>
                                      <a:rPr lang="es-ES" sz="14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" sz="1400" b="0" i="1">
                                        <a:latin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  <m:sub>
                                    <m:r>
                                      <a:rPr lang="es-ES" sz="1400" b="0" i="1">
                                        <a:latin typeface="Cambria Math" panose="02040503050406030204" pitchFamily="18" charset="0"/>
                                      </a:rPr>
                                      <m:t>0</m:t>
                                    </m:r>
                                  </m:sub>
                                </m:sSub>
                              </m:den>
                            </m:f>
                          </m:e>
                        </m:d>
                      </m:e>
                    </m:func>
                    <m:r>
                      <a:rPr lang="es-ES" sz="14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</m:t>
                        </m:r>
                      </m:e>
                      <m:sub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d>
                      <m:dPr>
                        <m:ctrlP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</m:sub>
                        </m:sSub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</m:e>
                    </m:d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</m:t>
                        </m:r>
                      </m:e>
                      <m:sub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𝑡</m:t>
                    </m:r>
                  </m:oMath>
                </m:oMathPara>
              </a14:m>
              <a:endParaRPr lang="es-ES" sz="140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4FF03DC4-26F4-784D-9533-925B9355824A}"/>
                </a:ext>
              </a:extLst>
            </xdr:cNvPr>
            <xdr:cNvSpPr txBox="1"/>
          </xdr:nvSpPr>
          <xdr:spPr>
            <a:xfrm>
              <a:off x="5908766" y="673826"/>
              <a:ext cx="2460171" cy="5116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ES" sz="1400" b="0" i="0">
                  <a:latin typeface="Cambria Math" panose="02040503050406030204" pitchFamily="18" charset="0"/>
                </a:rPr>
                <a:t>−ln⁡(𝐶_𝑡/𝐶_0 )−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𝑘_2·(𝐶_𝑡−𝐶_0 )=𝑘_1·𝑡</a:t>
              </a:r>
              <a:endParaRPr lang="es-ES" sz="1400"/>
            </a:p>
          </xdr:txBody>
        </xdr:sp>
      </mc:Fallback>
    </mc:AlternateContent>
    <xdr:clientData/>
  </xdr:oneCellAnchor>
  <xdr:twoCellAnchor editAs="oneCell">
    <xdr:from>
      <xdr:col>20</xdr:col>
      <xdr:colOff>152400</xdr:colOff>
      <xdr:row>50</xdr:row>
      <xdr:rowOff>148120</xdr:rowOff>
    </xdr:from>
    <xdr:to>
      <xdr:col>26</xdr:col>
      <xdr:colOff>507775</xdr:colOff>
      <xdr:row>78</xdr:row>
      <xdr:rowOff>141061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60140" y="10137940"/>
          <a:ext cx="5110255" cy="5113581"/>
        </a:xfrm>
        <a:prstGeom prst="rect">
          <a:avLst/>
        </a:prstGeom>
      </xdr:spPr>
    </xdr:pic>
    <xdr:clientData/>
  </xdr:twoCellAnchor>
  <xdr:twoCellAnchor>
    <xdr:from>
      <xdr:col>14</xdr:col>
      <xdr:colOff>400050</xdr:colOff>
      <xdr:row>30</xdr:row>
      <xdr:rowOff>95250</xdr:rowOff>
    </xdr:from>
    <xdr:to>
      <xdr:col>19</xdr:col>
      <xdr:colOff>342900</xdr:colOff>
      <xdr:row>42</xdr:row>
      <xdr:rowOff>183697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0.43546</cdr:x>
      <cdr:y>0.07498</cdr:y>
    </cdr:from>
    <cdr:to>
      <cdr:x>0.56262</cdr:x>
      <cdr:y>0.22497</cdr:y>
    </cdr:to>
    <cdr:sp macro="" textlink="">
      <cdr:nvSpPr>
        <cdr:cNvPr id="2" name="CuadroTexto 6">
          <a:extLst xmlns:a="http://schemas.openxmlformats.org/drawingml/2006/main">
            <a:ext uri="{FF2B5EF4-FFF2-40B4-BE49-F238E27FC236}">
              <a16:creationId xmlns:a16="http://schemas.microsoft.com/office/drawing/2014/main" id="{E5056421-A2A5-A645-BF09-3B6C0A01FD8A}"/>
            </a:ext>
          </a:extLst>
        </cdr:cNvPr>
        <cdr:cNvSpPr txBox="1"/>
      </cdr:nvSpPr>
      <cdr:spPr>
        <a:xfrm xmlns:a="http://schemas.openxmlformats.org/drawingml/2006/main">
          <a:off x="2928316" y="304447"/>
          <a:ext cx="855106" cy="60901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/>
            <a:t>k1=0.0379</a:t>
          </a:r>
        </a:p>
        <a:p xmlns:a="http://schemas.openxmlformats.org/drawingml/2006/main">
          <a:r>
            <a:rPr lang="es-ES" sz="1100"/>
            <a:t>k2=0.00252</a:t>
          </a:r>
        </a:p>
        <a:p xmlns:a="http://schemas.openxmlformats.org/drawingml/2006/main">
          <a:r>
            <a:rPr lang="es-ES" sz="1100"/>
            <a:t>R</a:t>
          </a:r>
          <a:r>
            <a:rPr lang="es-ES" sz="1100" baseline="30000"/>
            <a:t>2</a:t>
          </a:r>
          <a:r>
            <a:rPr lang="es-ES" sz="1100"/>
            <a:t>=0.972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0.6734</cdr:x>
      <cdr:y>0.40471</cdr:y>
    </cdr:from>
    <cdr:to>
      <cdr:x>0.75393</cdr:x>
      <cdr:y>0.46118</cdr:y>
    </cdr:to>
    <cdr:sp macro="" textlink="">
      <cdr:nvSpPr>
        <cdr:cNvPr id="2" name="CuadroTexto 6">
          <a:extLst xmlns:a="http://schemas.openxmlformats.org/drawingml/2006/main">
            <a:ext uri="{FF2B5EF4-FFF2-40B4-BE49-F238E27FC236}">
              <a16:creationId xmlns:a16="http://schemas.microsoft.com/office/drawing/2014/main" id="{E5056421-A2A5-A645-BF09-3B6C0A01FD8A}"/>
            </a:ext>
          </a:extLst>
        </cdr:cNvPr>
        <cdr:cNvSpPr txBox="1"/>
      </cdr:nvSpPr>
      <cdr:spPr>
        <a:xfrm xmlns:a="http://schemas.openxmlformats.org/drawingml/2006/main">
          <a:off x="5262340" y="1896042"/>
          <a:ext cx="62933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/>
            <a:t>R</a:t>
          </a:r>
          <a:r>
            <a:rPr lang="es-ES" sz="1100" baseline="30000"/>
            <a:t>2</a:t>
          </a:r>
          <a:r>
            <a:rPr lang="es-ES" sz="1100"/>
            <a:t>=0.98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</xdr:row>
      <xdr:rowOff>190500</xdr:rowOff>
    </xdr:from>
    <xdr:to>
      <xdr:col>16</xdr:col>
      <xdr:colOff>257175</xdr:colOff>
      <xdr:row>22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337457</xdr:colOff>
      <xdr:row>0</xdr:row>
      <xdr:rowOff>0</xdr:rowOff>
    </xdr:from>
    <xdr:ext cx="2558143" cy="5116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0000000-0008-0000-0700-000006000000}"/>
                </a:ext>
              </a:extLst>
            </xdr:cNvPr>
            <xdr:cNvSpPr txBox="1"/>
          </xdr:nvSpPr>
          <xdr:spPr>
            <a:xfrm>
              <a:off x="1905000" y="685799"/>
              <a:ext cx="2558143" cy="5116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b="0" i="1">
                        <a:latin typeface="Cambria Math" panose="02040503050406030204" pitchFamily="18" charset="0"/>
                      </a:rPr>
                      <m:t>−</m:t>
                    </m:r>
                    <m:f>
                      <m:fPr>
                        <m:ctrlPr>
                          <a:rPr lang="es-ES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𝑑𝐶</m:t>
                        </m:r>
                      </m:num>
                      <m:den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𝑑𝑡</m:t>
                        </m:r>
                      </m:den>
                    </m:f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𝑟</m:t>
                        </m:r>
                      </m:sub>
                    </m:sSub>
                    <m:f>
                      <m:fPr>
                        <m:ctrlPr>
                          <a:rPr lang="es-ES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ES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𝑘</m:t>
                            </m:r>
                          </m:e>
                          <m:sub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·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𝐶</m:t>
                        </m:r>
                      </m:num>
                      <m:den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1+</m:t>
                        </m:r>
                        <m:sSub>
                          <m:sSubPr>
                            <m:ctrlP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·</m:t>
                        </m:r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den>
                    </m:f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·</m:t>
                        </m:r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num>
                      <m:den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1+</m:t>
                        </m:r>
                        <m:sSub>
                          <m:sSubPr>
                            <m:ctrlP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·</m:t>
                        </m:r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den>
                    </m:f>
                  </m:oMath>
                </m:oMathPara>
              </a14:m>
              <a:endParaRPr lang="es-ES" sz="1400"/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1905000" y="685799"/>
              <a:ext cx="2558143" cy="5116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ES" sz="1400" b="0" i="0">
                  <a:latin typeface="Cambria Math" panose="02040503050406030204" pitchFamily="18" charset="0"/>
                </a:rPr>
                <a:t>−𝑑𝐶/𝑑𝑡=𝑘_𝑟  (𝑘_2·𝐶)/(1+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𝑘_2·𝐶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(𝑘_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·𝐶)/(1+𝑘_2·𝐶)</a:t>
              </a:r>
              <a:endParaRPr lang="es-ES" sz="1400"/>
            </a:p>
          </xdr:txBody>
        </xdr:sp>
      </mc:Fallback>
    </mc:AlternateContent>
    <xdr:clientData/>
  </xdr:oneCellAnchor>
  <xdr:oneCellAnchor>
    <xdr:from>
      <xdr:col>7</xdr:col>
      <xdr:colOff>163286</xdr:colOff>
      <xdr:row>0</xdr:row>
      <xdr:rowOff>0</xdr:rowOff>
    </xdr:from>
    <xdr:ext cx="2460171" cy="5116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0000000-0008-0000-0700-000007000000}"/>
                </a:ext>
              </a:extLst>
            </xdr:cNvPr>
            <xdr:cNvSpPr txBox="1"/>
          </xdr:nvSpPr>
          <xdr:spPr>
            <a:xfrm>
              <a:off x="5910943" y="674915"/>
              <a:ext cx="2460171" cy="5116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b="0" i="1">
                        <a:latin typeface="Cambria Math" panose="02040503050406030204" pitchFamily="18" charset="0"/>
                      </a:rPr>
                      <m:t>−</m:t>
                    </m:r>
                    <m:func>
                      <m:funcPr>
                        <m:ctrlPr>
                          <a:rPr lang="es-ES" sz="1400" b="0" i="1">
                            <a:latin typeface="Cambria Math" panose="02040503050406030204" pitchFamily="18" charset="0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es-ES" sz="1400" b="0" i="0">
                            <a:latin typeface="Cambria Math" panose="02040503050406030204" pitchFamily="18" charset="0"/>
                          </a:rPr>
                          <m:t>ln</m:t>
                        </m:r>
                      </m:fName>
                      <m:e>
                        <m:d>
                          <m:dPr>
                            <m:ctrlPr>
                              <a:rPr lang="es-ES" sz="14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s-ES" sz="14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es-ES" sz="14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" sz="1400" b="0" i="1">
                                        <a:latin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  <m:sub>
                                    <m:r>
                                      <a:rPr lang="es-ES" sz="1400" b="0" i="1">
                                        <a:latin typeface="Cambria Math" panose="02040503050406030204" pitchFamily="18" charset="0"/>
                                      </a:rPr>
                                      <m:t>𝑡</m:t>
                                    </m:r>
                                  </m:sub>
                                </m:sSub>
                              </m:num>
                              <m:den>
                                <m:sSub>
                                  <m:sSubPr>
                                    <m:ctrlPr>
                                      <a:rPr lang="es-ES" sz="14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" sz="1400" b="0" i="1">
                                        <a:latin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  <m:sub>
                                    <m:r>
                                      <a:rPr lang="es-ES" sz="1400" b="0" i="1">
                                        <a:latin typeface="Cambria Math" panose="02040503050406030204" pitchFamily="18" charset="0"/>
                                      </a:rPr>
                                      <m:t>0</m:t>
                                    </m:r>
                                  </m:sub>
                                </m:sSub>
                              </m:den>
                            </m:f>
                          </m:e>
                        </m:d>
                      </m:e>
                    </m:func>
                    <m:r>
                      <a:rPr lang="es-ES" sz="14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</m:t>
                        </m:r>
                      </m:e>
                      <m:sub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d>
                      <m:dPr>
                        <m:ctrlP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</m:sub>
                        </m:sSub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</m:e>
                    </m:d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</m:t>
                        </m:r>
                      </m:e>
                      <m:sub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𝑡</m:t>
                    </m:r>
                  </m:oMath>
                </m:oMathPara>
              </a14:m>
              <a:endParaRPr lang="es-ES" sz="1400"/>
            </a:p>
          </xdr:txBody>
        </xdr:sp>
      </mc:Choice>
      <mc:Fallback xmlns="">
        <xdr:sp macro="" textlink="">
          <xdr:nvSpPr>
            <xdr:cNvPr id="7" name="CuadroTexto 6"/>
            <xdr:cNvSpPr txBox="1"/>
          </xdr:nvSpPr>
          <xdr:spPr>
            <a:xfrm>
              <a:off x="5910943" y="674915"/>
              <a:ext cx="2460171" cy="5116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ES" sz="1400" b="0" i="0">
                  <a:latin typeface="Cambria Math" panose="02040503050406030204" pitchFamily="18" charset="0"/>
                </a:rPr>
                <a:t>−ln⁡(𝐶_𝑡/𝐶_0 )−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𝑘_2·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𝐶_𝑡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−𝐶_0 )=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𝑘_1·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</a:t>
              </a:r>
              <a:endParaRPr lang="es-ES" sz="1400"/>
            </a:p>
          </xdr:txBody>
        </xdr:sp>
      </mc:Fallback>
    </mc:AlternateContent>
    <xdr:clientData/>
  </xdr:one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0.46688</cdr:x>
      <cdr:y>0.11008</cdr:y>
    </cdr:from>
    <cdr:to>
      <cdr:x>0.58489</cdr:x>
      <cdr:y>0.23637</cdr:y>
    </cdr:to>
    <cdr:sp macro="" textlink="">
      <cdr:nvSpPr>
        <cdr:cNvPr id="2" name="CuadroTexto 6">
          <a:extLst xmlns:a="http://schemas.openxmlformats.org/drawingml/2006/main">
            <a:ext uri="{FF2B5EF4-FFF2-40B4-BE49-F238E27FC236}">
              <a16:creationId xmlns:a16="http://schemas.microsoft.com/office/drawing/2014/main" id="{E5056421-A2A5-A645-BF09-3B6C0A01FD8A}"/>
            </a:ext>
          </a:extLst>
        </cdr:cNvPr>
        <cdr:cNvSpPr txBox="1"/>
      </cdr:nvSpPr>
      <cdr:spPr>
        <a:xfrm xmlns:a="http://schemas.openxmlformats.org/drawingml/2006/main">
          <a:off x="3382921" y="530847"/>
          <a:ext cx="855106" cy="60901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/>
            <a:t>k1=0.0284</a:t>
          </a:r>
        </a:p>
        <a:p xmlns:a="http://schemas.openxmlformats.org/drawingml/2006/main">
          <a:r>
            <a:rPr lang="es-ES" sz="1100"/>
            <a:t>k2=0.00255</a:t>
          </a:r>
        </a:p>
        <a:p xmlns:a="http://schemas.openxmlformats.org/drawingml/2006/main">
          <a:r>
            <a:rPr lang="es-ES" sz="1100"/>
            <a:t>R</a:t>
          </a:r>
          <a:r>
            <a:rPr lang="es-ES" sz="1100" baseline="30000"/>
            <a:t>2</a:t>
          </a:r>
          <a:r>
            <a:rPr lang="es-ES" sz="1100"/>
            <a:t>=0.98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330200</xdr:colOff>
      <xdr:row>1</xdr:row>
      <xdr:rowOff>63500</xdr:rowOff>
    </xdr:from>
    <xdr:to>
      <xdr:col>7</xdr:col>
      <xdr:colOff>596900</xdr:colOff>
      <xdr:row>21</xdr:row>
      <xdr:rowOff>152400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749300</xdr:colOff>
      <xdr:row>1</xdr:row>
      <xdr:rowOff>12700</xdr:rowOff>
    </xdr:from>
    <xdr:to>
      <xdr:col>16</xdr:col>
      <xdr:colOff>552450</xdr:colOff>
      <xdr:row>22</xdr:row>
      <xdr:rowOff>82550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433365B-4454-DA42-A323-62A3A713D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0.502</cdr:x>
      <cdr:y>0.0196</cdr:y>
    </cdr:from>
    <cdr:to>
      <cdr:x>0.62001</cdr:x>
      <cdr:y>0.14589</cdr:y>
    </cdr:to>
    <cdr:sp macro="" textlink="">
      <cdr:nvSpPr>
        <cdr:cNvPr id="2" name="CuadroTexto 6">
          <a:extLst xmlns:a="http://schemas.openxmlformats.org/drawingml/2006/main">
            <a:ext uri="{FF2B5EF4-FFF2-40B4-BE49-F238E27FC236}">
              <a16:creationId xmlns:a16="http://schemas.microsoft.com/office/drawing/2014/main" id="{E5056421-A2A5-A645-BF09-3B6C0A01FD8A}"/>
            </a:ext>
          </a:extLst>
        </cdr:cNvPr>
        <cdr:cNvSpPr txBox="1"/>
      </cdr:nvSpPr>
      <cdr:spPr>
        <a:xfrm xmlns:a="http://schemas.openxmlformats.org/drawingml/2006/main">
          <a:off x="3630780" y="79764"/>
          <a:ext cx="853525" cy="51404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/>
            <a:t>k1=0.0284</a:t>
          </a:r>
        </a:p>
        <a:p xmlns:a="http://schemas.openxmlformats.org/drawingml/2006/main">
          <a:r>
            <a:rPr lang="es-ES" sz="1100"/>
            <a:t>k2=0.00255</a:t>
          </a:r>
        </a:p>
        <a:p xmlns:a="http://schemas.openxmlformats.org/drawingml/2006/main">
          <a:r>
            <a:rPr lang="es-ES" sz="1100"/>
            <a:t>R</a:t>
          </a:r>
          <a:r>
            <a:rPr lang="es-ES" sz="1100" baseline="30000"/>
            <a:t>2</a:t>
          </a:r>
          <a:r>
            <a:rPr lang="es-ES" sz="1100"/>
            <a:t>=0.98</a:t>
          </a:r>
        </a:p>
      </cdr:txBody>
    </cdr:sp>
  </cdr:relSizeAnchor>
  <cdr:relSizeAnchor xmlns:cdr="http://schemas.openxmlformats.org/drawingml/2006/chartDrawing">
    <cdr:from>
      <cdr:x>0.50219</cdr:x>
      <cdr:y>0.14986</cdr:y>
    </cdr:from>
    <cdr:to>
      <cdr:x>0.62935</cdr:x>
      <cdr:y>0.29985</cdr:y>
    </cdr:to>
    <cdr:sp macro="" textlink="">
      <cdr:nvSpPr>
        <cdr:cNvPr id="3" name="CuadroTexto 6">
          <a:extLst xmlns:a="http://schemas.openxmlformats.org/drawingml/2006/main">
            <a:ext uri="{FF2B5EF4-FFF2-40B4-BE49-F238E27FC236}">
              <a16:creationId xmlns:a16="http://schemas.microsoft.com/office/drawing/2014/main" id="{E5056421-A2A5-A645-BF09-3B6C0A01FD8A}"/>
            </a:ext>
          </a:extLst>
        </cdr:cNvPr>
        <cdr:cNvSpPr txBox="1"/>
      </cdr:nvSpPr>
      <cdr:spPr>
        <a:xfrm xmlns:a="http://schemas.openxmlformats.org/drawingml/2006/main">
          <a:off x="3632130" y="609995"/>
          <a:ext cx="919704" cy="61051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/>
            <a:t>k1=0.0379</a:t>
          </a:r>
        </a:p>
        <a:p xmlns:a="http://schemas.openxmlformats.org/drawingml/2006/main">
          <a:r>
            <a:rPr lang="es-ES" sz="1100"/>
            <a:t>k2=0.00252</a:t>
          </a:r>
        </a:p>
        <a:p xmlns:a="http://schemas.openxmlformats.org/drawingml/2006/main">
          <a:r>
            <a:rPr lang="es-ES" sz="1100"/>
            <a:t>R</a:t>
          </a:r>
          <a:r>
            <a:rPr lang="es-ES" sz="1100" baseline="30000"/>
            <a:t>2</a:t>
          </a:r>
          <a:r>
            <a:rPr lang="es-ES" sz="1100"/>
            <a:t>=0.972</a:t>
          </a:r>
        </a:p>
      </cdr:txBody>
    </cdr:sp>
  </cdr:relSizeAnchor>
  <cdr:relSizeAnchor xmlns:cdr="http://schemas.openxmlformats.org/drawingml/2006/chartDrawing">
    <cdr:from>
      <cdr:x>0.50219</cdr:x>
      <cdr:y>0.28091</cdr:y>
    </cdr:from>
    <cdr:to>
      <cdr:x>0.63034</cdr:x>
      <cdr:y>0.4072</cdr:y>
    </cdr:to>
    <cdr:sp macro="" textlink="">
      <cdr:nvSpPr>
        <cdr:cNvPr id="4" name="CuadroTexto 6">
          <a:extLst xmlns:a="http://schemas.openxmlformats.org/drawingml/2006/main">
            <a:ext uri="{FF2B5EF4-FFF2-40B4-BE49-F238E27FC236}">
              <a16:creationId xmlns:a16="http://schemas.microsoft.com/office/drawing/2014/main" id="{E5056421-A2A5-A645-BF09-3B6C0A01FD8A}"/>
            </a:ext>
          </a:extLst>
        </cdr:cNvPr>
        <cdr:cNvSpPr txBox="1"/>
      </cdr:nvSpPr>
      <cdr:spPr>
        <a:xfrm xmlns:a="http://schemas.openxmlformats.org/drawingml/2006/main">
          <a:off x="3632130" y="1143395"/>
          <a:ext cx="926864" cy="51404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/>
            <a:t>k1=0.0141</a:t>
          </a:r>
        </a:p>
        <a:p xmlns:a="http://schemas.openxmlformats.org/drawingml/2006/main">
          <a:r>
            <a:rPr lang="es-ES" sz="1100"/>
            <a:t>k2=0.000713</a:t>
          </a:r>
        </a:p>
        <a:p xmlns:a="http://schemas.openxmlformats.org/drawingml/2006/main">
          <a:r>
            <a:rPr lang="es-ES" sz="1100"/>
            <a:t>R</a:t>
          </a:r>
          <a:r>
            <a:rPr lang="es-ES" sz="1100" baseline="30000"/>
            <a:t>2</a:t>
          </a:r>
          <a:r>
            <a:rPr lang="es-ES" sz="1100"/>
            <a:t>=0.98</a:t>
          </a:r>
        </a:p>
      </cdr:txBody>
    </cdr:sp>
  </cdr:relSizeAnchor>
  <cdr:relSizeAnchor xmlns:cdr="http://schemas.openxmlformats.org/drawingml/2006/chartDrawing">
    <cdr:from>
      <cdr:x>0.5057</cdr:x>
      <cdr:y>0.41195</cdr:y>
    </cdr:from>
    <cdr:to>
      <cdr:x>0.61162</cdr:x>
      <cdr:y>0.53676</cdr:y>
    </cdr:to>
    <cdr:sp macro="" textlink="">
      <cdr:nvSpPr>
        <cdr:cNvPr id="5" name="CuadroTexto 6">
          <a:extLst xmlns:a="http://schemas.openxmlformats.org/drawingml/2006/main">
            <a:ext uri="{FF2B5EF4-FFF2-40B4-BE49-F238E27FC236}">
              <a16:creationId xmlns:a16="http://schemas.microsoft.com/office/drawing/2014/main" id="{E5056421-A2A5-A645-BF09-3B6C0A01FD8A}"/>
            </a:ext>
          </a:extLst>
        </cdr:cNvPr>
        <cdr:cNvSpPr txBox="1"/>
      </cdr:nvSpPr>
      <cdr:spPr>
        <a:xfrm xmlns:a="http://schemas.openxmlformats.org/drawingml/2006/main">
          <a:off x="3657530" y="1676795"/>
          <a:ext cx="766082" cy="50802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/>
            <a:t>k1=0.0043</a:t>
          </a:r>
        </a:p>
        <a:p xmlns:a="http://schemas.openxmlformats.org/drawingml/2006/main">
          <a:r>
            <a:rPr lang="es-ES" sz="1100"/>
            <a:t>k2=0</a:t>
          </a:r>
        </a:p>
        <a:p xmlns:a="http://schemas.openxmlformats.org/drawingml/2006/main">
          <a:r>
            <a:rPr lang="es-ES" sz="1100"/>
            <a:t>R</a:t>
          </a:r>
          <a:r>
            <a:rPr lang="es-ES" sz="1100" baseline="30000"/>
            <a:t>2</a:t>
          </a:r>
          <a:r>
            <a:rPr lang="es-ES" sz="1100"/>
            <a:t>=0.995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77755</xdr:rowOff>
    </xdr:from>
    <xdr:to>
      <xdr:col>5</xdr:col>
      <xdr:colOff>0</xdr:colOff>
      <xdr:row>14</xdr:row>
      <xdr:rowOff>168471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</xdr:row>
      <xdr:rowOff>74083</xdr:rowOff>
    </xdr:from>
    <xdr:to>
      <xdr:col>5</xdr:col>
      <xdr:colOff>0</xdr:colOff>
      <xdr:row>14</xdr:row>
      <xdr:rowOff>164799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</xdr:row>
      <xdr:rowOff>77755</xdr:rowOff>
    </xdr:from>
    <xdr:to>
      <xdr:col>8</xdr:col>
      <xdr:colOff>0</xdr:colOff>
      <xdr:row>14</xdr:row>
      <xdr:rowOff>168471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1</xdr:row>
      <xdr:rowOff>74083</xdr:rowOff>
    </xdr:from>
    <xdr:to>
      <xdr:col>8</xdr:col>
      <xdr:colOff>0</xdr:colOff>
      <xdr:row>14</xdr:row>
      <xdr:rowOff>164799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24</xdr:col>
      <xdr:colOff>732500</xdr:colOff>
      <xdr:row>2</xdr:row>
      <xdr:rowOff>12700</xdr:rowOff>
    </xdr:from>
    <xdr:ext cx="415307" cy="15936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19007800" y="419100"/>
              <a:ext cx="415307" cy="1593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𝛿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F9FBB0A4-49D9-AF41-AC2C-3302208BAD3B}"/>
                </a:ext>
              </a:extLst>
            </xdr:cNvPr>
            <xdr:cNvSpPr txBox="1"/>
          </xdr:nvSpPr>
          <xdr:spPr>
            <a:xfrm>
              <a:off x="19007800" y="419100"/>
              <a:ext cx="415307" cy="1593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Fallback>
    </mc:AlternateContent>
    <xdr:clientData/>
  </xdr:oneCellAnchor>
  <xdr:oneCellAnchor>
    <xdr:from>
      <xdr:col>26</xdr:col>
      <xdr:colOff>520700</xdr:colOff>
      <xdr:row>2</xdr:row>
      <xdr:rowOff>12700</xdr:rowOff>
    </xdr:from>
    <xdr:ext cx="774700" cy="1761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20548600" y="4191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𝛿</m:t>
                      </m:r>
                      <m:r>
                        <m:rPr>
                          <m:sty m:val="p"/>
                        </m:rPr>
                        <a:rPr lang="es-ES" sz="1100" b="0" i="0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ln</m:t>
                      </m:r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⁡(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B7CD9525-8EBB-E747-A2B0-D6B42C5ABEF7}"/>
                </a:ext>
              </a:extLst>
            </xdr:cNvPr>
            <xdr:cNvSpPr txBox="1"/>
          </xdr:nvSpPr>
          <xdr:spPr>
            <a:xfrm>
              <a:off x="20548600" y="4191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ln⁡(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Fallback>
    </mc:AlternateContent>
    <xdr:clientData/>
  </xdr:oneCellAnchor>
  <xdr:twoCellAnchor>
    <xdr:from>
      <xdr:col>5</xdr:col>
      <xdr:colOff>0</xdr:colOff>
      <xdr:row>1</xdr:row>
      <xdr:rowOff>77755</xdr:rowOff>
    </xdr:from>
    <xdr:to>
      <xdr:col>5</xdr:col>
      <xdr:colOff>0</xdr:colOff>
      <xdr:row>14</xdr:row>
      <xdr:rowOff>168471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1</xdr:row>
      <xdr:rowOff>74083</xdr:rowOff>
    </xdr:from>
    <xdr:to>
      <xdr:col>5</xdr:col>
      <xdr:colOff>0</xdr:colOff>
      <xdr:row>14</xdr:row>
      <xdr:rowOff>164799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1</xdr:row>
      <xdr:rowOff>77755</xdr:rowOff>
    </xdr:from>
    <xdr:to>
      <xdr:col>8</xdr:col>
      <xdr:colOff>0</xdr:colOff>
      <xdr:row>14</xdr:row>
      <xdr:rowOff>168471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1</xdr:row>
      <xdr:rowOff>74083</xdr:rowOff>
    </xdr:from>
    <xdr:to>
      <xdr:col>8</xdr:col>
      <xdr:colOff>0</xdr:colOff>
      <xdr:row>14</xdr:row>
      <xdr:rowOff>164799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30</xdr:col>
      <xdr:colOff>558800</xdr:colOff>
      <xdr:row>1</xdr:row>
      <xdr:rowOff>159773</xdr:rowOff>
    </xdr:from>
    <xdr:ext cx="1081548" cy="191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 txBox="1"/>
          </xdr:nvSpPr>
          <xdr:spPr>
            <a:xfrm>
              <a:off x="24218900" y="362973"/>
              <a:ext cx="1081548" cy="191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𝛿</m:t>
                    </m:r>
                    <m:d>
                      <m:dPr>
                        <m:ctrlPr>
                          <a:rPr lang="es-ES" sz="11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10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𝑘</m:t>
                            </m:r>
                          </m:e>
                          <m:sub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·</m:t>
                        </m:r>
                        <m:d>
                          <m:d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acc>
                                  <m:accPr>
                                    <m:chr m:val="̅"/>
                                    <m:ctrlP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</m:acc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𝑡</m:t>
                                </m:r>
                              </m:sub>
                            </m:sSub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acc>
                                  <m:accPr>
                                    <m:chr m:val="̅"/>
                                    <m:ctrlP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</m:acc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0</m:t>
                                </m:r>
                              </m:sub>
                            </m:sSub>
                          </m:e>
                        </m:d>
                      </m:e>
                    </m:d>
                  </m:oMath>
                </m:oMathPara>
              </a14:m>
              <a:endParaRPr lang="es-ES" sz="11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FBAC3272-517A-7C41-B35B-F9294ADE9E9D}"/>
                </a:ext>
              </a:extLst>
            </xdr:cNvPr>
            <xdr:cNvSpPr txBox="1"/>
          </xdr:nvSpPr>
          <xdr:spPr>
            <a:xfrm>
              <a:off x="24218900" y="362973"/>
              <a:ext cx="1081548" cy="191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𝛿(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𝑘_2·(𝐶 ̅_𝑡−𝐶 ̅_0 ))</a:t>
              </a:r>
              <a:endParaRPr lang="es-ES" sz="11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28</xdr:col>
      <xdr:colOff>562486</xdr:colOff>
      <xdr:row>2</xdr:row>
      <xdr:rowOff>17206</xdr:rowOff>
    </xdr:from>
    <xdr:ext cx="1081548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 txBox="1"/>
          </xdr:nvSpPr>
          <xdr:spPr>
            <a:xfrm>
              <a:off x="22165186" y="423606"/>
              <a:ext cx="1081548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𝛿</m:t>
                    </m:r>
                    <m:d>
                      <m:dPr>
                        <m:ctrlP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acc>
                              <m:accPr>
                                <m:chr m:val="̅"/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accPr>
                              <m:e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</m:acc>
                          </m:e>
                          <m:sub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</m:sub>
                        </m:sSub>
                        <m: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acc>
                              <m:accPr>
                                <m:chr m:val="̅"/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accPr>
                              <m:e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</m:acc>
                          </m:e>
                          <m:sub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</m:e>
                    </m:d>
                  </m:oMath>
                </m:oMathPara>
              </a14:m>
              <a:endParaRPr lang="es-ES" sz="11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EA0DBBF7-0E4C-C745-AB54-E6578E16902C}"/>
                </a:ext>
              </a:extLst>
            </xdr:cNvPr>
            <xdr:cNvSpPr txBox="1"/>
          </xdr:nvSpPr>
          <xdr:spPr>
            <a:xfrm>
              <a:off x="22165186" y="423606"/>
              <a:ext cx="1081548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(𝐶 ̅_𝑡−𝐶 ̅_0 )</a:t>
              </a:r>
              <a:endParaRPr lang="es-ES" sz="11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32</xdr:col>
      <xdr:colOff>926281</xdr:colOff>
      <xdr:row>1</xdr:row>
      <xdr:rowOff>76200</xdr:rowOff>
    </xdr:from>
    <xdr:ext cx="2027904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SpPr txBox="1"/>
          </xdr:nvSpPr>
          <xdr:spPr>
            <a:xfrm>
              <a:off x="26796181" y="279400"/>
              <a:ext cx="2027904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𝛿</m:t>
                    </m:r>
                    <m:d>
                      <m:dPr>
                        <m:ctrlPr>
                          <a:rPr lang="es-ES" sz="11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𝑙𝑛</m:t>
                        </m:r>
                        <m:d>
                          <m:d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type m:val="skw"/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acc>
                                      <m:accPr>
                                        <m:chr m:val="̅"/>
                                        <m:ctrlPr>
                                          <a:rPr lang="es-ES" sz="11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</m:ctrlPr>
                                      </m:accPr>
                                      <m:e>
                                        <m:r>
                                          <a:rPr lang="es-ES" sz="11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𝐶</m:t>
                                        </m:r>
                                      </m:e>
                                    </m:acc>
                                  </m:e>
                                  <m:sub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𝑡</m:t>
                                    </m:r>
                                  </m:sub>
                                </m:sSub>
                              </m:num>
                              <m:den>
                                <m:sSub>
                                  <m:sSubPr>
                                    <m:ctrlP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acc>
                                      <m:accPr>
                                        <m:chr m:val="̅"/>
                                        <m:ctrlPr>
                                          <a:rPr lang="es-ES" sz="11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</m:ctrlPr>
                                      </m:accPr>
                                      <m:e>
                                        <m:r>
                                          <a:rPr lang="es-ES" sz="11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𝐶</m:t>
                                        </m:r>
                                      </m:e>
                                    </m:acc>
                                  </m:e>
                                  <m:sub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0</m:t>
                                    </m:r>
                                  </m:sub>
                                </m:sSub>
                              </m:den>
                            </m:f>
                          </m:e>
                        </m:d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𝑘</m:t>
                            </m:r>
                          </m:e>
                          <m:sub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·</m:t>
                        </m:r>
                        <m:d>
                          <m:d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acc>
                                  <m:accPr>
                                    <m:chr m:val="̅"/>
                                    <m:ctrlP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</m:acc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𝑡</m:t>
                                </m:r>
                              </m:sub>
                            </m:sSub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acc>
                                  <m:accPr>
                                    <m:chr m:val="̅"/>
                                    <m:ctrlP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</m:acc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0</m:t>
                                </m:r>
                              </m:sub>
                            </m:sSub>
                          </m:e>
                        </m:d>
                      </m:e>
                    </m:d>
                  </m:oMath>
                </m:oMathPara>
              </a14:m>
              <a:endParaRPr lang="es-ES" sz="11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05A73127-779A-974E-9C17-6C9F53A22EB5}"/>
                </a:ext>
              </a:extLst>
            </xdr:cNvPr>
            <xdr:cNvSpPr txBox="1"/>
          </xdr:nvSpPr>
          <xdr:spPr>
            <a:xfrm>
              <a:off x="26796181" y="279400"/>
              <a:ext cx="2027904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𝛿(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−𝑙𝑛(𝐶 ̅_𝑡⁄𝐶 ̅_0 )−𝑘_2·(𝐶 ̅_𝑡−𝐶 ̅_0 ))</a:t>
              </a:r>
              <a:endParaRPr lang="es-ES" sz="11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twoCellAnchor>
    <xdr:from>
      <xdr:col>5</xdr:col>
      <xdr:colOff>0</xdr:colOff>
      <xdr:row>1</xdr:row>
      <xdr:rowOff>77755</xdr:rowOff>
    </xdr:from>
    <xdr:to>
      <xdr:col>5</xdr:col>
      <xdr:colOff>0</xdr:colOff>
      <xdr:row>14</xdr:row>
      <xdr:rowOff>168471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0</xdr:colOff>
      <xdr:row>1</xdr:row>
      <xdr:rowOff>74083</xdr:rowOff>
    </xdr:from>
    <xdr:to>
      <xdr:col>5</xdr:col>
      <xdr:colOff>0</xdr:colOff>
      <xdr:row>14</xdr:row>
      <xdr:rowOff>164799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0</xdr:colOff>
      <xdr:row>1</xdr:row>
      <xdr:rowOff>77755</xdr:rowOff>
    </xdr:from>
    <xdr:to>
      <xdr:col>8</xdr:col>
      <xdr:colOff>0</xdr:colOff>
      <xdr:row>14</xdr:row>
      <xdr:rowOff>168471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0</xdr:colOff>
      <xdr:row>1</xdr:row>
      <xdr:rowOff>74083</xdr:rowOff>
    </xdr:from>
    <xdr:to>
      <xdr:col>8</xdr:col>
      <xdr:colOff>0</xdr:colOff>
      <xdr:row>14</xdr:row>
      <xdr:rowOff>164799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0</xdr:colOff>
      <xdr:row>1</xdr:row>
      <xdr:rowOff>77755</xdr:rowOff>
    </xdr:from>
    <xdr:to>
      <xdr:col>5</xdr:col>
      <xdr:colOff>0</xdr:colOff>
      <xdr:row>14</xdr:row>
      <xdr:rowOff>168471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0</xdr:colOff>
      <xdr:row>1</xdr:row>
      <xdr:rowOff>74083</xdr:rowOff>
    </xdr:from>
    <xdr:to>
      <xdr:col>5</xdr:col>
      <xdr:colOff>0</xdr:colOff>
      <xdr:row>14</xdr:row>
      <xdr:rowOff>164799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0</xdr:colOff>
      <xdr:row>1</xdr:row>
      <xdr:rowOff>77755</xdr:rowOff>
    </xdr:from>
    <xdr:to>
      <xdr:col>8</xdr:col>
      <xdr:colOff>0</xdr:colOff>
      <xdr:row>14</xdr:row>
      <xdr:rowOff>168471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0</xdr:colOff>
      <xdr:row>1</xdr:row>
      <xdr:rowOff>74083</xdr:rowOff>
    </xdr:from>
    <xdr:to>
      <xdr:col>8</xdr:col>
      <xdr:colOff>0</xdr:colOff>
      <xdr:row>14</xdr:row>
      <xdr:rowOff>164799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24</xdr:col>
      <xdr:colOff>630900</xdr:colOff>
      <xdr:row>2</xdr:row>
      <xdr:rowOff>12700</xdr:rowOff>
    </xdr:from>
    <xdr:ext cx="415307" cy="15936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CuadroTexto 22">
              <a:extLst>
                <a:ext uri="{FF2B5EF4-FFF2-40B4-BE49-F238E27FC236}">
                  <a16:creationId xmlns:a16="http://schemas.microsoft.com/office/drawing/2014/main" id="{FCE9BF2B-B7FB-5340-952A-947065C28EF2}"/>
                </a:ext>
              </a:extLst>
            </xdr:cNvPr>
            <xdr:cNvSpPr txBox="1"/>
          </xdr:nvSpPr>
          <xdr:spPr>
            <a:xfrm>
              <a:off x="20036500" y="419100"/>
              <a:ext cx="415307" cy="1593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𝛿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Choice>
      <mc:Fallback xmlns="">
        <xdr:sp macro="" textlink="">
          <xdr:nvSpPr>
            <xdr:cNvPr id="23" name="CuadroTexto 22">
              <a:extLst>
                <a:ext uri="{FF2B5EF4-FFF2-40B4-BE49-F238E27FC236}">
                  <a16:creationId xmlns:a16="http://schemas.microsoft.com/office/drawing/2014/main" id="{FCE9BF2B-B7FB-5340-952A-947065C28EF2}"/>
                </a:ext>
              </a:extLst>
            </xdr:cNvPr>
            <xdr:cNvSpPr txBox="1"/>
          </xdr:nvSpPr>
          <xdr:spPr>
            <a:xfrm>
              <a:off x="20036500" y="419100"/>
              <a:ext cx="415307" cy="1593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Fallback>
    </mc:AlternateContent>
    <xdr:clientData/>
  </xdr:oneCellAnchor>
  <xdr:oneCellAnchor>
    <xdr:from>
      <xdr:col>26</xdr:col>
      <xdr:colOff>495300</xdr:colOff>
      <xdr:row>2</xdr:row>
      <xdr:rowOff>25400</xdr:rowOff>
    </xdr:from>
    <xdr:ext cx="774700" cy="1761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CuadroTexto 23">
              <a:extLst>
                <a:ext uri="{FF2B5EF4-FFF2-40B4-BE49-F238E27FC236}">
                  <a16:creationId xmlns:a16="http://schemas.microsoft.com/office/drawing/2014/main" id="{7EAFBEC3-52EA-2E43-98CB-44E0B8D02276}"/>
                </a:ext>
              </a:extLst>
            </xdr:cNvPr>
            <xdr:cNvSpPr txBox="1"/>
          </xdr:nvSpPr>
          <xdr:spPr>
            <a:xfrm>
              <a:off x="21856700" y="4318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𝛿</m:t>
                      </m:r>
                      <m:r>
                        <m:rPr>
                          <m:sty m:val="p"/>
                        </m:rPr>
                        <a:rPr lang="es-ES" sz="1100" b="0" i="0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ln</m:t>
                      </m:r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⁡(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Choice>
      <mc:Fallback xmlns="">
        <xdr:sp macro="" textlink="">
          <xdr:nvSpPr>
            <xdr:cNvPr id="24" name="CuadroTexto 23">
              <a:extLst>
                <a:ext uri="{FF2B5EF4-FFF2-40B4-BE49-F238E27FC236}">
                  <a16:creationId xmlns:a16="http://schemas.microsoft.com/office/drawing/2014/main" id="{7EAFBEC3-52EA-2E43-98CB-44E0B8D02276}"/>
                </a:ext>
              </a:extLst>
            </xdr:cNvPr>
            <xdr:cNvSpPr txBox="1"/>
          </xdr:nvSpPr>
          <xdr:spPr>
            <a:xfrm>
              <a:off x="21856700" y="4318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ln⁡(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Fallback>
    </mc:AlternateContent>
    <xdr:clientData/>
  </xdr:oneCellAnchor>
  <xdr:oneCellAnchor>
    <xdr:from>
      <xdr:col>28</xdr:col>
      <xdr:colOff>486286</xdr:colOff>
      <xdr:row>2</xdr:row>
      <xdr:rowOff>17206</xdr:rowOff>
    </xdr:from>
    <xdr:ext cx="1081548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CuadroTexto 24">
              <a:extLst>
                <a:ext uri="{FF2B5EF4-FFF2-40B4-BE49-F238E27FC236}">
                  <a16:creationId xmlns:a16="http://schemas.microsoft.com/office/drawing/2014/main" id="{A4C51B50-CA16-2341-84FD-F78399E101A0}"/>
                </a:ext>
              </a:extLst>
            </xdr:cNvPr>
            <xdr:cNvSpPr txBox="1"/>
          </xdr:nvSpPr>
          <xdr:spPr>
            <a:xfrm>
              <a:off x="23498686" y="423606"/>
              <a:ext cx="1081548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𝛿</m:t>
                    </m:r>
                    <m:d>
                      <m:dPr>
                        <m:ctrlP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acc>
                              <m:accPr>
                                <m:chr m:val="̅"/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accPr>
                              <m:e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</m:acc>
                          </m:e>
                          <m:sub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</m:sub>
                        </m:sSub>
                        <m: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acc>
                              <m:accPr>
                                <m:chr m:val="̅"/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accPr>
                              <m:e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</m:acc>
                          </m:e>
                          <m:sub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</m:e>
                    </m:d>
                  </m:oMath>
                </m:oMathPara>
              </a14:m>
              <a:endParaRPr lang="es-ES" sz="11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25" name="CuadroTexto 24">
              <a:extLst>
                <a:ext uri="{FF2B5EF4-FFF2-40B4-BE49-F238E27FC236}">
                  <a16:creationId xmlns:a16="http://schemas.microsoft.com/office/drawing/2014/main" id="{A4C51B50-CA16-2341-84FD-F78399E101A0}"/>
                </a:ext>
              </a:extLst>
            </xdr:cNvPr>
            <xdr:cNvSpPr txBox="1"/>
          </xdr:nvSpPr>
          <xdr:spPr>
            <a:xfrm>
              <a:off x="23498686" y="423606"/>
              <a:ext cx="1081548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(𝐶 ̅_𝑡−𝐶 ̅_0 )</a:t>
              </a:r>
              <a:endParaRPr lang="es-ES" sz="11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77755</xdr:rowOff>
    </xdr:from>
    <xdr:to>
      <xdr:col>5</xdr:col>
      <xdr:colOff>0</xdr:colOff>
      <xdr:row>14</xdr:row>
      <xdr:rowOff>168471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</xdr:row>
      <xdr:rowOff>74083</xdr:rowOff>
    </xdr:from>
    <xdr:to>
      <xdr:col>5</xdr:col>
      <xdr:colOff>0</xdr:colOff>
      <xdr:row>14</xdr:row>
      <xdr:rowOff>164799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</xdr:row>
      <xdr:rowOff>77755</xdr:rowOff>
    </xdr:from>
    <xdr:to>
      <xdr:col>8</xdr:col>
      <xdr:colOff>0</xdr:colOff>
      <xdr:row>14</xdr:row>
      <xdr:rowOff>168471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1</xdr:row>
      <xdr:rowOff>74083</xdr:rowOff>
    </xdr:from>
    <xdr:to>
      <xdr:col>8</xdr:col>
      <xdr:colOff>0</xdr:colOff>
      <xdr:row>14</xdr:row>
      <xdr:rowOff>164799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1</xdr:row>
      <xdr:rowOff>77755</xdr:rowOff>
    </xdr:from>
    <xdr:to>
      <xdr:col>5</xdr:col>
      <xdr:colOff>0</xdr:colOff>
      <xdr:row>14</xdr:row>
      <xdr:rowOff>168471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1</xdr:row>
      <xdr:rowOff>74083</xdr:rowOff>
    </xdr:from>
    <xdr:to>
      <xdr:col>5</xdr:col>
      <xdr:colOff>0</xdr:colOff>
      <xdr:row>14</xdr:row>
      <xdr:rowOff>164799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1</xdr:row>
      <xdr:rowOff>77755</xdr:rowOff>
    </xdr:from>
    <xdr:to>
      <xdr:col>8</xdr:col>
      <xdr:colOff>0</xdr:colOff>
      <xdr:row>14</xdr:row>
      <xdr:rowOff>168471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1</xdr:row>
      <xdr:rowOff>74083</xdr:rowOff>
    </xdr:from>
    <xdr:to>
      <xdr:col>8</xdr:col>
      <xdr:colOff>0</xdr:colOff>
      <xdr:row>14</xdr:row>
      <xdr:rowOff>164799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1</xdr:row>
      <xdr:rowOff>77755</xdr:rowOff>
    </xdr:from>
    <xdr:to>
      <xdr:col>5</xdr:col>
      <xdr:colOff>0</xdr:colOff>
      <xdr:row>14</xdr:row>
      <xdr:rowOff>168471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0</xdr:colOff>
      <xdr:row>1</xdr:row>
      <xdr:rowOff>74083</xdr:rowOff>
    </xdr:from>
    <xdr:to>
      <xdr:col>5</xdr:col>
      <xdr:colOff>0</xdr:colOff>
      <xdr:row>14</xdr:row>
      <xdr:rowOff>164799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0</xdr:colOff>
      <xdr:row>1</xdr:row>
      <xdr:rowOff>77755</xdr:rowOff>
    </xdr:from>
    <xdr:to>
      <xdr:col>8</xdr:col>
      <xdr:colOff>0</xdr:colOff>
      <xdr:row>14</xdr:row>
      <xdr:rowOff>168471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0</xdr:colOff>
      <xdr:row>1</xdr:row>
      <xdr:rowOff>74083</xdr:rowOff>
    </xdr:from>
    <xdr:to>
      <xdr:col>8</xdr:col>
      <xdr:colOff>0</xdr:colOff>
      <xdr:row>14</xdr:row>
      <xdr:rowOff>164799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oneCellAnchor>
    <xdr:from>
      <xdr:col>24</xdr:col>
      <xdr:colOff>618200</xdr:colOff>
      <xdr:row>2</xdr:row>
      <xdr:rowOff>12700</xdr:rowOff>
    </xdr:from>
    <xdr:ext cx="415307" cy="15936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CuadroTexto 18">
              <a:extLst>
                <a:ext uri="{FF2B5EF4-FFF2-40B4-BE49-F238E27FC236}">
                  <a16:creationId xmlns:a16="http://schemas.microsoft.com/office/drawing/2014/main" id="{00000000-0008-0000-0200-000013000000}"/>
                </a:ext>
              </a:extLst>
            </xdr:cNvPr>
            <xdr:cNvSpPr txBox="1"/>
          </xdr:nvSpPr>
          <xdr:spPr>
            <a:xfrm>
              <a:off x="19348160" y="408940"/>
              <a:ext cx="415307" cy="1593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𝛿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Choice>
      <mc:Fallback xmlns="">
        <xdr:sp macro="" textlink="">
          <xdr:nvSpPr>
            <xdr:cNvPr id="19" name="CuadroTexto 18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19348160" y="408940"/>
              <a:ext cx="415307" cy="1593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Fallback>
    </mc:AlternateContent>
    <xdr:clientData/>
  </xdr:oneCellAnchor>
  <xdr:oneCellAnchor>
    <xdr:from>
      <xdr:col>26</xdr:col>
      <xdr:colOff>520700</xdr:colOff>
      <xdr:row>2</xdr:row>
      <xdr:rowOff>12700</xdr:rowOff>
    </xdr:from>
    <xdr:ext cx="774700" cy="1761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CuadroTexto 19">
              <a:extLst>
                <a:ext uri="{FF2B5EF4-FFF2-40B4-BE49-F238E27FC236}">
                  <a16:creationId xmlns:a16="http://schemas.microsoft.com/office/drawing/2014/main" id="{00000000-0008-0000-0200-000014000000}"/>
                </a:ext>
              </a:extLst>
            </xdr:cNvPr>
            <xdr:cNvSpPr txBox="1"/>
          </xdr:nvSpPr>
          <xdr:spPr>
            <a:xfrm>
              <a:off x="21003260" y="40894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𝛿</m:t>
                      </m:r>
                      <m:r>
                        <m:rPr>
                          <m:sty m:val="p"/>
                        </m:rPr>
                        <a:rPr lang="es-ES" sz="1100" b="0" i="0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ln</m:t>
                      </m:r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⁡(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Choice>
      <mc:Fallback xmlns="">
        <xdr:sp macro="" textlink="">
          <xdr:nvSpPr>
            <xdr:cNvPr id="20" name="CuadroTexto 19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21003260" y="40894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ln⁡(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Fallback>
    </mc:AlternateContent>
    <xdr:clientData/>
  </xdr:oneCellAnchor>
  <xdr:oneCellAnchor>
    <xdr:from>
      <xdr:col>28</xdr:col>
      <xdr:colOff>537086</xdr:colOff>
      <xdr:row>2</xdr:row>
      <xdr:rowOff>17206</xdr:rowOff>
    </xdr:from>
    <xdr:ext cx="1081548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CuadroTexto 24">
              <a:extLst>
                <a:ext uri="{FF2B5EF4-FFF2-40B4-BE49-F238E27FC236}">
                  <a16:creationId xmlns:a16="http://schemas.microsoft.com/office/drawing/2014/main" id="{00000000-0008-0000-0200-000019000000}"/>
                </a:ext>
              </a:extLst>
            </xdr:cNvPr>
            <xdr:cNvSpPr txBox="1"/>
          </xdr:nvSpPr>
          <xdr:spPr>
            <a:xfrm>
              <a:off x="22604606" y="413446"/>
              <a:ext cx="1081548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𝛿</m:t>
                    </m:r>
                    <m:d>
                      <m:dPr>
                        <m:ctrlP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acc>
                              <m:accPr>
                                <m:chr m:val="̅"/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accPr>
                              <m:e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</m:acc>
                          </m:e>
                          <m:sub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</m:sub>
                        </m:sSub>
                        <m: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acc>
                              <m:accPr>
                                <m:chr m:val="̅"/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accPr>
                              <m:e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</m:acc>
                          </m:e>
                          <m:sub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</m:e>
                    </m:d>
                  </m:oMath>
                </m:oMathPara>
              </a14:m>
              <a:endParaRPr lang="es-ES" sz="11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25" name="CuadroTexto 24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>
              <a:off x="22604606" y="413446"/>
              <a:ext cx="1081548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(𝐶 ̅_𝑡−𝐶 ̅_0 )</a:t>
              </a:r>
              <a:endParaRPr lang="es-ES" sz="11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30</xdr:col>
      <xdr:colOff>558800</xdr:colOff>
      <xdr:row>1</xdr:row>
      <xdr:rowOff>172473</xdr:rowOff>
    </xdr:from>
    <xdr:ext cx="1081548" cy="191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CuadroTexto 25">
              <a:extLst>
                <a:ext uri="{FF2B5EF4-FFF2-40B4-BE49-F238E27FC236}">
                  <a16:creationId xmlns:a16="http://schemas.microsoft.com/office/drawing/2014/main" id="{00000000-0008-0000-0200-00001A000000}"/>
                </a:ext>
              </a:extLst>
            </xdr:cNvPr>
            <xdr:cNvSpPr txBox="1"/>
          </xdr:nvSpPr>
          <xdr:spPr>
            <a:xfrm>
              <a:off x="24683720" y="370593"/>
              <a:ext cx="1081548" cy="191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𝛿</m:t>
                    </m:r>
                    <m:d>
                      <m:dPr>
                        <m:ctrlPr>
                          <a:rPr lang="es-ES" sz="11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10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𝑘</m:t>
                            </m:r>
                          </m:e>
                          <m:sub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·</m:t>
                        </m:r>
                        <m:d>
                          <m:d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acc>
                                  <m:accPr>
                                    <m:chr m:val="̅"/>
                                    <m:ctrlP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</m:acc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𝑡</m:t>
                                </m:r>
                              </m:sub>
                            </m:sSub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acc>
                                  <m:accPr>
                                    <m:chr m:val="̅"/>
                                    <m:ctrlP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</m:acc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0</m:t>
                                </m:r>
                              </m:sub>
                            </m:sSub>
                          </m:e>
                        </m:d>
                      </m:e>
                    </m:d>
                  </m:oMath>
                </m:oMathPara>
              </a14:m>
              <a:endParaRPr lang="es-ES" sz="11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26" name="CuadroTexto 25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/>
          </xdr:nvSpPr>
          <xdr:spPr>
            <a:xfrm>
              <a:off x="24683720" y="370593"/>
              <a:ext cx="1081548" cy="191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𝛿(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𝑘_2·(𝐶 ̅_𝑡−𝐶 ̅_0 ))</a:t>
              </a:r>
              <a:endParaRPr lang="es-ES" sz="11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32</xdr:col>
      <xdr:colOff>1015181</xdr:colOff>
      <xdr:row>1</xdr:row>
      <xdr:rowOff>0</xdr:rowOff>
    </xdr:from>
    <xdr:ext cx="2027904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CuadroTexto 26">
              <a:extLst>
                <a:ext uri="{FF2B5EF4-FFF2-40B4-BE49-F238E27FC236}">
                  <a16:creationId xmlns:a16="http://schemas.microsoft.com/office/drawing/2014/main" id="{00000000-0008-0000-0200-00001B000000}"/>
                </a:ext>
              </a:extLst>
            </xdr:cNvPr>
            <xdr:cNvSpPr txBox="1"/>
          </xdr:nvSpPr>
          <xdr:spPr>
            <a:xfrm>
              <a:off x="27349901" y="198120"/>
              <a:ext cx="2027904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𝛿</m:t>
                    </m:r>
                    <m:d>
                      <m:dPr>
                        <m:ctrlPr>
                          <a:rPr lang="es-ES" sz="11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𝑙𝑛</m:t>
                        </m:r>
                        <m:d>
                          <m:d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type m:val="skw"/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acc>
                                      <m:accPr>
                                        <m:chr m:val="̅"/>
                                        <m:ctrlPr>
                                          <a:rPr lang="es-ES" sz="11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</m:ctrlPr>
                                      </m:accPr>
                                      <m:e>
                                        <m:r>
                                          <a:rPr lang="es-ES" sz="11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𝐶</m:t>
                                        </m:r>
                                      </m:e>
                                    </m:acc>
                                  </m:e>
                                  <m:sub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𝑡</m:t>
                                    </m:r>
                                  </m:sub>
                                </m:sSub>
                              </m:num>
                              <m:den>
                                <m:sSub>
                                  <m:sSubPr>
                                    <m:ctrlP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acc>
                                      <m:accPr>
                                        <m:chr m:val="̅"/>
                                        <m:ctrlPr>
                                          <a:rPr lang="es-ES" sz="11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</m:ctrlPr>
                                      </m:accPr>
                                      <m:e>
                                        <m:r>
                                          <a:rPr lang="es-ES" sz="11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𝐶</m:t>
                                        </m:r>
                                      </m:e>
                                    </m:acc>
                                  </m:e>
                                  <m:sub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0</m:t>
                                    </m:r>
                                  </m:sub>
                                </m:sSub>
                              </m:den>
                            </m:f>
                          </m:e>
                        </m:d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𝑘</m:t>
                            </m:r>
                          </m:e>
                          <m:sub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·</m:t>
                        </m:r>
                        <m:d>
                          <m:d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acc>
                                  <m:accPr>
                                    <m:chr m:val="̅"/>
                                    <m:ctrlP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</m:acc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𝑡</m:t>
                                </m:r>
                              </m:sub>
                            </m:sSub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acc>
                                  <m:accPr>
                                    <m:chr m:val="̅"/>
                                    <m:ctrlP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</m:acc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0</m:t>
                                </m:r>
                              </m:sub>
                            </m:sSub>
                          </m:e>
                        </m:d>
                      </m:e>
                    </m:d>
                  </m:oMath>
                </m:oMathPara>
              </a14:m>
              <a:endParaRPr lang="es-ES" sz="11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27" name="CuadroTexto 26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SpPr txBox="1"/>
          </xdr:nvSpPr>
          <xdr:spPr>
            <a:xfrm>
              <a:off x="27349901" y="198120"/>
              <a:ext cx="2027904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𝛿(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−𝑙𝑛(𝐶 ̅_𝑡⁄𝐶 ̅_0 )−𝑘_2·(𝐶 ̅_𝑡−𝐶 ̅_0 ))</a:t>
              </a:r>
              <a:endParaRPr lang="es-ES" sz="11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77755</xdr:rowOff>
    </xdr:from>
    <xdr:to>
      <xdr:col>5</xdr:col>
      <xdr:colOff>0</xdr:colOff>
      <xdr:row>14</xdr:row>
      <xdr:rowOff>168471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</xdr:row>
      <xdr:rowOff>74083</xdr:rowOff>
    </xdr:from>
    <xdr:to>
      <xdr:col>5</xdr:col>
      <xdr:colOff>0</xdr:colOff>
      <xdr:row>14</xdr:row>
      <xdr:rowOff>164799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</xdr:row>
      <xdr:rowOff>77755</xdr:rowOff>
    </xdr:from>
    <xdr:to>
      <xdr:col>8</xdr:col>
      <xdr:colOff>0</xdr:colOff>
      <xdr:row>14</xdr:row>
      <xdr:rowOff>168471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1</xdr:row>
      <xdr:rowOff>74083</xdr:rowOff>
    </xdr:from>
    <xdr:to>
      <xdr:col>8</xdr:col>
      <xdr:colOff>0</xdr:colOff>
      <xdr:row>14</xdr:row>
      <xdr:rowOff>164799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24</xdr:col>
      <xdr:colOff>618200</xdr:colOff>
      <xdr:row>2</xdr:row>
      <xdr:rowOff>12700</xdr:rowOff>
    </xdr:from>
    <xdr:ext cx="415307" cy="15936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19261800" y="419100"/>
              <a:ext cx="415307" cy="1593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𝛿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19261800" y="419100"/>
              <a:ext cx="415307" cy="1593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Fallback>
    </mc:AlternateContent>
    <xdr:clientData/>
  </xdr:oneCellAnchor>
  <xdr:oneCellAnchor>
    <xdr:from>
      <xdr:col>26</xdr:col>
      <xdr:colOff>520700</xdr:colOff>
      <xdr:row>2</xdr:row>
      <xdr:rowOff>12700</xdr:rowOff>
    </xdr:from>
    <xdr:ext cx="774700" cy="1761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SpPr txBox="1"/>
          </xdr:nvSpPr>
          <xdr:spPr>
            <a:xfrm>
              <a:off x="20916900" y="4191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𝛿</m:t>
                      </m:r>
                      <m:r>
                        <m:rPr>
                          <m:sty m:val="p"/>
                        </m:rPr>
                        <a:rPr lang="es-ES" sz="1100" b="0" i="0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ln</m:t>
                      </m:r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⁡(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20916900" y="4191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ln⁡(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Fallback>
    </mc:AlternateContent>
    <xdr:clientData/>
  </xdr:oneCellAnchor>
  <xdr:twoCellAnchor>
    <xdr:from>
      <xdr:col>5</xdr:col>
      <xdr:colOff>0</xdr:colOff>
      <xdr:row>1</xdr:row>
      <xdr:rowOff>77755</xdr:rowOff>
    </xdr:from>
    <xdr:to>
      <xdr:col>5</xdr:col>
      <xdr:colOff>0</xdr:colOff>
      <xdr:row>14</xdr:row>
      <xdr:rowOff>168471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1</xdr:row>
      <xdr:rowOff>74083</xdr:rowOff>
    </xdr:from>
    <xdr:to>
      <xdr:col>5</xdr:col>
      <xdr:colOff>0</xdr:colOff>
      <xdr:row>14</xdr:row>
      <xdr:rowOff>164799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1</xdr:row>
      <xdr:rowOff>77755</xdr:rowOff>
    </xdr:from>
    <xdr:to>
      <xdr:col>8</xdr:col>
      <xdr:colOff>0</xdr:colOff>
      <xdr:row>14</xdr:row>
      <xdr:rowOff>168471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1</xdr:row>
      <xdr:rowOff>74083</xdr:rowOff>
    </xdr:from>
    <xdr:to>
      <xdr:col>8</xdr:col>
      <xdr:colOff>0</xdr:colOff>
      <xdr:row>14</xdr:row>
      <xdr:rowOff>164799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30</xdr:col>
      <xdr:colOff>558800</xdr:colOff>
      <xdr:row>1</xdr:row>
      <xdr:rowOff>172473</xdr:rowOff>
    </xdr:from>
    <xdr:ext cx="1081548" cy="191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00000000-0008-0000-0300-00000D000000}"/>
                </a:ext>
              </a:extLst>
            </xdr:cNvPr>
            <xdr:cNvSpPr txBox="1"/>
          </xdr:nvSpPr>
          <xdr:spPr>
            <a:xfrm>
              <a:off x="24587200" y="375673"/>
              <a:ext cx="1081548" cy="191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𝛿</m:t>
                    </m:r>
                    <m:d>
                      <m:dPr>
                        <m:ctrlPr>
                          <a:rPr lang="es-ES" sz="11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10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𝑘</m:t>
                            </m:r>
                          </m:e>
                          <m:sub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·</m:t>
                        </m:r>
                        <m:d>
                          <m:d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acc>
                                  <m:accPr>
                                    <m:chr m:val="̅"/>
                                    <m:ctrlP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</m:acc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𝑡</m:t>
                                </m:r>
                              </m:sub>
                            </m:sSub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acc>
                                  <m:accPr>
                                    <m:chr m:val="̅"/>
                                    <m:ctrlP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</m:acc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0</m:t>
                                </m:r>
                              </m:sub>
                            </m:sSub>
                          </m:e>
                        </m:d>
                      </m:e>
                    </m:d>
                  </m:oMath>
                </m:oMathPara>
              </a14:m>
              <a:endParaRPr lang="es-ES" sz="11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/>
          </xdr:nvSpPr>
          <xdr:spPr>
            <a:xfrm>
              <a:off x="24587200" y="375673"/>
              <a:ext cx="1081548" cy="191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𝛿(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𝑘_2·(𝐶 ̅_𝑡−𝐶 ̅_0 ))</a:t>
              </a:r>
              <a:endParaRPr lang="es-ES" sz="11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28</xdr:col>
      <xdr:colOff>537086</xdr:colOff>
      <xdr:row>2</xdr:row>
      <xdr:rowOff>17206</xdr:rowOff>
    </xdr:from>
    <xdr:ext cx="1081548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00000000-0008-0000-0300-00000E000000}"/>
                </a:ext>
              </a:extLst>
            </xdr:cNvPr>
            <xdr:cNvSpPr txBox="1"/>
          </xdr:nvSpPr>
          <xdr:spPr>
            <a:xfrm>
              <a:off x="22508086" y="423606"/>
              <a:ext cx="1081548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𝛿</m:t>
                    </m:r>
                    <m:d>
                      <m:dPr>
                        <m:ctrlP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acc>
                              <m:accPr>
                                <m:chr m:val="̅"/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accPr>
                              <m:e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</m:acc>
                          </m:e>
                          <m:sub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</m:sub>
                        </m:sSub>
                        <m:r>
                          <a:rPr lang="es-ES" sz="1100" b="0" i="1">
                            <a:solidFill>
                              <a:srgbClr val="FF000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acc>
                              <m:accPr>
                                <m:chr m:val="̅"/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accPr>
                              <m:e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</m:acc>
                          </m:e>
                          <m:sub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</m:e>
                    </m:d>
                  </m:oMath>
                </m:oMathPara>
              </a14:m>
              <a:endParaRPr lang="es-ES" sz="11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>
              <a:off x="22508086" y="423606"/>
              <a:ext cx="1081548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(𝐶 ̅_𝑡−𝐶 ̅_0 )</a:t>
              </a:r>
              <a:endParaRPr lang="es-ES" sz="11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32</xdr:col>
      <xdr:colOff>1015181</xdr:colOff>
      <xdr:row>1</xdr:row>
      <xdr:rowOff>0</xdr:rowOff>
    </xdr:from>
    <xdr:ext cx="2027904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9" name="CuadroTexto 48">
              <a:extLst>
                <a:ext uri="{FF2B5EF4-FFF2-40B4-BE49-F238E27FC236}">
                  <a16:creationId xmlns:a16="http://schemas.microsoft.com/office/drawing/2014/main" id="{00000000-0008-0000-0300-000031000000}"/>
                </a:ext>
              </a:extLst>
            </xdr:cNvPr>
            <xdr:cNvSpPr txBox="1"/>
          </xdr:nvSpPr>
          <xdr:spPr>
            <a:xfrm>
              <a:off x="27253381" y="203200"/>
              <a:ext cx="2027904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𝛿</m:t>
                    </m:r>
                    <m:d>
                      <m:dPr>
                        <m:ctrlPr>
                          <a:rPr lang="es-ES" sz="11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𝑙𝑛</m:t>
                        </m:r>
                        <m:d>
                          <m:d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type m:val="skw"/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acc>
                                      <m:accPr>
                                        <m:chr m:val="̅"/>
                                        <m:ctrlPr>
                                          <a:rPr lang="es-ES" sz="11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</m:ctrlPr>
                                      </m:accPr>
                                      <m:e>
                                        <m:r>
                                          <a:rPr lang="es-ES" sz="11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𝐶</m:t>
                                        </m:r>
                                      </m:e>
                                    </m:acc>
                                  </m:e>
                                  <m:sub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𝑡</m:t>
                                    </m:r>
                                  </m:sub>
                                </m:sSub>
                              </m:num>
                              <m:den>
                                <m:sSub>
                                  <m:sSubPr>
                                    <m:ctrlP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acc>
                                      <m:accPr>
                                        <m:chr m:val="̅"/>
                                        <m:ctrlPr>
                                          <a:rPr lang="es-ES" sz="11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</m:ctrlPr>
                                      </m:accPr>
                                      <m:e>
                                        <m:r>
                                          <a:rPr lang="es-ES" sz="11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𝐶</m:t>
                                        </m:r>
                                      </m:e>
                                    </m:acc>
                                  </m:e>
                                  <m:sub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0</m:t>
                                    </m:r>
                                  </m:sub>
                                </m:sSub>
                              </m:den>
                            </m:f>
                          </m:e>
                        </m:d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𝑘</m:t>
                            </m:r>
                          </m:e>
                          <m:sub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·</m:t>
                        </m:r>
                        <m:d>
                          <m:dPr>
                            <m:ctrlP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acc>
                                  <m:accPr>
                                    <m:chr m:val="̅"/>
                                    <m:ctrlP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</m:acc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𝑡</m:t>
                                </m:r>
                              </m:sub>
                            </m:sSub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acc>
                                  <m:accPr>
                                    <m:chr m:val="̅"/>
                                    <m:ctrlP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es-ES" sz="11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</m:acc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0</m:t>
                                </m:r>
                              </m:sub>
                            </m:sSub>
                          </m:e>
                        </m:d>
                      </m:e>
                    </m:d>
                  </m:oMath>
                </m:oMathPara>
              </a14:m>
              <a:endParaRPr lang="es-ES" sz="11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49" name="CuadroTexto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SpPr txBox="1"/>
          </xdr:nvSpPr>
          <xdr:spPr>
            <a:xfrm>
              <a:off x="27253381" y="203200"/>
              <a:ext cx="2027904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𝛿(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−𝑙𝑛(𝐶 ̅_𝑡⁄𝐶 ̅_0 )−𝑘_2·(𝐶 ̅_𝑡−𝐶 ̅_0 ))</a:t>
              </a:r>
              <a:endParaRPr lang="es-ES" sz="11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170996</xdr:colOff>
      <xdr:row>47</xdr:row>
      <xdr:rowOff>107496</xdr:rowOff>
    </xdr:from>
    <xdr:ext cx="3108325" cy="6127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SpPr txBox="1"/>
          </xdr:nvSpPr>
          <xdr:spPr>
            <a:xfrm>
              <a:off x="1047296" y="9734096"/>
              <a:ext cx="3108325" cy="612775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𝑙𝑛</m:t>
                    </m:r>
                    <m:d>
                      <m:dPr>
                        <m:ctrlP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ES" sz="16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s-ES" sz="16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ES" sz="16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es-ES" sz="16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𝑡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es-ES" sz="16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ES" sz="16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es-ES" sz="16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0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sSub>
                      <m:sSubPr>
                        <m:ctrlP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</m:t>
                        </m:r>
                      </m:e>
                      <m:sub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d>
                      <m:dPr>
                        <m:ctrlP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6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6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6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</m:sub>
                        </m:sSub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6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6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6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</m:e>
                    </m:d>
                    <m:r>
                      <a:rPr lang="es-ES" sz="20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</m:t>
                        </m:r>
                      </m:e>
                      <m:sub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𝑡</m:t>
                    </m:r>
                  </m:oMath>
                </m:oMathPara>
              </a14:m>
              <a:endParaRPr lang="es-ES" sz="2000" b="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52C19218-66DC-E84F-8C46-4B67EC155C84}"/>
                </a:ext>
              </a:extLst>
            </xdr:cNvPr>
            <xdr:cNvSpPr txBox="1"/>
          </xdr:nvSpPr>
          <xdr:spPr>
            <a:xfrm>
              <a:off x="1047296" y="9734096"/>
              <a:ext cx="3108325" cy="612775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−𝑙𝑛(𝐶_𝑡/𝐶_0 )−𝑘_2·(𝐶_𝑡−𝐶_0 )</a:t>
              </a:r>
              <a:r>
                <a:rPr lang="es-ES" sz="2000" b="0" i="0">
                  <a:latin typeface="Cambria Math" panose="02040503050406030204" pitchFamily="18" charset="0"/>
                </a:rPr>
                <a:t>=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𝑘_1·𝑡</a:t>
              </a:r>
              <a:endParaRPr lang="es-ES" sz="2000" b="0"/>
            </a:p>
          </xdr:txBody>
        </xdr:sp>
      </mc:Fallback>
    </mc:AlternateContent>
    <xdr:clientData/>
  </xdr:oneCellAnchor>
  <xdr:twoCellAnchor>
    <xdr:from>
      <xdr:col>12</xdr:col>
      <xdr:colOff>704850</xdr:colOff>
      <xdr:row>13</xdr:row>
      <xdr:rowOff>190953</xdr:rowOff>
    </xdr:from>
    <xdr:to>
      <xdr:col>19</xdr:col>
      <xdr:colOff>1054099</xdr:colOff>
      <xdr:row>35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468086</xdr:colOff>
      <xdr:row>47</xdr:row>
      <xdr:rowOff>115661</xdr:rowOff>
    </xdr:from>
    <xdr:ext cx="3108325" cy="4463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0000000-0008-0000-0400-000004000000}"/>
                </a:ext>
              </a:extLst>
            </xdr:cNvPr>
            <xdr:cNvSpPr txBox="1"/>
          </xdr:nvSpPr>
          <xdr:spPr>
            <a:xfrm>
              <a:off x="7345136" y="9659711"/>
              <a:ext cx="3108325" cy="446314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s-ES" sz="16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𝑙𝑛</m:t>
                  </m:r>
                  <m:d>
                    <m:dPr>
                      <m:ctrlPr>
                        <a:rPr lang="es-ES" sz="16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f>
                        <m:fPr>
                          <m:ctrlPr>
                            <a:rPr lang="es-ES" sz="16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sSub>
                            <m:sSubPr>
                              <m:ctrlPr>
                                <a:rPr lang="es-ES" sz="16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s-ES" sz="16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𝐶</m:t>
                              </m:r>
                            </m:e>
                            <m:sub>
                              <m:r>
                                <a:rPr lang="es-ES" sz="16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𝑡</m:t>
                              </m:r>
                            </m:sub>
                          </m:sSub>
                        </m:num>
                        <m:den>
                          <m:sSub>
                            <m:sSubPr>
                              <m:ctrlPr>
                                <a:rPr lang="es-ES" sz="16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s-ES" sz="16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𝐶</m:t>
                              </m:r>
                            </m:e>
                            <m:sub>
                              <m:r>
                                <a:rPr lang="es-ES" sz="16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sub>
                          </m:sSub>
                        </m:den>
                      </m:f>
                    </m:e>
                  </m:d>
                  <m:r>
                    <a:rPr lang="es-ES" sz="16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+</m:t>
                  </m:r>
                  <m:sSub>
                    <m:sSubPr>
                      <m:ctrlPr>
                        <a:rPr lang="es-ES" sz="16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s-ES" sz="16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𝑘</m:t>
                      </m:r>
                    </m:e>
                    <m:sub>
                      <m:r>
                        <a:rPr lang="es-ES" sz="16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2</m:t>
                      </m:r>
                    </m:sub>
                  </m:sSub>
                  <m:r>
                    <a:rPr lang="es-ES" sz="16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·</m:t>
                  </m:r>
                  <m:d>
                    <m:dPr>
                      <m:ctrlPr>
                        <a:rPr lang="es-ES" sz="16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lang="es-ES" sz="16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s-ES" sz="16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𝐶</m:t>
                          </m:r>
                        </m:e>
                        <m:sub>
                          <m:r>
                            <a:rPr lang="es-ES" sz="16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𝑡</m:t>
                          </m:r>
                        </m:sub>
                      </m:sSub>
                      <m:r>
                        <a:rPr lang="es-ES" sz="16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sSub>
                        <m:sSubPr>
                          <m:ctrlPr>
                            <a:rPr lang="es-ES" sz="16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s-ES" sz="16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𝐶</m:t>
                          </m:r>
                        </m:e>
                        <m:sub>
                          <m:r>
                            <a:rPr lang="es-ES" sz="16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0</m:t>
                          </m:r>
                        </m:sub>
                      </m:sSub>
                    </m:e>
                  </m:d>
                  <m:r>
                    <a:rPr lang="es-ES" sz="2000" b="0" i="1">
                      <a:latin typeface="Cambria Math" panose="02040503050406030204" pitchFamily="18" charset="0"/>
                    </a:rPr>
                    <m:t>+</m:t>
                  </m:r>
                  <m:sSub>
                    <m:sSubPr>
                      <m:ctrlPr>
                        <a:rPr lang="es-ES" sz="16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s-ES" sz="16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𝑘</m:t>
                      </m:r>
                    </m:e>
                    <m:sub>
                      <m:r>
                        <a:rPr lang="es-ES" sz="16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</m:t>
                      </m:r>
                    </m:sub>
                  </m:sSub>
                  <m:r>
                    <a:rPr lang="es-ES" sz="16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·</m:t>
                  </m:r>
                  <m:r>
                    <a:rPr lang="es-ES" sz="16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𝑡</m:t>
                  </m:r>
                </m:oMath>
              </a14:m>
              <a:r>
                <a:rPr lang="es-ES" sz="2000" b="0"/>
                <a:t>=0</a:t>
              </a:r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9EDE50C-9206-6942-88CF-AD129E13D806}"/>
                </a:ext>
              </a:extLst>
            </xdr:cNvPr>
            <xdr:cNvSpPr txBox="1"/>
          </xdr:nvSpPr>
          <xdr:spPr>
            <a:xfrm>
              <a:off x="7345136" y="9659711"/>
              <a:ext cx="3108325" cy="446314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𝑙𝑛(𝐶_𝑡/𝐶_0 )+𝑘_2·(𝐶_𝑡−𝐶_0 )</a:t>
              </a:r>
              <a:r>
                <a:rPr lang="es-ES" sz="2000" b="0" i="0">
                  <a:latin typeface="Cambria Math" panose="02040503050406030204" pitchFamily="18" charset="0"/>
                </a:rPr>
                <a:t>+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𝑘_1·𝑡</a:t>
              </a:r>
              <a:r>
                <a:rPr lang="es-ES" sz="2000" b="0"/>
                <a:t>=0</a:t>
              </a:r>
            </a:p>
          </xdr:txBody>
        </xdr:sp>
      </mc:Fallback>
    </mc:AlternateContent>
    <xdr:clientData/>
  </xdr:oneCellAnchor>
  <xdr:twoCellAnchor>
    <xdr:from>
      <xdr:col>13</xdr:col>
      <xdr:colOff>488497</xdr:colOff>
      <xdr:row>54</xdr:row>
      <xdr:rowOff>59871</xdr:rowOff>
    </xdr:from>
    <xdr:to>
      <xdr:col>21</xdr:col>
      <xdr:colOff>76199</xdr:colOff>
      <xdr:row>76</xdr:row>
      <xdr:rowOff>182335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</xdr:col>
      <xdr:colOff>337457</xdr:colOff>
      <xdr:row>3</xdr:row>
      <xdr:rowOff>21770</xdr:rowOff>
    </xdr:from>
    <xdr:ext cx="2558143" cy="5116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SpPr txBox="1"/>
          </xdr:nvSpPr>
          <xdr:spPr>
            <a:xfrm>
              <a:off x="2090057" y="694870"/>
              <a:ext cx="2558143" cy="5116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b="0" i="1">
                        <a:latin typeface="Cambria Math" panose="02040503050406030204" pitchFamily="18" charset="0"/>
                      </a:rPr>
                      <m:t>−</m:t>
                    </m:r>
                    <m:f>
                      <m:fPr>
                        <m:ctrlPr>
                          <a:rPr lang="es-ES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𝑑𝐶</m:t>
                        </m:r>
                      </m:num>
                      <m:den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𝑑𝑡</m:t>
                        </m:r>
                      </m:den>
                    </m:f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𝑟</m:t>
                        </m:r>
                      </m:sub>
                    </m:sSub>
                    <m:f>
                      <m:fPr>
                        <m:ctrlPr>
                          <a:rPr lang="es-ES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ES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𝑘</m:t>
                            </m:r>
                          </m:e>
                          <m:sub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·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𝐶</m:t>
                        </m:r>
                      </m:num>
                      <m:den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1+</m:t>
                        </m:r>
                        <m:sSub>
                          <m:sSubPr>
                            <m:ctrlP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·</m:t>
                        </m:r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den>
                    </m:f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·</m:t>
                        </m:r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num>
                      <m:den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1+</m:t>
                        </m:r>
                        <m:sSub>
                          <m:sSubPr>
                            <m:ctrlP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·</m:t>
                        </m:r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den>
                    </m:f>
                  </m:oMath>
                </m:oMathPara>
              </a14:m>
              <a:endParaRPr lang="es-ES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4301B9D7-FE71-764F-B733-04BA1B8D4866}"/>
                </a:ext>
              </a:extLst>
            </xdr:cNvPr>
            <xdr:cNvSpPr txBox="1"/>
          </xdr:nvSpPr>
          <xdr:spPr>
            <a:xfrm>
              <a:off x="2090057" y="694870"/>
              <a:ext cx="2558143" cy="5116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ES" sz="1400" b="0" i="0">
                  <a:latin typeface="Cambria Math" panose="02040503050406030204" pitchFamily="18" charset="0"/>
                </a:rPr>
                <a:t>−𝑑𝐶/𝑑𝑡=𝑘_𝑟  (𝑘_2·𝐶)/(1+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𝑘_2·𝐶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(𝑘_1·𝐶)/(1+𝑘_2·𝐶)</a:t>
              </a:r>
              <a:endParaRPr lang="es-ES" sz="1400"/>
            </a:p>
          </xdr:txBody>
        </xdr:sp>
      </mc:Fallback>
    </mc:AlternateContent>
    <xdr:clientData/>
  </xdr:oneCellAnchor>
  <xdr:oneCellAnchor>
    <xdr:from>
      <xdr:col>7</xdr:col>
      <xdr:colOff>163286</xdr:colOff>
      <xdr:row>3</xdr:row>
      <xdr:rowOff>10886</xdr:rowOff>
    </xdr:from>
    <xdr:ext cx="2460171" cy="5116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 txBox="1"/>
          </xdr:nvSpPr>
          <xdr:spPr>
            <a:xfrm>
              <a:off x="6576786" y="683986"/>
              <a:ext cx="2460171" cy="5116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b="0" i="1">
                        <a:latin typeface="Cambria Math" panose="02040503050406030204" pitchFamily="18" charset="0"/>
                      </a:rPr>
                      <m:t>−</m:t>
                    </m:r>
                    <m:func>
                      <m:funcPr>
                        <m:ctrlPr>
                          <a:rPr lang="es-ES" sz="1400" b="0" i="1">
                            <a:latin typeface="Cambria Math" panose="02040503050406030204" pitchFamily="18" charset="0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es-ES" sz="1400" b="0" i="0">
                            <a:latin typeface="Cambria Math" panose="02040503050406030204" pitchFamily="18" charset="0"/>
                          </a:rPr>
                          <m:t>ln</m:t>
                        </m:r>
                      </m:fName>
                      <m:e>
                        <m:d>
                          <m:dPr>
                            <m:ctrlPr>
                              <a:rPr lang="es-ES" sz="14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s-ES" sz="14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es-ES" sz="14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" sz="1400" b="0" i="1">
                                        <a:latin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  <m:sub>
                                    <m:r>
                                      <a:rPr lang="es-ES" sz="1400" b="0" i="1">
                                        <a:latin typeface="Cambria Math" panose="02040503050406030204" pitchFamily="18" charset="0"/>
                                      </a:rPr>
                                      <m:t>𝑡</m:t>
                                    </m:r>
                                  </m:sub>
                                </m:sSub>
                              </m:num>
                              <m:den>
                                <m:sSub>
                                  <m:sSubPr>
                                    <m:ctrlPr>
                                      <a:rPr lang="es-ES" sz="14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" sz="1400" b="0" i="1">
                                        <a:latin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  <m:sub>
                                    <m:r>
                                      <a:rPr lang="es-ES" sz="1400" b="0" i="1">
                                        <a:latin typeface="Cambria Math" panose="02040503050406030204" pitchFamily="18" charset="0"/>
                                      </a:rPr>
                                      <m:t>0</m:t>
                                    </m:r>
                                  </m:sub>
                                </m:sSub>
                              </m:den>
                            </m:f>
                          </m:e>
                        </m:d>
                      </m:e>
                    </m:func>
                    <m:r>
                      <a:rPr lang="es-ES" sz="14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</m:t>
                        </m:r>
                      </m:e>
                      <m:sub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d>
                      <m:dPr>
                        <m:ctrlP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</m:sub>
                        </m:sSub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</m:e>
                    </m:d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</m:t>
                        </m:r>
                      </m:e>
                      <m:sub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𝑡</m:t>
                    </m:r>
                  </m:oMath>
                </m:oMathPara>
              </a14:m>
              <a:endParaRPr lang="es-ES" sz="140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B6C0BB87-3393-7E4F-91AD-01247C794D70}"/>
                </a:ext>
              </a:extLst>
            </xdr:cNvPr>
            <xdr:cNvSpPr txBox="1"/>
          </xdr:nvSpPr>
          <xdr:spPr>
            <a:xfrm>
              <a:off x="6576786" y="683986"/>
              <a:ext cx="2460171" cy="5116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ES" sz="1400" b="0" i="0">
                  <a:latin typeface="Cambria Math" panose="02040503050406030204" pitchFamily="18" charset="0"/>
                </a:rPr>
                <a:t>−ln⁡(𝐶_𝑡/𝐶_0 )−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𝑘_2·(𝐶_𝑡−𝐶_0 )=𝑘_1·𝑡</a:t>
              </a:r>
              <a:endParaRPr lang="es-ES" sz="1400"/>
            </a:p>
          </xdr:txBody>
        </xdr:sp>
      </mc:Fallback>
    </mc:AlternateContent>
    <xdr:clientData/>
  </xdr:oneCellAnchor>
  <xdr:twoCellAnchor editAs="oneCell">
    <xdr:from>
      <xdr:col>25</xdr:col>
      <xdr:colOff>695325</xdr:colOff>
      <xdr:row>52</xdr:row>
      <xdr:rowOff>90970</xdr:rowOff>
    </xdr:from>
    <xdr:to>
      <xdr:col>32</xdr:col>
      <xdr:colOff>315370</xdr:colOff>
      <xdr:row>78</xdr:row>
      <xdr:rowOff>42636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74275" y="10644670"/>
          <a:ext cx="5087395" cy="5171366"/>
        </a:xfrm>
        <a:prstGeom prst="rect">
          <a:avLst/>
        </a:prstGeom>
      </xdr:spPr>
    </xdr:pic>
    <xdr:clientData/>
  </xdr:twoCellAnchor>
  <xdr:twoCellAnchor>
    <xdr:from>
      <xdr:col>13</xdr:col>
      <xdr:colOff>419101</xdr:colOff>
      <xdr:row>36</xdr:row>
      <xdr:rowOff>76200</xdr:rowOff>
    </xdr:from>
    <xdr:to>
      <xdr:col>18</xdr:col>
      <xdr:colOff>895351</xdr:colOff>
      <xdr:row>49</xdr:row>
      <xdr:rowOff>9525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0.43546</cdr:x>
      <cdr:y>0.07498</cdr:y>
    </cdr:from>
    <cdr:to>
      <cdr:x>0.54138</cdr:x>
      <cdr:y>0.19979</cdr:y>
    </cdr:to>
    <cdr:sp macro="" textlink="">
      <cdr:nvSpPr>
        <cdr:cNvPr id="2" name="CuadroTexto 6">
          <a:extLst xmlns:a="http://schemas.openxmlformats.org/drawingml/2006/main">
            <a:ext uri="{FF2B5EF4-FFF2-40B4-BE49-F238E27FC236}">
              <a16:creationId xmlns:a16="http://schemas.microsoft.com/office/drawing/2014/main" id="{E5056421-A2A5-A645-BF09-3B6C0A01FD8A}"/>
            </a:ext>
          </a:extLst>
        </cdr:cNvPr>
        <cdr:cNvSpPr txBox="1"/>
      </cdr:nvSpPr>
      <cdr:spPr>
        <a:xfrm xmlns:a="http://schemas.openxmlformats.org/drawingml/2006/main">
          <a:off x="3221621" y="365866"/>
          <a:ext cx="783612" cy="60901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/>
            <a:t>k1=0.0043</a:t>
          </a:r>
        </a:p>
        <a:p xmlns:a="http://schemas.openxmlformats.org/drawingml/2006/main">
          <a:r>
            <a:rPr lang="es-ES" sz="1100"/>
            <a:t>k2=0</a:t>
          </a:r>
        </a:p>
        <a:p xmlns:a="http://schemas.openxmlformats.org/drawingml/2006/main">
          <a:r>
            <a:rPr lang="es-ES" sz="1100"/>
            <a:t>R</a:t>
          </a:r>
          <a:r>
            <a:rPr lang="es-ES" sz="1100" baseline="30000"/>
            <a:t>2</a:t>
          </a:r>
          <a:r>
            <a:rPr lang="es-ES" sz="1100"/>
            <a:t>=0.995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0.6734</cdr:x>
      <cdr:y>0.40471</cdr:y>
    </cdr:from>
    <cdr:to>
      <cdr:x>0.75393</cdr:x>
      <cdr:y>0.46137</cdr:y>
    </cdr:to>
    <cdr:sp macro="" textlink="">
      <cdr:nvSpPr>
        <cdr:cNvPr id="2" name="CuadroTexto 6">
          <a:extLst xmlns:a="http://schemas.openxmlformats.org/drawingml/2006/main">
            <a:ext uri="{FF2B5EF4-FFF2-40B4-BE49-F238E27FC236}">
              <a16:creationId xmlns:a16="http://schemas.microsoft.com/office/drawing/2014/main" id="{E5056421-A2A5-A645-BF09-3B6C0A01FD8A}"/>
            </a:ext>
          </a:extLst>
        </cdr:cNvPr>
        <cdr:cNvSpPr txBox="1"/>
      </cdr:nvSpPr>
      <cdr:spPr>
        <a:xfrm xmlns:a="http://schemas.openxmlformats.org/drawingml/2006/main">
          <a:off x="5262340" y="1889617"/>
          <a:ext cx="62933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/>
            <a:t>R</a:t>
          </a:r>
          <a:r>
            <a:rPr lang="es-ES" sz="1100" baseline="30000"/>
            <a:t>2</a:t>
          </a:r>
          <a:r>
            <a:rPr lang="es-ES" sz="1100"/>
            <a:t>=0.99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170996</xdr:colOff>
      <xdr:row>46</xdr:row>
      <xdr:rowOff>107496</xdr:rowOff>
    </xdr:from>
    <xdr:ext cx="3108325" cy="6127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1044121" y="9886496"/>
              <a:ext cx="3108325" cy="612775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𝑙𝑛</m:t>
                    </m:r>
                    <m:d>
                      <m:dPr>
                        <m:ctrlP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ES" sz="16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s-ES" sz="16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ES" sz="16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es-ES" sz="16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𝑡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es-ES" sz="16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ES" sz="16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es-ES" sz="16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0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sSub>
                      <m:sSubPr>
                        <m:ctrlP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</m:t>
                        </m:r>
                      </m:e>
                      <m:sub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d>
                      <m:dPr>
                        <m:ctrlP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6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6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6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</m:sub>
                        </m:sSub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6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6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6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</m:e>
                    </m:d>
                    <m:r>
                      <a:rPr lang="es-ES" sz="20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</m:t>
                        </m:r>
                      </m:e>
                      <m:sub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𝑡</m:t>
                    </m:r>
                  </m:oMath>
                </m:oMathPara>
              </a14:m>
              <a:endParaRPr lang="es-ES" sz="2000" b="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166D1E27-1440-FE4E-8D6C-29C3C9E34AF3}"/>
                </a:ext>
              </a:extLst>
            </xdr:cNvPr>
            <xdr:cNvSpPr txBox="1"/>
          </xdr:nvSpPr>
          <xdr:spPr>
            <a:xfrm>
              <a:off x="1044121" y="9886496"/>
              <a:ext cx="3108325" cy="612775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−𝑙𝑛(𝐶_𝑡/𝐶_0 )−𝑘_2·(𝐶_𝑡−𝐶_0 )</a:t>
              </a:r>
              <a:r>
                <a:rPr lang="es-ES" sz="2000" b="0" i="0">
                  <a:latin typeface="Cambria Math" panose="02040503050406030204" pitchFamily="18" charset="0"/>
                </a:rPr>
                <a:t>=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𝑘_1·𝑡</a:t>
              </a:r>
              <a:endParaRPr lang="es-ES" sz="2000" b="0"/>
            </a:p>
          </xdr:txBody>
        </xdr:sp>
      </mc:Fallback>
    </mc:AlternateContent>
    <xdr:clientData/>
  </xdr:oneCellAnchor>
  <xdr:twoCellAnchor>
    <xdr:from>
      <xdr:col>12</xdr:col>
      <xdr:colOff>259896</xdr:colOff>
      <xdr:row>11</xdr:row>
      <xdr:rowOff>9978</xdr:rowOff>
    </xdr:from>
    <xdr:to>
      <xdr:col>21</xdr:col>
      <xdr:colOff>461009</xdr:colOff>
      <xdr:row>35</xdr:row>
      <xdr:rowOff>31749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280761</xdr:colOff>
      <xdr:row>49</xdr:row>
      <xdr:rowOff>99786</xdr:rowOff>
    </xdr:from>
    <xdr:ext cx="3108325" cy="4463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SpPr txBox="1"/>
          </xdr:nvSpPr>
          <xdr:spPr>
            <a:xfrm>
              <a:off x="11345636" y="9275536"/>
              <a:ext cx="3108325" cy="446314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s-ES" sz="16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𝑙𝑛</m:t>
                  </m:r>
                  <m:d>
                    <m:dPr>
                      <m:ctrlPr>
                        <a:rPr lang="es-ES" sz="16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f>
                        <m:fPr>
                          <m:ctrlPr>
                            <a:rPr lang="es-ES" sz="16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sSub>
                            <m:sSubPr>
                              <m:ctrlPr>
                                <a:rPr lang="es-ES" sz="16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s-ES" sz="16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𝐶</m:t>
                              </m:r>
                            </m:e>
                            <m:sub>
                              <m:r>
                                <a:rPr lang="es-ES" sz="16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𝑡</m:t>
                              </m:r>
                            </m:sub>
                          </m:sSub>
                        </m:num>
                        <m:den>
                          <m:sSub>
                            <m:sSubPr>
                              <m:ctrlPr>
                                <a:rPr lang="es-ES" sz="16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s-ES" sz="16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𝐶</m:t>
                              </m:r>
                            </m:e>
                            <m:sub>
                              <m:r>
                                <a:rPr lang="es-ES" sz="16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sub>
                          </m:sSub>
                        </m:den>
                      </m:f>
                    </m:e>
                  </m:d>
                  <m:r>
                    <a:rPr lang="es-ES" sz="16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+</m:t>
                  </m:r>
                  <m:sSub>
                    <m:sSubPr>
                      <m:ctrlPr>
                        <a:rPr lang="es-ES" sz="16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s-ES" sz="16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𝑘</m:t>
                      </m:r>
                    </m:e>
                    <m:sub>
                      <m:r>
                        <a:rPr lang="es-ES" sz="16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2</m:t>
                      </m:r>
                    </m:sub>
                  </m:sSub>
                  <m:r>
                    <a:rPr lang="es-ES" sz="16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·</m:t>
                  </m:r>
                  <m:d>
                    <m:dPr>
                      <m:ctrlPr>
                        <a:rPr lang="es-ES" sz="16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lang="es-ES" sz="16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s-ES" sz="16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𝐶</m:t>
                          </m:r>
                        </m:e>
                        <m:sub>
                          <m:r>
                            <a:rPr lang="es-ES" sz="16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𝑡</m:t>
                          </m:r>
                        </m:sub>
                      </m:sSub>
                      <m:r>
                        <a:rPr lang="es-ES" sz="16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sSub>
                        <m:sSubPr>
                          <m:ctrlPr>
                            <a:rPr lang="es-ES" sz="16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s-ES" sz="16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𝐶</m:t>
                          </m:r>
                        </m:e>
                        <m:sub>
                          <m:r>
                            <a:rPr lang="es-ES" sz="16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0</m:t>
                          </m:r>
                        </m:sub>
                      </m:sSub>
                    </m:e>
                  </m:d>
                  <m:r>
                    <a:rPr lang="es-ES" sz="2000" b="0" i="1">
                      <a:latin typeface="Cambria Math" panose="02040503050406030204" pitchFamily="18" charset="0"/>
                    </a:rPr>
                    <m:t>+</m:t>
                  </m:r>
                  <m:sSub>
                    <m:sSubPr>
                      <m:ctrlPr>
                        <a:rPr lang="es-ES" sz="16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s-ES" sz="16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𝑘</m:t>
                      </m:r>
                    </m:e>
                    <m:sub>
                      <m:r>
                        <a:rPr lang="es-ES" sz="16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</m:t>
                      </m:r>
                    </m:sub>
                  </m:sSub>
                  <m:r>
                    <a:rPr lang="es-ES" sz="16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·</m:t>
                  </m:r>
                  <m:r>
                    <a:rPr lang="es-ES" sz="16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𝑡</m:t>
                  </m:r>
                </m:oMath>
              </a14:m>
              <a:r>
                <a:rPr lang="es-ES" sz="2000" b="0"/>
                <a:t>=0</a:t>
              </a:r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731D67D0-49A0-9C4D-AF3C-8FC16A0BEC89}"/>
                </a:ext>
              </a:extLst>
            </xdr:cNvPr>
            <xdr:cNvSpPr txBox="1"/>
          </xdr:nvSpPr>
          <xdr:spPr>
            <a:xfrm>
              <a:off x="11345636" y="9275536"/>
              <a:ext cx="3108325" cy="446314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𝑙𝑛(𝐶_𝑡/𝐶_0 )+𝑘_2·(𝐶_𝑡−𝐶_0 )</a:t>
              </a:r>
              <a:r>
                <a:rPr lang="es-ES" sz="2000" b="0" i="0">
                  <a:latin typeface="Cambria Math" panose="02040503050406030204" pitchFamily="18" charset="0"/>
                </a:rPr>
                <a:t>+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𝑘_1·𝑡</a:t>
              </a:r>
              <a:r>
                <a:rPr lang="es-ES" sz="2000" b="0"/>
                <a:t>=0</a:t>
              </a:r>
            </a:p>
          </xdr:txBody>
        </xdr:sp>
      </mc:Fallback>
    </mc:AlternateContent>
    <xdr:clientData/>
  </xdr:oneCellAnchor>
  <xdr:twoCellAnchor>
    <xdr:from>
      <xdr:col>11</xdr:col>
      <xdr:colOff>145597</xdr:colOff>
      <xdr:row>59</xdr:row>
      <xdr:rowOff>69396</xdr:rowOff>
    </xdr:from>
    <xdr:to>
      <xdr:col>20</xdr:col>
      <xdr:colOff>102055</xdr:colOff>
      <xdr:row>81</xdr:row>
      <xdr:rowOff>191860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</xdr:col>
      <xdr:colOff>337457</xdr:colOff>
      <xdr:row>3</xdr:row>
      <xdr:rowOff>21770</xdr:rowOff>
    </xdr:from>
    <xdr:ext cx="2558143" cy="5116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0000000-0008-0000-0500-000006000000}"/>
                </a:ext>
              </a:extLst>
            </xdr:cNvPr>
            <xdr:cNvSpPr txBox="1"/>
          </xdr:nvSpPr>
          <xdr:spPr>
            <a:xfrm>
              <a:off x="2090057" y="694870"/>
              <a:ext cx="2558143" cy="5116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b="0" i="1">
                        <a:latin typeface="Cambria Math" panose="02040503050406030204" pitchFamily="18" charset="0"/>
                      </a:rPr>
                      <m:t>−</m:t>
                    </m:r>
                    <m:f>
                      <m:fPr>
                        <m:ctrlPr>
                          <a:rPr lang="es-ES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𝑑𝐶</m:t>
                        </m:r>
                      </m:num>
                      <m:den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𝑑𝑡</m:t>
                        </m:r>
                      </m:den>
                    </m:f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𝑟</m:t>
                        </m:r>
                      </m:sub>
                    </m:sSub>
                    <m:f>
                      <m:fPr>
                        <m:ctrlPr>
                          <a:rPr lang="es-ES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ES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𝑘</m:t>
                            </m:r>
                          </m:e>
                          <m:sub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·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𝐶</m:t>
                        </m:r>
                      </m:num>
                      <m:den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1+</m:t>
                        </m:r>
                        <m:sSub>
                          <m:sSubPr>
                            <m:ctrlP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·</m:t>
                        </m:r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den>
                    </m:f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·</m:t>
                        </m:r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num>
                      <m:den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1+</m:t>
                        </m:r>
                        <m:sSub>
                          <m:sSubPr>
                            <m:ctrlP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·</m:t>
                        </m:r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den>
                    </m:f>
                  </m:oMath>
                </m:oMathPara>
              </a14:m>
              <a:endParaRPr lang="es-ES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CFAD904C-FC2B-1943-8E64-2A9A48C35FD5}"/>
                </a:ext>
              </a:extLst>
            </xdr:cNvPr>
            <xdr:cNvSpPr txBox="1"/>
          </xdr:nvSpPr>
          <xdr:spPr>
            <a:xfrm>
              <a:off x="2090057" y="694870"/>
              <a:ext cx="2558143" cy="5116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ES" sz="1400" b="0" i="0">
                  <a:latin typeface="Cambria Math" panose="02040503050406030204" pitchFamily="18" charset="0"/>
                </a:rPr>
                <a:t>−𝑑𝐶/𝑑𝑡=𝑘_𝑟  (𝑘_2·𝐶)/(1+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𝑘_2·𝐶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(𝑘_1·𝐶)/(1+𝑘_2·𝐶)</a:t>
              </a:r>
              <a:endParaRPr lang="es-ES" sz="1400"/>
            </a:p>
          </xdr:txBody>
        </xdr:sp>
      </mc:Fallback>
    </mc:AlternateContent>
    <xdr:clientData/>
  </xdr:oneCellAnchor>
  <xdr:oneCellAnchor>
    <xdr:from>
      <xdr:col>7</xdr:col>
      <xdr:colOff>163286</xdr:colOff>
      <xdr:row>3</xdr:row>
      <xdr:rowOff>10886</xdr:rowOff>
    </xdr:from>
    <xdr:ext cx="2460171" cy="5116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SpPr txBox="1"/>
          </xdr:nvSpPr>
          <xdr:spPr>
            <a:xfrm>
              <a:off x="6576786" y="683986"/>
              <a:ext cx="2460171" cy="5116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b="0" i="1">
                        <a:latin typeface="Cambria Math" panose="02040503050406030204" pitchFamily="18" charset="0"/>
                      </a:rPr>
                      <m:t>−</m:t>
                    </m:r>
                    <m:func>
                      <m:funcPr>
                        <m:ctrlPr>
                          <a:rPr lang="es-ES" sz="1400" b="0" i="1">
                            <a:latin typeface="Cambria Math" panose="02040503050406030204" pitchFamily="18" charset="0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es-ES" sz="1400" b="0" i="0">
                            <a:latin typeface="Cambria Math" panose="02040503050406030204" pitchFamily="18" charset="0"/>
                          </a:rPr>
                          <m:t>ln</m:t>
                        </m:r>
                      </m:fName>
                      <m:e>
                        <m:d>
                          <m:dPr>
                            <m:ctrlPr>
                              <a:rPr lang="es-ES" sz="14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s-ES" sz="14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es-ES" sz="14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" sz="1400" b="0" i="1">
                                        <a:latin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  <m:sub>
                                    <m:r>
                                      <a:rPr lang="es-ES" sz="1400" b="0" i="1">
                                        <a:latin typeface="Cambria Math" panose="02040503050406030204" pitchFamily="18" charset="0"/>
                                      </a:rPr>
                                      <m:t>𝑡</m:t>
                                    </m:r>
                                  </m:sub>
                                </m:sSub>
                              </m:num>
                              <m:den>
                                <m:sSub>
                                  <m:sSubPr>
                                    <m:ctrlPr>
                                      <a:rPr lang="es-ES" sz="14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" sz="1400" b="0" i="1">
                                        <a:latin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  <m:sub>
                                    <m:r>
                                      <a:rPr lang="es-ES" sz="1400" b="0" i="1">
                                        <a:latin typeface="Cambria Math" panose="02040503050406030204" pitchFamily="18" charset="0"/>
                                      </a:rPr>
                                      <m:t>0</m:t>
                                    </m:r>
                                  </m:sub>
                                </m:sSub>
                              </m:den>
                            </m:f>
                          </m:e>
                        </m:d>
                      </m:e>
                    </m:func>
                    <m:r>
                      <a:rPr lang="es-ES" sz="14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</m:t>
                        </m:r>
                      </m:e>
                      <m:sub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d>
                      <m:dPr>
                        <m:ctrlP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</m:sub>
                        </m:sSub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</m:e>
                    </m:d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</m:t>
                        </m:r>
                      </m:e>
                      <m:sub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𝑡</m:t>
                    </m:r>
                  </m:oMath>
                </m:oMathPara>
              </a14:m>
              <a:endParaRPr lang="es-ES" sz="140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59036756-92C4-DC4A-B7D2-33C838F2F109}"/>
                </a:ext>
              </a:extLst>
            </xdr:cNvPr>
            <xdr:cNvSpPr txBox="1"/>
          </xdr:nvSpPr>
          <xdr:spPr>
            <a:xfrm>
              <a:off x="6576786" y="683986"/>
              <a:ext cx="2460171" cy="5116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ES" sz="1400" b="0" i="0">
                  <a:latin typeface="Cambria Math" panose="02040503050406030204" pitchFamily="18" charset="0"/>
                </a:rPr>
                <a:t>−ln⁡(𝐶_𝑡/𝐶_0 )−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𝑘_2·(𝐶_𝑡−𝐶_0 )=𝑘_1·𝑡</a:t>
              </a:r>
              <a:endParaRPr lang="es-ES" sz="1400"/>
            </a:p>
          </xdr:txBody>
        </xdr:sp>
      </mc:Fallback>
    </mc:AlternateContent>
    <xdr:clientData/>
  </xdr:oneCellAnchor>
  <xdr:twoCellAnchor editAs="oneCell">
    <xdr:from>
      <xdr:col>20</xdr:col>
      <xdr:colOff>152400</xdr:colOff>
      <xdr:row>55</xdr:row>
      <xdr:rowOff>148120</xdr:rowOff>
    </xdr:from>
    <xdr:to>
      <xdr:col>26</xdr:col>
      <xdr:colOff>553495</xdr:colOff>
      <xdr:row>81</xdr:row>
      <xdr:rowOff>118836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37200" y="10397020"/>
          <a:ext cx="5658895" cy="5250741"/>
        </a:xfrm>
        <a:prstGeom prst="rect">
          <a:avLst/>
        </a:prstGeom>
      </xdr:spPr>
    </xdr:pic>
    <xdr:clientData/>
  </xdr:twoCellAnchor>
  <xdr:twoCellAnchor>
    <xdr:from>
      <xdr:col>12</xdr:col>
      <xdr:colOff>762000</xdr:colOff>
      <xdr:row>35</xdr:row>
      <xdr:rowOff>95251</xdr:rowOff>
    </xdr:from>
    <xdr:to>
      <xdr:col>17</xdr:col>
      <xdr:colOff>390525</xdr:colOff>
      <xdr:row>47</xdr:row>
      <xdr:rowOff>38101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0.43546</cdr:x>
      <cdr:y>0.07498</cdr:y>
    </cdr:from>
    <cdr:to>
      <cdr:x>0.56361</cdr:x>
      <cdr:y>0.20127</cdr:y>
    </cdr:to>
    <cdr:sp macro="" textlink="">
      <cdr:nvSpPr>
        <cdr:cNvPr id="2" name="CuadroTexto 6">
          <a:extLst xmlns:a="http://schemas.openxmlformats.org/drawingml/2006/main">
            <a:ext uri="{FF2B5EF4-FFF2-40B4-BE49-F238E27FC236}">
              <a16:creationId xmlns:a16="http://schemas.microsoft.com/office/drawing/2014/main" id="{E5056421-A2A5-A645-BF09-3B6C0A01FD8A}"/>
            </a:ext>
          </a:extLst>
        </cdr:cNvPr>
        <cdr:cNvSpPr txBox="1"/>
      </cdr:nvSpPr>
      <cdr:spPr>
        <a:xfrm xmlns:a="http://schemas.openxmlformats.org/drawingml/2006/main">
          <a:off x="3148621" y="361581"/>
          <a:ext cx="926600" cy="60901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/>
            <a:t>k1=0.0141</a:t>
          </a:r>
        </a:p>
        <a:p xmlns:a="http://schemas.openxmlformats.org/drawingml/2006/main">
          <a:r>
            <a:rPr lang="es-ES" sz="1100"/>
            <a:t>k2=0.000713</a:t>
          </a:r>
        </a:p>
        <a:p xmlns:a="http://schemas.openxmlformats.org/drawingml/2006/main">
          <a:r>
            <a:rPr lang="es-ES" sz="1100"/>
            <a:t>R</a:t>
          </a:r>
          <a:r>
            <a:rPr lang="es-ES" sz="1100" baseline="30000"/>
            <a:t>2</a:t>
          </a:r>
          <a:r>
            <a:rPr lang="es-ES" sz="1100"/>
            <a:t>=0.98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ohanna/Desktop/Adsor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tra"/>
      <sheetName val="C 1000"/>
      <sheetName val="Cipro"/>
      <sheetName val="Sulfame"/>
      <sheetName val="Sulfadi"/>
      <sheetName val="B 1000"/>
      <sheetName val="B 100"/>
      <sheetName val="B 20"/>
    </sheetNames>
    <sheetDataSet>
      <sheetData sheetId="0">
        <row r="4">
          <cell r="B4">
            <v>72</v>
          </cell>
          <cell r="E4">
            <v>-3.1981764992533361</v>
          </cell>
        </row>
        <row r="12">
          <cell r="E12">
            <v>-0.37814910257213175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52"/>
  <sheetViews>
    <sheetView topLeftCell="P25" zoomScale="80" zoomScaleNormal="80" workbookViewId="0">
      <selection activeCell="W43" sqref="W43:W52"/>
    </sheetView>
  </sheetViews>
  <sheetFormatPr baseColWidth="10" defaultRowHeight="16" x14ac:dyDescent="0.2"/>
  <cols>
    <col min="3" max="3" width="8.83203125" customWidth="1"/>
    <col min="6" max="6" width="8.83203125" customWidth="1"/>
    <col min="9" max="9" width="8.83203125" customWidth="1"/>
    <col min="21" max="21" width="11.5" style="44" bestFit="1" customWidth="1"/>
    <col min="24" max="24" width="10.83203125" style="39"/>
    <col min="25" max="26" width="12.83203125" customWidth="1"/>
    <col min="29" max="30" width="15" customWidth="1"/>
    <col min="31" max="32" width="16.1640625" customWidth="1"/>
    <col min="33" max="34" width="30" customWidth="1"/>
  </cols>
  <sheetData>
    <row r="1" spans="2:34" x14ac:dyDescent="0.2">
      <c r="AG1" s="86" t="s">
        <v>31</v>
      </c>
      <c r="AH1" s="87" t="s">
        <v>70</v>
      </c>
    </row>
    <row r="2" spans="2:34" x14ac:dyDescent="0.2">
      <c r="X2" s="54" t="s">
        <v>21</v>
      </c>
      <c r="Y2" s="86" t="s">
        <v>31</v>
      </c>
      <c r="Z2" s="87" t="s">
        <v>70</v>
      </c>
      <c r="AA2" s="86" t="s">
        <v>31</v>
      </c>
      <c r="AB2" s="87" t="s">
        <v>70</v>
      </c>
      <c r="AC2" s="86" t="s">
        <v>31</v>
      </c>
      <c r="AD2" s="87" t="s">
        <v>70</v>
      </c>
      <c r="AE2" s="86" t="s">
        <v>31</v>
      </c>
      <c r="AF2" s="87" t="s">
        <v>70</v>
      </c>
      <c r="AG2" s="90"/>
      <c r="AH2" s="91"/>
    </row>
    <row r="3" spans="2:34" x14ac:dyDescent="0.2">
      <c r="B3" t="s">
        <v>1</v>
      </c>
      <c r="D3" t="s">
        <v>22</v>
      </c>
      <c r="G3" t="s">
        <v>22</v>
      </c>
      <c r="J3" t="s">
        <v>22</v>
      </c>
      <c r="L3" s="37" t="s">
        <v>23</v>
      </c>
      <c r="M3" s="37" t="s">
        <v>24</v>
      </c>
      <c r="N3" s="37" t="s">
        <v>25</v>
      </c>
      <c r="O3" t="s">
        <v>26</v>
      </c>
      <c r="P3" t="s">
        <v>0</v>
      </c>
      <c r="R3" t="s">
        <v>27</v>
      </c>
      <c r="S3" t="s">
        <v>28</v>
      </c>
      <c r="T3" t="s">
        <v>29</v>
      </c>
      <c r="U3" s="44" t="s">
        <v>26</v>
      </c>
      <c r="V3" t="s">
        <v>22</v>
      </c>
      <c r="W3" s="38" t="s">
        <v>0</v>
      </c>
      <c r="X3" s="54" t="s">
        <v>31</v>
      </c>
      <c r="Y3" s="92"/>
      <c r="Z3" s="93"/>
      <c r="AA3" s="94"/>
      <c r="AB3" s="95"/>
      <c r="AC3" s="88"/>
      <c r="AD3" s="89"/>
      <c r="AE3" s="88"/>
      <c r="AF3" s="89"/>
      <c r="AG3" s="88"/>
      <c r="AH3" s="89"/>
    </row>
    <row r="4" spans="2:34" x14ac:dyDescent="0.2">
      <c r="B4" s="11">
        <v>1440</v>
      </c>
      <c r="C4">
        <v>374.04145058832347</v>
      </c>
      <c r="D4">
        <f>LN($C$13/C4)</f>
        <v>0.97147260513299261</v>
      </c>
      <c r="F4">
        <v>338.93938607538195</v>
      </c>
      <c r="G4">
        <f>LN($F$13/F4)</f>
        <v>0.99719625306313964</v>
      </c>
      <c r="I4">
        <v>603.60613224264273</v>
      </c>
      <c r="J4">
        <f>LN($I$13/I4)</f>
        <v>0.43271552723359252</v>
      </c>
      <c r="L4">
        <f t="shared" ref="L4:L13" si="0">D4</f>
        <v>0.97147260513299261</v>
      </c>
      <c r="M4">
        <f t="shared" ref="M4:M13" si="1">G4</f>
        <v>0.99719625306313964</v>
      </c>
      <c r="N4">
        <f>J4</f>
        <v>0.43271552723359252</v>
      </c>
      <c r="O4">
        <f>AVERAGE(L4:N4)</f>
        <v>0.80046146180990829</v>
      </c>
      <c r="P4">
        <f t="shared" ref="P4:P13" si="2">STDEV(L4:N4)</f>
        <v>0.31873693042031459</v>
      </c>
      <c r="R4">
        <f>C4</f>
        <v>374.04145058832347</v>
      </c>
      <c r="S4">
        <f>F4</f>
        <v>338.93938607538195</v>
      </c>
      <c r="T4" s="56">
        <f>I4</f>
        <v>603.60613224264273</v>
      </c>
      <c r="U4" s="44">
        <f>AVERAGE(R4:S4)</f>
        <v>356.49041833185271</v>
      </c>
      <c r="V4">
        <f>LN(($U$13)/(U4))</f>
        <v>0.97569877830066098</v>
      </c>
      <c r="W4">
        <f>STDEV(R4:S4)/SQRT(2)</f>
        <v>17.551032256470762</v>
      </c>
      <c r="X4" s="39">
        <f>1.96*W4</f>
        <v>34.400023222682691</v>
      </c>
      <c r="Y4" s="39">
        <f>(U4/$U$13)*SQRT(((X4/U4)^2)+(($X$13/$U$13)^2))</f>
        <v>4.0047721088975897E-2</v>
      </c>
      <c r="Z4" s="39">
        <f>(U4/$U$13)*SQRT(((W4/U4)^2)+(($W$13/$U$13)^2))</f>
        <v>2.0432510759681582E-2</v>
      </c>
      <c r="AA4" s="39">
        <f>(1/(U4/$U$13))*Y4</f>
        <v>0.10624742248520827</v>
      </c>
      <c r="AB4" s="39">
        <f>(1/(U4/$U$13))*Z4</f>
        <v>5.4207868614902184E-2</v>
      </c>
      <c r="AC4" s="40">
        <f>(X4^2+$X$13^2)^0.5</f>
        <v>54.329983050843886</v>
      </c>
      <c r="AD4" s="40">
        <f>(W4^2+$W$13^2)^0.5</f>
        <v>27.719379107573413</v>
      </c>
      <c r="AE4" s="40">
        <f>'SMX L-H'!$G$52*'SMX DATOS'!AC4</f>
        <v>60.469073450445407</v>
      </c>
      <c r="AF4" s="40">
        <f>'SMX L-H'!$G$52*'SMX DATOS'!AD4</f>
        <v>30.851568086961947</v>
      </c>
      <c r="AG4" s="41">
        <f>(AA4^2+AE4^2)^0.5</f>
        <v>60.469166791598397</v>
      </c>
      <c r="AH4" s="41">
        <f>(AB4^2+AF4^2)^0.5</f>
        <v>30.851615709999187</v>
      </c>
    </row>
    <row r="5" spans="2:34" x14ac:dyDescent="0.2">
      <c r="B5" s="11">
        <v>150</v>
      </c>
      <c r="C5">
        <v>428.19513427534628</v>
      </c>
      <c r="D5">
        <f t="shared" ref="D5:D13" si="3">LN($C$13/C5)</f>
        <v>0.83626021397096295</v>
      </c>
      <c r="F5">
        <v>522.46602206047396</v>
      </c>
      <c r="G5">
        <f t="shared" ref="G5:G13" si="4">LN($F$13/F5)</f>
        <v>0.56445759014394448</v>
      </c>
      <c r="I5">
        <v>568.95909506736507</v>
      </c>
      <c r="J5">
        <f t="shared" ref="J5:J13" si="5">LN($I$13/I5)</f>
        <v>0.49182887114226193</v>
      </c>
      <c r="L5">
        <f t="shared" si="0"/>
        <v>0.83626021397096295</v>
      </c>
      <c r="M5">
        <f t="shared" si="1"/>
        <v>0.56445759014394448</v>
      </c>
      <c r="N5">
        <f>J5</f>
        <v>0.49182887114226193</v>
      </c>
      <c r="O5">
        <f>AVERAGE(L5:N5)</f>
        <v>0.63084889175238967</v>
      </c>
      <c r="P5">
        <f t="shared" si="2"/>
        <v>0.1815601585636106</v>
      </c>
      <c r="R5" s="55">
        <f t="shared" ref="R5:R13" si="6">C5</f>
        <v>428.19513427534628</v>
      </c>
      <c r="S5">
        <f t="shared" ref="S5:S13" si="7">F5</f>
        <v>522.46602206047396</v>
      </c>
      <c r="T5">
        <f t="shared" ref="T5:T13" si="8">I5</f>
        <v>568.95909506736507</v>
      </c>
      <c r="U5" s="44">
        <f>AVERAGE(S5:T5)</f>
        <v>545.71255856391952</v>
      </c>
      <c r="V5">
        <f t="shared" ref="V5:V13" si="9">LN(($U$13)/(U5))</f>
        <v>0.54991375313924262</v>
      </c>
      <c r="W5">
        <f>STDEV(S5:T5)/SQRT(2)</f>
        <v>23.246536503445554</v>
      </c>
      <c r="X5" s="39">
        <f t="shared" ref="X5:X13" si="10">1.96*W5</f>
        <v>45.563211546753287</v>
      </c>
      <c r="Y5" s="39">
        <f t="shared" ref="Y5:Y13" si="11">(U5/$U$13)*SQRT(((X5/U5)^2)+(($X$13/$U$13)^2))</f>
        <v>5.4580807423503963E-2</v>
      </c>
      <c r="Z5" s="39">
        <f t="shared" ref="Z5:Z13" si="12">(U5/$U$13)*SQRT(((W5/U5)^2)+(($W$13/$U$13)^2))</f>
        <v>2.7847350726277531E-2</v>
      </c>
      <c r="AA5" s="39">
        <f t="shared" ref="AA5:AA13" si="13">(1/(U5/$U$13))*Y5</f>
        <v>9.4594190380630605E-2</v>
      </c>
      <c r="AB5" s="39">
        <f t="shared" ref="AB5:AB12" si="14">(1/(U5/$U$13))*Z5</f>
        <v>4.8262342030933984E-2</v>
      </c>
      <c r="AC5" s="40">
        <f t="shared" ref="AC5:AC13" si="15">(X5^2+$X$13^2)^0.5</f>
        <v>62.00315884725606</v>
      </c>
      <c r="AD5" s="40">
        <f t="shared" ref="AD5:AD13" si="16">(W5^2+$W$13^2)^0.5</f>
        <v>31.634264717987786</v>
      </c>
      <c r="AE5" s="40">
        <f>'SMX L-H'!$G$52*'SMX DATOS'!AC5</f>
        <v>69.009290192225166</v>
      </c>
      <c r="AF5" s="40">
        <f>'SMX L-H'!$G$52*'SMX DATOS'!AD5</f>
        <v>35.208821526645494</v>
      </c>
      <c r="AG5" s="41">
        <f t="shared" ref="AG5:AG13" si="17">(AA5^2+AE5^2)^0.5</f>
        <v>69.009355024486339</v>
      </c>
      <c r="AH5" s="41">
        <f t="shared" ref="AH5:AH52" si="18">(AB5^2+AF5^2)^0.5</f>
        <v>35.208854604329765</v>
      </c>
    </row>
    <row r="6" spans="2:34" x14ac:dyDescent="0.2">
      <c r="B6" s="11">
        <v>120</v>
      </c>
      <c r="C6">
        <v>484.88033956123195</v>
      </c>
      <c r="D6">
        <f>LN($C$13/C6)</f>
        <v>0.71193708891404106</v>
      </c>
      <c r="F6">
        <v>576.25095347542594</v>
      </c>
      <c r="G6">
        <f t="shared" si="4"/>
        <v>0.46647429338844648</v>
      </c>
      <c r="I6">
        <v>540.40959398361156</v>
      </c>
      <c r="J6">
        <f t="shared" si="5"/>
        <v>0.54331005410935751</v>
      </c>
      <c r="L6">
        <f t="shared" si="0"/>
        <v>0.71193708891404106</v>
      </c>
      <c r="M6">
        <f t="shared" si="1"/>
        <v>0.46647429338844648</v>
      </c>
      <c r="N6">
        <f t="shared" ref="N6:N13" si="19">J6</f>
        <v>0.54331005410935751</v>
      </c>
      <c r="O6">
        <f t="shared" ref="O6:O13" si="20">AVERAGE(L6:N6)</f>
        <v>0.57390714547061494</v>
      </c>
      <c r="P6">
        <f t="shared" si="2"/>
        <v>0.12555927881537413</v>
      </c>
      <c r="R6">
        <f t="shared" si="6"/>
        <v>484.88033956123195</v>
      </c>
      <c r="S6">
        <f t="shared" si="7"/>
        <v>576.25095347542594</v>
      </c>
      <c r="T6">
        <f t="shared" si="8"/>
        <v>540.40959398361156</v>
      </c>
      <c r="U6" s="44">
        <f t="shared" ref="U6:U13" si="21">AVERAGE(R6:T6)</f>
        <v>533.84696234008982</v>
      </c>
      <c r="V6">
        <f t="shared" si="9"/>
        <v>0.57189693023624011</v>
      </c>
      <c r="W6">
        <f t="shared" ref="W6:W13" si="22">STDEV(R6:T6)/SQRT(3)</f>
        <v>26.579743993817235</v>
      </c>
      <c r="X6" s="39">
        <f t="shared" si="10"/>
        <v>52.096298227881782</v>
      </c>
      <c r="Y6" s="39">
        <f t="shared" si="11"/>
        <v>6.0531204388579056E-2</v>
      </c>
      <c r="Z6" s="39">
        <f t="shared" si="12"/>
        <v>3.0883267545193396E-2</v>
      </c>
      <c r="AA6" s="39">
        <f t="shared" si="13"/>
        <v>0.1072385655627312</v>
      </c>
      <c r="AB6" s="39">
        <f t="shared" si="14"/>
        <v>5.471355385853633E-2</v>
      </c>
      <c r="AC6" s="40">
        <f>(X6^2+$X$13^2)^0.5</f>
        <v>66.950800963336306</v>
      </c>
      <c r="AD6" s="40">
        <f t="shared" si="16"/>
        <v>34.158571920069548</v>
      </c>
      <c r="AE6" s="40">
        <f>'SMX L-H'!$G$52*'SMX DATOS'!AC6</f>
        <v>74.515997864925737</v>
      </c>
      <c r="AF6" s="40">
        <f>'SMX L-H'!$G$52*'SMX DATOS'!AD6</f>
        <v>38.018366257615178</v>
      </c>
      <c r="AG6" s="41">
        <f t="shared" si="17"/>
        <v>74.516075030261504</v>
      </c>
      <c r="AH6" s="41">
        <f t="shared" si="18"/>
        <v>38.018405627684444</v>
      </c>
    </row>
    <row r="7" spans="2:34" x14ac:dyDescent="0.2">
      <c r="B7" s="11">
        <v>90</v>
      </c>
      <c r="C7">
        <v>490.96121103066554</v>
      </c>
      <c r="D7">
        <f t="shared" si="3"/>
        <v>0.69947410212003036</v>
      </c>
      <c r="F7">
        <v>678.16172663431394</v>
      </c>
      <c r="G7">
        <f t="shared" si="4"/>
        <v>0.30363174796471598</v>
      </c>
      <c r="I7">
        <v>592.53829567089861</v>
      </c>
      <c r="J7">
        <f t="shared" si="5"/>
        <v>0.45122190855909061</v>
      </c>
      <c r="L7">
        <f t="shared" si="0"/>
        <v>0.69947410212003036</v>
      </c>
      <c r="M7">
        <f t="shared" si="1"/>
        <v>0.30363174796471598</v>
      </c>
      <c r="N7">
        <f t="shared" si="19"/>
        <v>0.45122190855909061</v>
      </c>
      <c r="O7">
        <f t="shared" si="20"/>
        <v>0.48477591954794558</v>
      </c>
      <c r="P7">
        <f t="shared" si="2"/>
        <v>0.20004298557031575</v>
      </c>
      <c r="R7" s="55">
        <f t="shared" si="6"/>
        <v>490.96121103066554</v>
      </c>
      <c r="S7">
        <f t="shared" si="7"/>
        <v>678.16172663431394</v>
      </c>
      <c r="T7">
        <f t="shared" si="8"/>
        <v>592.53829567089861</v>
      </c>
      <c r="U7" s="44">
        <f>AVERAGE(S7:T7)</f>
        <v>635.35001115260627</v>
      </c>
      <c r="V7">
        <f t="shared" si="9"/>
        <v>0.3978300950402881</v>
      </c>
      <c r="W7">
        <f>STDEV(S7:T7)/SQRT(2)</f>
        <v>42.811715481707658</v>
      </c>
      <c r="X7" s="39">
        <f t="shared" si="10"/>
        <v>83.910962344147009</v>
      </c>
      <c r="Y7" s="39">
        <f t="shared" si="11"/>
        <v>9.3614782137962829E-2</v>
      </c>
      <c r="Z7" s="39">
        <f t="shared" si="12"/>
        <v>4.776264394794022E-2</v>
      </c>
      <c r="AA7" s="39">
        <f t="shared" si="13"/>
        <v>0.1393541305277132</v>
      </c>
      <c r="AB7" s="39">
        <f t="shared" si="14"/>
        <v>7.1099046187608775E-2</v>
      </c>
      <c r="AC7" s="40">
        <f t="shared" si="15"/>
        <v>93.858590774125375</v>
      </c>
      <c r="AD7" s="40">
        <f t="shared" si="16"/>
        <v>47.887036109247639</v>
      </c>
      <c r="AE7" s="40">
        <f>'SMX L-H'!$G$52*'SMX DATOS'!AC7</f>
        <v>104.46427001761653</v>
      </c>
      <c r="AF7" s="40">
        <f>'SMX L-H'!$G$52*'SMX DATOS'!AD7</f>
        <v>53.298096947763533</v>
      </c>
      <c r="AG7" s="41">
        <f t="shared" si="17"/>
        <v>104.46436296597606</v>
      </c>
      <c r="AH7" s="41">
        <f t="shared" si="18"/>
        <v>53.298144370395946</v>
      </c>
    </row>
    <row r="8" spans="2:34" x14ac:dyDescent="0.2">
      <c r="B8" s="11">
        <v>75</v>
      </c>
      <c r="C8">
        <v>508.29038981051343</v>
      </c>
      <c r="D8">
        <f t="shared" si="3"/>
        <v>0.66478630911278636</v>
      </c>
      <c r="F8">
        <v>675.56797720176496</v>
      </c>
      <c r="G8">
        <f t="shared" si="4"/>
        <v>0.30746375755887251</v>
      </c>
      <c r="I8">
        <v>720.06574220286734</v>
      </c>
      <c r="J8">
        <f t="shared" si="5"/>
        <v>0.2562948970665811</v>
      </c>
      <c r="L8">
        <f t="shared" si="0"/>
        <v>0.66478630911278636</v>
      </c>
      <c r="M8">
        <f t="shared" si="1"/>
        <v>0.30746375755887251</v>
      </c>
      <c r="N8">
        <f t="shared" si="19"/>
        <v>0.2562948970665811</v>
      </c>
      <c r="O8">
        <f t="shared" si="20"/>
        <v>0.40951498791274665</v>
      </c>
      <c r="P8">
        <f t="shared" si="2"/>
        <v>0.2225469582839322</v>
      </c>
      <c r="R8" s="55">
        <f t="shared" si="6"/>
        <v>508.29038981051343</v>
      </c>
      <c r="S8">
        <f t="shared" si="7"/>
        <v>675.56797720176496</v>
      </c>
      <c r="T8">
        <f t="shared" si="8"/>
        <v>720.06574220286734</v>
      </c>
      <c r="U8" s="44">
        <f>AVERAGE(S8:T8)</f>
        <v>697.81685970231615</v>
      </c>
      <c r="V8">
        <f t="shared" ref="V8" si="23">LN(($U$13)/(U8))</f>
        <v>0.30404945105922021</v>
      </c>
      <c r="W8">
        <f>STDEV(S8:T8)/SQRT(2)</f>
        <v>22.248882500551186</v>
      </c>
      <c r="X8" s="39">
        <f t="shared" si="10"/>
        <v>43.607809701080328</v>
      </c>
      <c r="Y8" s="39">
        <f t="shared" si="11"/>
        <v>5.6587767155524972E-2</v>
      </c>
      <c r="Z8" s="39">
        <f t="shared" si="12"/>
        <v>2.8871309773227025E-2</v>
      </c>
      <c r="AA8" s="39">
        <f t="shared" si="13"/>
        <v>7.6695442356178076E-2</v>
      </c>
      <c r="AB8" s="39">
        <f t="shared" si="14"/>
        <v>3.9130327732743921E-2</v>
      </c>
      <c r="AC8" s="40">
        <f t="shared" si="15"/>
        <v>60.580743867251343</v>
      </c>
      <c r="AD8" s="40">
        <f t="shared" si="16"/>
        <v>30.90854278941395</v>
      </c>
      <c r="AE8" s="40">
        <f>'SMX L-H'!$G$52*'SMX DATOS'!AC8</f>
        <v>67.426147495080841</v>
      </c>
      <c r="AF8" s="40">
        <f>'SMX L-H'!$G$52*'SMX DATOS'!AD8</f>
        <v>34.40109566075553</v>
      </c>
      <c r="AG8" s="41">
        <f t="shared" si="17"/>
        <v>67.426191114575602</v>
      </c>
      <c r="AH8" s="41">
        <f t="shared" si="18"/>
        <v>34.401117915599798</v>
      </c>
    </row>
    <row r="9" spans="2:34" x14ac:dyDescent="0.2">
      <c r="B9" s="11">
        <v>60</v>
      </c>
      <c r="C9">
        <v>724.9729797767161</v>
      </c>
      <c r="D9">
        <f t="shared" si="3"/>
        <v>0.30970484196968368</v>
      </c>
      <c r="F9">
        <v>695.87845003104246</v>
      </c>
      <c r="G9">
        <f t="shared" si="4"/>
        <v>0.27784253799611569</v>
      </c>
      <c r="I9">
        <v>654.71033371611156</v>
      </c>
      <c r="J9">
        <f t="shared" si="5"/>
        <v>0.35144451430583235</v>
      </c>
      <c r="L9">
        <f t="shared" si="0"/>
        <v>0.30970484196968368</v>
      </c>
      <c r="M9">
        <f t="shared" si="1"/>
        <v>0.27784253799611569</v>
      </c>
      <c r="N9">
        <f t="shared" si="19"/>
        <v>0.35144451430583235</v>
      </c>
      <c r="O9">
        <f t="shared" si="20"/>
        <v>0.31299729809054389</v>
      </c>
      <c r="P9">
        <f t="shared" si="2"/>
        <v>3.6911284584187333E-2</v>
      </c>
      <c r="R9">
        <f t="shared" si="6"/>
        <v>724.9729797767161</v>
      </c>
      <c r="S9">
        <f t="shared" si="7"/>
        <v>695.87845003104246</v>
      </c>
      <c r="T9">
        <f t="shared" si="8"/>
        <v>654.71033371611156</v>
      </c>
      <c r="U9" s="44">
        <f t="shared" si="21"/>
        <v>691.85392117462334</v>
      </c>
      <c r="V9">
        <f t="shared" si="9"/>
        <v>0.3126313039791262</v>
      </c>
      <c r="W9">
        <f t="shared" si="22"/>
        <v>20.382651792202761</v>
      </c>
      <c r="X9" s="39">
        <f t="shared" si="10"/>
        <v>39.94999751271741</v>
      </c>
      <c r="Y9" s="39">
        <f t="shared" si="11"/>
        <v>5.3312019897351168E-2</v>
      </c>
      <c r="Z9" s="39">
        <f t="shared" si="12"/>
        <v>2.7200010151709784E-2</v>
      </c>
      <c r="AA9" s="39">
        <f t="shared" si="13"/>
        <v>7.287846011990666E-2</v>
      </c>
      <c r="AB9" s="39">
        <f t="shared" si="14"/>
        <v>3.7182887816278917E-2</v>
      </c>
      <c r="AC9" s="40">
        <f t="shared" si="15"/>
        <v>58.00334267824573</v>
      </c>
      <c r="AD9" s="40">
        <f t="shared" si="16"/>
        <v>29.593542182778439</v>
      </c>
      <c r="AE9" s="40">
        <f>'SMX L-H'!$G$52*'SMX DATOS'!AC9</f>
        <v>64.557509349852751</v>
      </c>
      <c r="AF9" s="40">
        <f>'SMX L-H'!$G$52*'SMX DATOS'!AD9</f>
        <v>32.937504770333042</v>
      </c>
      <c r="AG9" s="41">
        <f t="shared" si="17"/>
        <v>64.557550485797364</v>
      </c>
      <c r="AH9" s="41">
        <f t="shared" si="18"/>
        <v>32.937525758059884</v>
      </c>
    </row>
    <row r="10" spans="2:34" x14ac:dyDescent="0.2">
      <c r="B10" s="11">
        <v>45</v>
      </c>
      <c r="C10">
        <v>631.89127942098924</v>
      </c>
      <c r="D10">
        <f t="shared" si="3"/>
        <v>0.44712187374031076</v>
      </c>
      <c r="F10">
        <v>711.97478741863677</v>
      </c>
      <c r="G10">
        <f t="shared" si="4"/>
        <v>0.25497504246295249</v>
      </c>
      <c r="I10">
        <v>753.83524785795237</v>
      </c>
      <c r="J10">
        <f t="shared" si="5"/>
        <v>0.21046357355812717</v>
      </c>
      <c r="L10">
        <f t="shared" si="0"/>
        <v>0.44712187374031076</v>
      </c>
      <c r="M10">
        <f t="shared" si="1"/>
        <v>0.25497504246295249</v>
      </c>
      <c r="N10">
        <f t="shared" si="19"/>
        <v>0.21046357355812717</v>
      </c>
      <c r="O10">
        <f t="shared" si="20"/>
        <v>0.30418682992046348</v>
      </c>
      <c r="P10">
        <f t="shared" si="2"/>
        <v>0.12577017842021423</v>
      </c>
      <c r="R10" s="55">
        <f t="shared" si="6"/>
        <v>631.89127942098924</v>
      </c>
      <c r="S10">
        <f t="shared" si="7"/>
        <v>711.97478741863677</v>
      </c>
      <c r="T10">
        <f t="shared" si="8"/>
        <v>753.83524785795237</v>
      </c>
      <c r="U10" s="44">
        <f>AVERAGE(S10:T10)</f>
        <v>732.90501763829457</v>
      </c>
      <c r="V10">
        <f t="shared" si="9"/>
        <v>0.25499002755637995</v>
      </c>
      <c r="W10">
        <f>STDEV(S10:T10)/SQRT(2)</f>
        <v>20.930230219657801</v>
      </c>
      <c r="X10" s="39">
        <f t="shared" si="10"/>
        <v>41.02325123052929</v>
      </c>
      <c r="Y10" s="39">
        <f t="shared" si="11"/>
        <v>5.5394894736476553E-2</v>
      </c>
      <c r="Z10" s="39">
        <f t="shared" si="12"/>
        <v>2.8262701396161508E-2</v>
      </c>
      <c r="AA10" s="39">
        <f t="shared" si="13"/>
        <v>7.1484272773282148E-2</v>
      </c>
      <c r="AB10" s="39">
        <f t="shared" si="14"/>
        <v>3.6471567741470486E-2</v>
      </c>
      <c r="AC10" s="40">
        <f t="shared" si="15"/>
        <v>58.74770295174951</v>
      </c>
      <c r="AD10" s="40">
        <f t="shared" si="16"/>
        <v>29.973317832525264</v>
      </c>
      <c r="AE10" s="40">
        <f>'SMX L-H'!$G$52*'SMX DATOS'!AC10</f>
        <v>65.385979625832249</v>
      </c>
      <c r="AF10" s="40">
        <f>'SMX L-H'!$G$52*'SMX DATOS'!AD10</f>
        <v>33.360193686649112</v>
      </c>
      <c r="AG10" s="41">
        <f t="shared" si="17"/>
        <v>65.38601870148544</v>
      </c>
      <c r="AH10" s="41">
        <f t="shared" si="18"/>
        <v>33.36021362320686</v>
      </c>
    </row>
    <row r="11" spans="2:34" x14ac:dyDescent="0.2">
      <c r="B11" s="11">
        <v>30</v>
      </c>
      <c r="C11">
        <v>846.22503491401926</v>
      </c>
      <c r="D11">
        <f t="shared" si="3"/>
        <v>0.15505390390517482</v>
      </c>
      <c r="F11">
        <v>572.55368155702922</v>
      </c>
      <c r="G11">
        <f t="shared" si="4"/>
        <v>0.47291104437467152</v>
      </c>
      <c r="I11">
        <v>768.57967990453983</v>
      </c>
      <c r="J11">
        <f t="shared" si="5"/>
        <v>0.19109317354523578</v>
      </c>
      <c r="L11">
        <f t="shared" si="0"/>
        <v>0.15505390390517482</v>
      </c>
      <c r="M11">
        <f t="shared" si="1"/>
        <v>0.47291104437467152</v>
      </c>
      <c r="N11">
        <f t="shared" si="19"/>
        <v>0.19109317354523578</v>
      </c>
      <c r="O11">
        <f t="shared" si="20"/>
        <v>0.27301937394169407</v>
      </c>
      <c r="P11">
        <f t="shared" si="2"/>
        <v>0.17404659482567245</v>
      </c>
      <c r="R11">
        <f t="shared" si="6"/>
        <v>846.22503491401926</v>
      </c>
      <c r="S11" s="55">
        <f t="shared" si="7"/>
        <v>572.55368155702922</v>
      </c>
      <c r="T11">
        <f t="shared" si="8"/>
        <v>768.57967990453983</v>
      </c>
      <c r="U11" s="44">
        <f>AVERAGE(R11,T11)</f>
        <v>807.4023574092796</v>
      </c>
      <c r="V11">
        <f t="shared" si="9"/>
        <v>0.15818401257586165</v>
      </c>
      <c r="W11">
        <f>STDEV(R11,T11)/SQRT(2)</f>
        <v>38.822677504739715</v>
      </c>
      <c r="X11" s="39">
        <f t="shared" si="10"/>
        <v>76.092447909289845</v>
      </c>
      <c r="Y11" s="39">
        <f t="shared" si="11"/>
        <v>8.8959580288503426E-2</v>
      </c>
      <c r="Z11" s="39">
        <f t="shared" si="12"/>
        <v>4.5387540963522162E-2</v>
      </c>
      <c r="AA11" s="39">
        <f t="shared" si="13"/>
        <v>0.10420562651090573</v>
      </c>
      <c r="AB11" s="39">
        <f t="shared" si="14"/>
        <v>5.3166135974951914E-2</v>
      </c>
      <c r="AC11" s="40">
        <f t="shared" si="15"/>
        <v>86.939324183086811</v>
      </c>
      <c r="AD11" s="40">
        <f t="shared" si="16"/>
        <v>44.356798052595316</v>
      </c>
      <c r="AE11" s="40">
        <f>'SMX L-H'!$G$52*'SMX DATOS'!AC11</f>
        <v>96.763151478242619</v>
      </c>
      <c r="AF11" s="40">
        <f>'SMX L-H'!$G$52*'SMX DATOS'!AD11</f>
        <v>49.368954835838075</v>
      </c>
      <c r="AG11" s="41">
        <f>(AA11^2+AE11^2)^0.5</f>
        <v>96.763207588493685</v>
      </c>
      <c r="AH11" s="41">
        <f t="shared" si="18"/>
        <v>49.368983463517196</v>
      </c>
    </row>
    <row r="12" spans="2:34" x14ac:dyDescent="0.2">
      <c r="B12" s="11">
        <v>15</v>
      </c>
      <c r="C12">
        <v>964.74461261419992</v>
      </c>
      <c r="D12">
        <f t="shared" si="3"/>
        <v>2.3975810684114713E-2</v>
      </c>
      <c r="F12">
        <v>769.46170666004582</v>
      </c>
      <c r="G12">
        <f t="shared" si="4"/>
        <v>0.17732635420296364</v>
      </c>
      <c r="I12">
        <v>800.94608638099794</v>
      </c>
      <c r="J12">
        <f t="shared" si="5"/>
        <v>0.14984377660920756</v>
      </c>
      <c r="L12">
        <f t="shared" si="0"/>
        <v>2.3975810684114713E-2</v>
      </c>
      <c r="M12">
        <f t="shared" si="1"/>
        <v>0.17732635420296364</v>
      </c>
      <c r="N12">
        <f t="shared" si="19"/>
        <v>0.14984377660920756</v>
      </c>
      <c r="O12">
        <f t="shared" si="20"/>
        <v>0.11704864716542863</v>
      </c>
      <c r="P12">
        <f t="shared" si="2"/>
        <v>8.1766360355633116E-2</v>
      </c>
      <c r="R12" s="55">
        <f t="shared" si="6"/>
        <v>964.74461261419992</v>
      </c>
      <c r="S12">
        <f t="shared" si="7"/>
        <v>769.46170666004582</v>
      </c>
      <c r="T12">
        <f t="shared" si="8"/>
        <v>800.94608638099794</v>
      </c>
      <c r="U12" s="44">
        <f>AVERAGE(S12:T12)</f>
        <v>785.20389652052188</v>
      </c>
      <c r="V12">
        <f t="shared" ref="V12" si="24">LN(($U$13)/(U12))</f>
        <v>0.18606271589823259</v>
      </c>
      <c r="W12">
        <f>STDEV(S12:T12)/SQRT(2)</f>
        <v>15.74218986047606</v>
      </c>
      <c r="X12" s="39">
        <f t="shared" si="10"/>
        <v>30.854692126533077</v>
      </c>
      <c r="Y12" s="39">
        <f t="shared" si="11"/>
        <v>4.9264237738106793E-2</v>
      </c>
      <c r="Z12" s="39">
        <f t="shared" si="12"/>
        <v>2.5134815172503468E-2</v>
      </c>
      <c r="AA12" s="39">
        <f t="shared" si="13"/>
        <v>5.9338665933349972E-2</v>
      </c>
      <c r="AB12" s="39">
        <f t="shared" si="14"/>
        <v>3.0274829557831621E-2</v>
      </c>
      <c r="AC12" s="40">
        <f t="shared" si="15"/>
        <v>52.157429833217606</v>
      </c>
      <c r="AD12" s="40">
        <f t="shared" si="16"/>
        <v>26.61093358837633</v>
      </c>
      <c r="AE12" s="40">
        <f>'SMX L-H'!$G$52*'SMX DATOS'!AC12</f>
        <v>58.051029624282194</v>
      </c>
      <c r="AF12" s="40">
        <f>'SMX L-H'!$G$52*'SMX DATOS'!AD12</f>
        <v>29.617872257286834</v>
      </c>
      <c r="AG12" s="41">
        <f t="shared" si="17"/>
        <v>58.051059951705994</v>
      </c>
      <c r="AH12" s="41">
        <f t="shared" si="18"/>
        <v>29.617887730462243</v>
      </c>
    </row>
    <row r="13" spans="2:34" x14ac:dyDescent="0.2">
      <c r="B13" s="11">
        <v>0</v>
      </c>
      <c r="C13">
        <v>988.15466286348146</v>
      </c>
      <c r="D13">
        <f t="shared" si="3"/>
        <v>0</v>
      </c>
      <c r="F13">
        <v>918.75320808951858</v>
      </c>
      <c r="G13">
        <f t="shared" si="4"/>
        <v>0</v>
      </c>
      <c r="I13">
        <v>930.42122482363743</v>
      </c>
      <c r="J13">
        <f t="shared" si="5"/>
        <v>0</v>
      </c>
      <c r="L13">
        <f t="shared" si="0"/>
        <v>0</v>
      </c>
      <c r="M13">
        <f t="shared" si="1"/>
        <v>0</v>
      </c>
      <c r="N13">
        <f t="shared" si="19"/>
        <v>0</v>
      </c>
      <c r="O13">
        <f t="shared" si="20"/>
        <v>0</v>
      </c>
      <c r="P13">
        <f t="shared" si="2"/>
        <v>0</v>
      </c>
      <c r="R13">
        <f t="shared" si="6"/>
        <v>988.15466286348146</v>
      </c>
      <c r="S13">
        <f t="shared" si="7"/>
        <v>918.75320808951858</v>
      </c>
      <c r="T13">
        <f t="shared" si="8"/>
        <v>930.42122482363743</v>
      </c>
      <c r="U13" s="44">
        <f t="shared" si="21"/>
        <v>945.7763652588792</v>
      </c>
      <c r="V13">
        <f t="shared" si="9"/>
        <v>0</v>
      </c>
      <c r="W13">
        <f t="shared" si="22"/>
        <v>21.455191559193786</v>
      </c>
      <c r="X13" s="39">
        <f t="shared" si="10"/>
        <v>42.052175456019818</v>
      </c>
      <c r="Y13" s="39">
        <f t="shared" si="11"/>
        <v>6.2880358445960752E-2</v>
      </c>
      <c r="Z13" s="39">
        <f t="shared" si="12"/>
        <v>3.2081815533653447E-2</v>
      </c>
      <c r="AA13" s="39">
        <f t="shared" si="13"/>
        <v>6.2880358445960752E-2</v>
      </c>
      <c r="AB13" s="39">
        <f>(1/(U13/$U$13))*Z13</f>
        <v>3.2081815533653447E-2</v>
      </c>
      <c r="AC13" s="40">
        <f t="shared" si="15"/>
        <v>59.470756857196221</v>
      </c>
      <c r="AD13" s="40">
        <f t="shared" si="16"/>
        <v>30.342222886324603</v>
      </c>
      <c r="AE13" s="40">
        <f>'SMX L-H'!$G$52*'SMX DATOS'!AC13</f>
        <v>66.190735991689593</v>
      </c>
      <c r="AF13" s="40">
        <f>'SMX L-H'!$G$52*'SMX DATOS'!AD13</f>
        <v>33.770783669229388</v>
      </c>
      <c r="AG13" s="41">
        <f t="shared" si="17"/>
        <v>66.190765859453776</v>
      </c>
      <c r="AH13" s="41">
        <f t="shared" si="18"/>
        <v>33.770798907884576</v>
      </c>
    </row>
    <row r="14" spans="2:34" x14ac:dyDescent="0.2">
      <c r="AC14" s="42"/>
      <c r="AD14" s="42"/>
      <c r="AE14" s="42"/>
      <c r="AF14" s="40"/>
      <c r="AG14" s="42"/>
      <c r="AH14" s="41"/>
    </row>
    <row r="15" spans="2:34" x14ac:dyDescent="0.2">
      <c r="AC15" s="42"/>
      <c r="AD15" s="42"/>
      <c r="AE15" s="42"/>
      <c r="AF15" s="40"/>
      <c r="AG15" s="42"/>
      <c r="AH15" s="41"/>
    </row>
    <row r="16" spans="2:34" x14ac:dyDescent="0.2">
      <c r="B16" t="s">
        <v>1</v>
      </c>
      <c r="D16" t="s">
        <v>22</v>
      </c>
      <c r="G16" t="s">
        <v>22</v>
      </c>
      <c r="J16" t="s">
        <v>22</v>
      </c>
      <c r="L16" s="37" t="s">
        <v>23</v>
      </c>
      <c r="M16" s="37" t="s">
        <v>24</v>
      </c>
      <c r="N16" s="37" t="s">
        <v>25</v>
      </c>
      <c r="O16" t="s">
        <v>26</v>
      </c>
      <c r="P16" t="s">
        <v>0</v>
      </c>
      <c r="R16" t="s">
        <v>27</v>
      </c>
      <c r="S16" t="s">
        <v>28</v>
      </c>
      <c r="T16" t="s">
        <v>29</v>
      </c>
      <c r="U16" s="44" t="s">
        <v>26</v>
      </c>
      <c r="V16" t="s">
        <v>22</v>
      </c>
      <c r="X16" s="54" t="s">
        <v>31</v>
      </c>
      <c r="AC16" s="42"/>
      <c r="AD16" s="42"/>
      <c r="AE16" s="42"/>
      <c r="AF16" s="40"/>
      <c r="AG16" s="42"/>
      <c r="AH16" s="41"/>
    </row>
    <row r="17" spans="2:34" x14ac:dyDescent="0.2">
      <c r="B17" s="11">
        <v>1440</v>
      </c>
      <c r="C17">
        <v>202.7751444058035</v>
      </c>
      <c r="D17">
        <f>LN($C$26/C17)</f>
        <v>0.81881619271104966</v>
      </c>
      <c r="F17">
        <v>213.7487388487643</v>
      </c>
      <c r="G17">
        <f>LN($F$26/F17)</f>
        <v>0.79171780147418747</v>
      </c>
      <c r="I17" s="37">
        <v>206.34734166392514</v>
      </c>
      <c r="J17">
        <f>LN($I$26/I17)</f>
        <v>0.77168767453461884</v>
      </c>
      <c r="L17">
        <f t="shared" ref="L17:L26" si="25">D17</f>
        <v>0.81881619271104966</v>
      </c>
      <c r="M17">
        <f t="shared" ref="M17:M26" si="26">G17</f>
        <v>0.79171780147418747</v>
      </c>
      <c r="N17">
        <f>J17</f>
        <v>0.77168767453461884</v>
      </c>
      <c r="O17">
        <f>AVERAGE(L17:N17)</f>
        <v>0.79407388957328529</v>
      </c>
      <c r="P17">
        <f t="shared" ref="P17:P26" si="27">STDEV(L17:N17)</f>
        <v>2.3652434752569885E-2</v>
      </c>
      <c r="R17">
        <f>C17</f>
        <v>202.7751444058035</v>
      </c>
      <c r="S17">
        <f>F17</f>
        <v>213.7487388487643</v>
      </c>
      <c r="T17">
        <f>I17</f>
        <v>206.34734166392514</v>
      </c>
      <c r="U17" s="44">
        <f>AVERAGE(R17:T17)</f>
        <v>207.62374163949767</v>
      </c>
      <c r="V17">
        <f t="shared" ref="V17:V26" si="28">LN(($U$13)/(U17))</f>
        <v>1.5162786335661398</v>
      </c>
      <c r="W17">
        <f>STDEV(R17:T17)/SQRT(3)</f>
        <v>3.2314517595489591</v>
      </c>
      <c r="X17" s="39">
        <f>1.96*W17</f>
        <v>6.3336454487159601</v>
      </c>
      <c r="Y17" s="39">
        <f>(U17/$U$13)*SQRT(((X17/U17)^2)+(($X$13/$U$13)^2))</f>
        <v>1.1837284720259425E-2</v>
      </c>
      <c r="Z17" s="39">
        <f>(U17/$U$13)*SQRT(((W17/U17)^2)+(($W$13/$U$13)^2))</f>
        <v>6.0394309797241977E-3</v>
      </c>
      <c r="AA17" s="39">
        <f>(1/(U17/$U$13))*Y17</f>
        <v>5.3921695220676281E-2</v>
      </c>
      <c r="AB17" s="39">
        <f>(1/(U17/$U$13))*Z17</f>
        <v>2.7511068990140965E-2</v>
      </c>
      <c r="AC17" s="40">
        <f>(X17^2+$X$13^2)^0.5</f>
        <v>42.526468525542015</v>
      </c>
      <c r="AD17" s="40">
        <f>(W17^2+$W$13^2)^0.5</f>
        <v>21.697177819154092</v>
      </c>
      <c r="AE17" s="40">
        <f>'SMX L-H'!$G$52*'SMX DATOS'!AC17</f>
        <v>47.331804732067042</v>
      </c>
      <c r="AF17" s="40">
        <f>'SMX L-H'!$G$52*'SMX DATOS'!AD17</f>
        <v>24.148879965340331</v>
      </c>
      <c r="AG17" s="41">
        <f>(AA17^2+AE17^2)^0.5</f>
        <v>47.331835446597033</v>
      </c>
      <c r="AH17" s="41">
        <f t="shared" si="18"/>
        <v>24.148895636018899</v>
      </c>
    </row>
    <row r="18" spans="2:34" x14ac:dyDescent="0.2">
      <c r="B18" s="11">
        <v>150</v>
      </c>
      <c r="C18">
        <v>221.36511603179341</v>
      </c>
      <c r="D18">
        <f t="shared" ref="D18:D26" si="29">LN($C$26/C18)</f>
        <v>0.73110044778665251</v>
      </c>
      <c r="F18">
        <v>244.54295063835767</v>
      </c>
      <c r="G18">
        <f t="shared" ref="G18:G26" si="30">LN($F$26/F18)</f>
        <v>0.65712804843111938</v>
      </c>
      <c r="I18" s="37">
        <v>228.15602986983831</v>
      </c>
      <c r="J18">
        <f t="shared" ref="J18:J26" si="31">LN($I$26/I18)</f>
        <v>0.67121881156025498</v>
      </c>
      <c r="L18">
        <f t="shared" si="25"/>
        <v>0.73110044778665251</v>
      </c>
      <c r="M18">
        <f t="shared" si="26"/>
        <v>0.65712804843111938</v>
      </c>
      <c r="N18">
        <f>J18</f>
        <v>0.67121881156025498</v>
      </c>
      <c r="O18">
        <f t="shared" ref="O18:O26" si="32">AVERAGE(L18:N18)</f>
        <v>0.68648243592600899</v>
      </c>
      <c r="P18">
        <f t="shared" si="27"/>
        <v>3.9277380745000652E-2</v>
      </c>
      <c r="R18">
        <f t="shared" ref="R18:R26" si="33">C18</f>
        <v>221.36511603179341</v>
      </c>
      <c r="S18">
        <f t="shared" ref="S18:S26" si="34">F18</f>
        <v>244.54295063835767</v>
      </c>
      <c r="T18">
        <f t="shared" ref="T18:T26" si="35">I18</f>
        <v>228.15602986983831</v>
      </c>
      <c r="U18" s="44">
        <f t="shared" ref="U18:U25" si="36">AVERAGE(R18:T18)</f>
        <v>231.35469884666313</v>
      </c>
      <c r="V18">
        <f t="shared" si="28"/>
        <v>1.4080541150435844</v>
      </c>
      <c r="W18">
        <f t="shared" ref="W18:W26" si="37">STDEV(R18:T18)/SQRT(3)</f>
        <v>6.8793559940784226</v>
      </c>
      <c r="X18" s="39">
        <f t="shared" ref="X18:X52" si="38">1.96*W18</f>
        <v>13.483537748393708</v>
      </c>
      <c r="Y18" s="39">
        <f t="shared" ref="Y18:Y26" si="39">(U18/$U$13)*SQRT(((X18/U18)^2)+(($X$13/$U$13)^2))</f>
        <v>1.7931780584706965E-2</v>
      </c>
      <c r="Z18" s="39">
        <f t="shared" ref="Z18:Z26" si="40">(U18/$U$13)*SQRT(((W18/U18)^2)+(($W$13/$U$13)^2))</f>
        <v>9.148867645258657E-3</v>
      </c>
      <c r="AA18" s="39">
        <f t="shared" ref="AA18:AA26" si="41">(1/(U18/$U$13))*Y18</f>
        <v>7.3304991636518491E-2</v>
      </c>
      <c r="AB18" s="39">
        <f t="shared" ref="AB18:AB26" si="42">(1/(U18/$U$13))*Z18</f>
        <v>3.7400505936999236E-2</v>
      </c>
      <c r="AC18" s="40">
        <f t="shared" ref="AC18:AC26" si="43">(X18^2+$X$13^2)^0.5</f>
        <v>44.16096976738887</v>
      </c>
      <c r="AD18" s="40">
        <f t="shared" ref="AD18:AD26" si="44">(W18^2+$W$13^2)^0.5</f>
        <v>22.531107024177995</v>
      </c>
      <c r="AE18" s="40">
        <f>'SMX L-H'!$G$52*'SMX DATOS'!AC18</f>
        <v>49.150998666944346</v>
      </c>
      <c r="AF18" s="40">
        <f>'SMX L-H'!$G$52*'SMX DATOS'!AD18</f>
        <v>25.077040136196096</v>
      </c>
      <c r="AG18" s="41">
        <f>(AA18^2+AE18^2)^0.5</f>
        <v>49.15105333133527</v>
      </c>
      <c r="AH18" s="41">
        <f t="shared" si="18"/>
        <v>25.077068026191462</v>
      </c>
    </row>
    <row r="19" spans="2:34" x14ac:dyDescent="0.2">
      <c r="B19" s="11">
        <v>120</v>
      </c>
      <c r="C19">
        <v>225.04079132533053</v>
      </c>
      <c r="D19">
        <f t="shared" si="29"/>
        <v>0.71463221426341461</v>
      </c>
      <c r="F19">
        <v>267.05770623640018</v>
      </c>
      <c r="G19">
        <f t="shared" si="30"/>
        <v>0.5690542458767841</v>
      </c>
      <c r="I19" s="37">
        <v>240.87542890218668</v>
      </c>
      <c r="J19">
        <f t="shared" si="31"/>
        <v>0.61696864066056623</v>
      </c>
      <c r="L19">
        <f t="shared" si="25"/>
        <v>0.71463221426341461</v>
      </c>
      <c r="M19">
        <f t="shared" si="26"/>
        <v>0.5690542458767841</v>
      </c>
      <c r="N19">
        <f t="shared" ref="N19:N26" si="45">J19</f>
        <v>0.61696864066056623</v>
      </c>
      <c r="O19">
        <f t="shared" si="32"/>
        <v>0.63355170026692165</v>
      </c>
      <c r="P19">
        <f t="shared" si="27"/>
        <v>7.4192214007439153E-2</v>
      </c>
      <c r="R19">
        <f t="shared" si="33"/>
        <v>225.04079132533053</v>
      </c>
      <c r="S19">
        <f t="shared" si="34"/>
        <v>267.05770623640018</v>
      </c>
      <c r="T19">
        <f t="shared" si="35"/>
        <v>240.87542890218668</v>
      </c>
      <c r="U19" s="44">
        <f t="shared" si="36"/>
        <v>244.32464215463915</v>
      </c>
      <c r="V19">
        <f t="shared" si="28"/>
        <v>1.3535082991489993</v>
      </c>
      <c r="W19">
        <f t="shared" si="37"/>
        <v>12.251232437414709</v>
      </c>
      <c r="X19" s="39">
        <f t="shared" si="38"/>
        <v>24.012415577332828</v>
      </c>
      <c r="Y19" s="39">
        <f t="shared" si="39"/>
        <v>2.7866484163886172E-2</v>
      </c>
      <c r="Z19" s="39">
        <f t="shared" si="40"/>
        <v>1.4217593961166414E-2</v>
      </c>
      <c r="AA19" s="39">
        <f t="shared" si="41"/>
        <v>0.10787066696442084</v>
      </c>
      <c r="AB19" s="39">
        <f t="shared" si="42"/>
        <v>5.5036054573684101E-2</v>
      </c>
      <c r="AC19" s="40">
        <f t="shared" si="43"/>
        <v>48.425009679321818</v>
      </c>
      <c r="AD19" s="40">
        <f t="shared" si="44"/>
        <v>24.706637591490725</v>
      </c>
      <c r="AE19" s="40">
        <f>'SMX L-H'!$G$52*'SMX DATOS'!AC19</f>
        <v>53.896859573784795</v>
      </c>
      <c r="AF19" s="40">
        <f>'SMX L-H'!$G$52*'SMX DATOS'!AD19</f>
        <v>27.498397741726937</v>
      </c>
      <c r="AG19" s="41">
        <f t="shared" ref="AG19:AG26" si="46">(AA19^2+AE19^2)^0.5</f>
        <v>53.896967521346404</v>
      </c>
      <c r="AH19" s="41">
        <f t="shared" si="18"/>
        <v>27.498452817013472</v>
      </c>
    </row>
    <row r="20" spans="2:34" x14ac:dyDescent="0.2">
      <c r="B20" s="11">
        <v>90</v>
      </c>
      <c r="C20">
        <v>244.19522020281954</v>
      </c>
      <c r="D20">
        <f t="shared" si="29"/>
        <v>0.63294590661915129</v>
      </c>
      <c r="F20">
        <v>283.36493562954564</v>
      </c>
      <c r="G20">
        <f t="shared" si="30"/>
        <v>0.50978341703846153</v>
      </c>
      <c r="I20" s="37">
        <v>244.61603345834973</v>
      </c>
      <c r="J20">
        <f t="shared" si="31"/>
        <v>0.6015587771823272</v>
      </c>
      <c r="L20">
        <f t="shared" si="25"/>
        <v>0.63294590661915129</v>
      </c>
      <c r="M20">
        <f t="shared" si="26"/>
        <v>0.50978341703846153</v>
      </c>
      <c r="N20">
        <f t="shared" si="45"/>
        <v>0.6015587771823272</v>
      </c>
      <c r="O20">
        <f t="shared" si="32"/>
        <v>0.58142936694664671</v>
      </c>
      <c r="P20">
        <f t="shared" si="27"/>
        <v>6.4001129499842574E-2</v>
      </c>
      <c r="R20">
        <f t="shared" si="33"/>
        <v>244.19522020281954</v>
      </c>
      <c r="S20">
        <f t="shared" si="34"/>
        <v>283.36493562954564</v>
      </c>
      <c r="T20">
        <f t="shared" si="35"/>
        <v>244.61603345834973</v>
      </c>
      <c r="U20" s="44">
        <f t="shared" si="36"/>
        <v>257.39206309690496</v>
      </c>
      <c r="V20">
        <f t="shared" si="28"/>
        <v>1.3014056809570538</v>
      </c>
      <c r="W20">
        <f t="shared" si="37"/>
        <v>12.987004422968468</v>
      </c>
      <c r="X20" s="39">
        <f t="shared" si="38"/>
        <v>25.454528669018195</v>
      </c>
      <c r="Y20" s="39">
        <f t="shared" si="39"/>
        <v>2.9509020543742492E-2</v>
      </c>
      <c r="Z20" s="39">
        <f t="shared" si="40"/>
        <v>1.5055622726399234E-2</v>
      </c>
      <c r="AA20" s="39">
        <f t="shared" si="41"/>
        <v>0.10842966118074511</v>
      </c>
      <c r="AB20" s="39">
        <f t="shared" si="42"/>
        <v>5.5321255704461801E-2</v>
      </c>
      <c r="AC20" s="40">
        <f t="shared" si="43"/>
        <v>49.156062600108086</v>
      </c>
      <c r="AD20" s="40">
        <f t="shared" si="44"/>
        <v>25.079623775565352</v>
      </c>
      <c r="AE20" s="40">
        <f>'SMX L-H'!$G$52*'SMX DATOS'!AC20</f>
        <v>54.710518814609848</v>
      </c>
      <c r="AF20" s="40">
        <f>'SMX L-H'!$G$52*'SMX DATOS'!AD20</f>
        <v>27.913530007454003</v>
      </c>
      <c r="AG20" s="41">
        <f t="shared" si="46"/>
        <v>54.710626261771139</v>
      </c>
      <c r="AH20" s="41">
        <f t="shared" si="18"/>
        <v>27.913584827434256</v>
      </c>
    </row>
    <row r="21" spans="2:34" x14ac:dyDescent="0.2">
      <c r="B21" s="11">
        <v>75</v>
      </c>
      <c r="C21">
        <v>254.39037064628724</v>
      </c>
      <c r="D21">
        <f t="shared" si="29"/>
        <v>0.59204391529872558</v>
      </c>
      <c r="F21">
        <v>296.0980909605646</v>
      </c>
      <c r="G21">
        <f t="shared" si="30"/>
        <v>0.46582822134356644</v>
      </c>
      <c r="I21" s="37">
        <v>338.09755882758355</v>
      </c>
      <c r="J21">
        <f t="shared" si="31"/>
        <v>0.27791405857383378</v>
      </c>
      <c r="L21">
        <f t="shared" si="25"/>
        <v>0.59204391529872558</v>
      </c>
      <c r="M21">
        <f t="shared" si="26"/>
        <v>0.46582822134356644</v>
      </c>
      <c r="N21">
        <f t="shared" si="45"/>
        <v>0.27791405857383378</v>
      </c>
      <c r="O21">
        <f t="shared" si="32"/>
        <v>0.44526206507204197</v>
      </c>
      <c r="P21">
        <f t="shared" si="27"/>
        <v>0.15807155597810391</v>
      </c>
      <c r="R21">
        <f t="shared" si="33"/>
        <v>254.39037064628724</v>
      </c>
      <c r="S21">
        <f t="shared" si="34"/>
        <v>296.0980909605646</v>
      </c>
      <c r="T21">
        <f t="shared" si="35"/>
        <v>338.09755882758355</v>
      </c>
      <c r="U21" s="44">
        <f t="shared" si="36"/>
        <v>296.19534014481178</v>
      </c>
      <c r="V21">
        <f t="shared" si="28"/>
        <v>1.160986971158569</v>
      </c>
      <c r="W21">
        <f t="shared" si="37"/>
        <v>24.164232737371929</v>
      </c>
      <c r="X21" s="39">
        <f t="shared" si="38"/>
        <v>47.361896165248979</v>
      </c>
      <c r="Y21" s="39">
        <f t="shared" si="39"/>
        <v>5.1977240323541146E-2</v>
      </c>
      <c r="Z21" s="39">
        <f t="shared" si="40"/>
        <v>2.6519000165072013E-2</v>
      </c>
      <c r="AA21" s="39">
        <f t="shared" si="41"/>
        <v>0.1659676529865457</v>
      </c>
      <c r="AB21" s="39">
        <f t="shared" si="42"/>
        <v>8.4677373972727399E-2</v>
      </c>
      <c r="AC21" s="40">
        <f t="shared" si="43"/>
        <v>63.336677122751723</v>
      </c>
      <c r="AD21" s="40">
        <f t="shared" si="44"/>
        <v>32.31463118507741</v>
      </c>
      <c r="AE21" s="40">
        <f>'SMX L-H'!$G$52*'SMX DATOS'!AC21</f>
        <v>70.493491180710592</v>
      </c>
      <c r="AF21" s="40">
        <f>'SMX L-H'!$G$52*'SMX DATOS'!AD21</f>
        <v>35.966066928933976</v>
      </c>
      <c r="AG21" s="41">
        <f t="shared" si="46"/>
        <v>70.493686554944475</v>
      </c>
      <c r="AH21" s="41">
        <f t="shared" si="18"/>
        <v>35.966166609665549</v>
      </c>
    </row>
    <row r="22" spans="2:34" x14ac:dyDescent="0.2">
      <c r="B22" s="11">
        <v>60</v>
      </c>
      <c r="C22">
        <v>263.30349618369013</v>
      </c>
      <c r="D22">
        <f t="shared" si="29"/>
        <v>0.55760655007333604</v>
      </c>
      <c r="F22">
        <v>312.25114967342938</v>
      </c>
      <c r="G22">
        <f t="shared" si="30"/>
        <v>0.41271117825150783</v>
      </c>
      <c r="I22" s="37">
        <v>349.56978081445357</v>
      </c>
      <c r="J22">
        <f t="shared" si="31"/>
        <v>0.24454534726682001</v>
      </c>
      <c r="L22">
        <f t="shared" si="25"/>
        <v>0.55760655007333604</v>
      </c>
      <c r="M22">
        <f t="shared" si="26"/>
        <v>0.41271117825150783</v>
      </c>
      <c r="N22">
        <f t="shared" si="45"/>
        <v>0.24454534726682001</v>
      </c>
      <c r="O22">
        <f t="shared" si="32"/>
        <v>0.40495435853055461</v>
      </c>
      <c r="P22">
        <f t="shared" si="27"/>
        <v>0.15667468003734106</v>
      </c>
      <c r="R22">
        <f t="shared" si="33"/>
        <v>263.30349618369013</v>
      </c>
      <c r="S22">
        <f t="shared" si="34"/>
        <v>312.25114967342938</v>
      </c>
      <c r="T22">
        <f t="shared" si="35"/>
        <v>349.56978081445357</v>
      </c>
      <c r="U22" s="44">
        <f t="shared" si="36"/>
        <v>308.37480889052438</v>
      </c>
      <c r="V22">
        <f t="shared" si="28"/>
        <v>1.1206901856257552</v>
      </c>
      <c r="W22">
        <f t="shared" si="37"/>
        <v>24.978240393042451</v>
      </c>
      <c r="X22" s="39">
        <f t="shared" si="38"/>
        <v>48.957351170363204</v>
      </c>
      <c r="Y22" s="39">
        <f t="shared" si="39"/>
        <v>5.3755992163024562E-2</v>
      </c>
      <c r="Z22" s="39">
        <f t="shared" si="40"/>
        <v>2.7426526613788041E-2</v>
      </c>
      <c r="AA22" s="39">
        <f t="shared" si="41"/>
        <v>0.1648680288177469</v>
      </c>
      <c r="AB22" s="39">
        <f t="shared" si="42"/>
        <v>8.4116341233544334E-2</v>
      </c>
      <c r="AC22" s="40">
        <f t="shared" si="43"/>
        <v>64.538420295217477</v>
      </c>
      <c r="AD22" s="40">
        <f t="shared" si="44"/>
        <v>32.927765456743614</v>
      </c>
      <c r="AE22" s="40">
        <f>'SMX L-H'!$G$52*'SMX DATOS'!AC22</f>
        <v>71.831026959000781</v>
      </c>
      <c r="AF22" s="40">
        <f>'SMX L-H'!$G$52*'SMX DATOS'!AD22</f>
        <v>36.648483142347338</v>
      </c>
      <c r="AG22" s="41">
        <f t="shared" si="46"/>
        <v>71.831216162972098</v>
      </c>
      <c r="AH22" s="41">
        <f t="shared" si="18"/>
        <v>36.648579674985761</v>
      </c>
    </row>
    <row r="23" spans="2:34" x14ac:dyDescent="0.2">
      <c r="B23" s="11">
        <v>45</v>
      </c>
      <c r="C23">
        <v>297.15261663210367</v>
      </c>
      <c r="D23">
        <f t="shared" si="29"/>
        <v>0.43666802727952103</v>
      </c>
      <c r="F23">
        <v>300.63799139497121</v>
      </c>
      <c r="G23">
        <f t="shared" si="30"/>
        <v>0.45061215460516335</v>
      </c>
      <c r="I23" s="37">
        <v>381.08393407449842</v>
      </c>
      <c r="J23">
        <f t="shared" si="31"/>
        <v>0.15822889772170071</v>
      </c>
      <c r="L23">
        <f t="shared" si="25"/>
        <v>0.43666802727952103</v>
      </c>
      <c r="M23">
        <f t="shared" si="26"/>
        <v>0.45061215460516335</v>
      </c>
      <c r="N23">
        <f t="shared" si="45"/>
        <v>0.15822889772170071</v>
      </c>
      <c r="O23">
        <f t="shared" si="32"/>
        <v>0.34850302653546167</v>
      </c>
      <c r="P23">
        <f t="shared" si="27"/>
        <v>0.16492965998750866</v>
      </c>
      <c r="R23">
        <f t="shared" si="33"/>
        <v>297.15261663210367</v>
      </c>
      <c r="S23">
        <f t="shared" si="34"/>
        <v>300.63799139497121</v>
      </c>
      <c r="T23">
        <f t="shared" si="35"/>
        <v>381.08393407449842</v>
      </c>
      <c r="U23" s="44">
        <f t="shared" si="36"/>
        <v>326.29151403385777</v>
      </c>
      <c r="V23">
        <f t="shared" si="28"/>
        <v>1.0642149441217184</v>
      </c>
      <c r="W23">
        <f t="shared" si="37"/>
        <v>27.414679338764941</v>
      </c>
      <c r="X23" s="39">
        <f t="shared" si="38"/>
        <v>53.732771503979286</v>
      </c>
      <c r="Y23" s="39">
        <f t="shared" si="39"/>
        <v>5.8847849477988386E-2</v>
      </c>
      <c r="Z23" s="39">
        <f t="shared" si="40"/>
        <v>3.0024412998973665E-2</v>
      </c>
      <c r="AA23" s="39">
        <f t="shared" si="41"/>
        <v>0.17057417305930375</v>
      </c>
      <c r="AB23" s="39">
        <f t="shared" si="42"/>
        <v>8.7027639315971295E-2</v>
      </c>
      <c r="AC23" s="40">
        <f t="shared" si="43"/>
        <v>68.231929432507798</v>
      </c>
      <c r="AD23" s="40">
        <f>(W23^2+$W$13^2)^0.5</f>
        <v>34.812208894136631</v>
      </c>
      <c r="AE23" s="40">
        <f>'SMX L-H'!$G$52*'SMX DATOS'!AC23</f>
        <v>75.941889189597958</v>
      </c>
      <c r="AF23" s="40">
        <f>'SMX L-H'!$G$52*'SMX DATOS'!AD23</f>
        <v>38.745861831427533</v>
      </c>
      <c r="AG23" s="41">
        <f t="shared" si="46"/>
        <v>75.942080753911995</v>
      </c>
      <c r="AH23" s="41">
        <f t="shared" si="18"/>
        <v>38.745959568322448</v>
      </c>
    </row>
    <row r="24" spans="2:34" x14ac:dyDescent="0.2">
      <c r="B24" s="11">
        <v>30</v>
      </c>
      <c r="C24">
        <v>350.95248657108766</v>
      </c>
      <c r="D24">
        <f t="shared" si="29"/>
        <v>0.27026304640642995</v>
      </c>
      <c r="F24">
        <v>318.45671323650032</v>
      </c>
      <c r="G24">
        <f t="shared" si="30"/>
        <v>0.39303245158070071</v>
      </c>
      <c r="I24" s="37">
        <v>405.6383112700201</v>
      </c>
      <c r="J24">
        <f t="shared" si="31"/>
        <v>9.5786644383941702E-2</v>
      </c>
      <c r="L24">
        <f t="shared" si="25"/>
        <v>0.27026304640642995</v>
      </c>
      <c r="M24">
        <f t="shared" si="26"/>
        <v>0.39303245158070071</v>
      </c>
      <c r="N24">
        <f t="shared" si="45"/>
        <v>9.5786644383941702E-2</v>
      </c>
      <c r="O24">
        <f t="shared" si="32"/>
        <v>0.25302738079035741</v>
      </c>
      <c r="P24">
        <f t="shared" si="27"/>
        <v>0.14937057474929602</v>
      </c>
      <c r="R24">
        <f t="shared" si="33"/>
        <v>350.95248657108766</v>
      </c>
      <c r="S24">
        <f t="shared" si="34"/>
        <v>318.45671323650032</v>
      </c>
      <c r="T24">
        <f t="shared" si="35"/>
        <v>405.6383112700201</v>
      </c>
      <c r="U24" s="44">
        <f t="shared" si="36"/>
        <v>358.34917035920267</v>
      </c>
      <c r="V24">
        <f t="shared" si="28"/>
        <v>0.97049829347602889</v>
      </c>
      <c r="W24">
        <f t="shared" si="37"/>
        <v>25.437445870314747</v>
      </c>
      <c r="X24" s="39">
        <f t="shared" si="38"/>
        <v>49.857393905816906</v>
      </c>
      <c r="Y24" s="39">
        <f t="shared" si="39"/>
        <v>5.5342343430687786E-2</v>
      </c>
      <c r="Z24" s="39">
        <f t="shared" si="40"/>
        <v>2.823588950545295E-2</v>
      </c>
      <c r="AA24" s="39">
        <f t="shared" si="41"/>
        <v>0.1460627922266943</v>
      </c>
      <c r="AB24" s="39">
        <f t="shared" si="42"/>
        <v>7.4521832768721583E-2</v>
      </c>
      <c r="AC24" s="40">
        <f t="shared" si="43"/>
        <v>65.223808441884657</v>
      </c>
      <c r="AD24" s="40">
        <f t="shared" si="44"/>
        <v>33.277453286675843</v>
      </c>
      <c r="AE24" s="40">
        <f>'SMX L-H'!$G$52*'SMX DATOS'!AC24</f>
        <v>72.593861472387189</v>
      </c>
      <c r="AF24" s="40">
        <f>'SMX L-H'!$G$52*'SMX DATOS'!AD24</f>
        <v>37.037684424687335</v>
      </c>
      <c r="AG24" s="41">
        <f t="shared" si="46"/>
        <v>72.594008415374162</v>
      </c>
      <c r="AH24" s="41">
        <f t="shared" si="18"/>
        <v>37.037759395599053</v>
      </c>
    </row>
    <row r="25" spans="2:34" x14ac:dyDescent="0.2">
      <c r="B25" s="11">
        <v>15</v>
      </c>
      <c r="C25">
        <v>406.15647902623829</v>
      </c>
      <c r="D25">
        <f t="shared" si="29"/>
        <v>0.12417539314644413</v>
      </c>
      <c r="F25">
        <v>439.38643880101245</v>
      </c>
      <c r="G25">
        <f t="shared" si="30"/>
        <v>7.1139712669362365E-2</v>
      </c>
      <c r="I25" s="37">
        <v>426.70967322486354</v>
      </c>
      <c r="J25">
        <f t="shared" si="31"/>
        <v>4.5144688207493559E-2</v>
      </c>
      <c r="L25">
        <f t="shared" si="25"/>
        <v>0.12417539314644413</v>
      </c>
      <c r="M25">
        <f t="shared" si="26"/>
        <v>7.1139712669362365E-2</v>
      </c>
      <c r="N25">
        <f t="shared" si="45"/>
        <v>4.5144688207493559E-2</v>
      </c>
      <c r="O25">
        <f t="shared" si="32"/>
        <v>8.0153264674433358E-2</v>
      </c>
      <c r="P25">
        <f t="shared" si="27"/>
        <v>4.0278979264598495E-2</v>
      </c>
      <c r="R25">
        <f t="shared" si="33"/>
        <v>406.15647902623829</v>
      </c>
      <c r="S25">
        <f t="shared" si="34"/>
        <v>439.38643880101245</v>
      </c>
      <c r="T25">
        <f t="shared" si="35"/>
        <v>426.70967322486354</v>
      </c>
      <c r="U25" s="44">
        <f t="shared" si="36"/>
        <v>424.08419701737142</v>
      </c>
      <c r="V25">
        <f t="shared" si="28"/>
        <v>0.80207412735517447</v>
      </c>
      <c r="W25">
        <f t="shared" si="37"/>
        <v>9.6820693491518561</v>
      </c>
      <c r="X25" s="39">
        <f t="shared" si="38"/>
        <v>18.976855924337638</v>
      </c>
      <c r="Y25" s="39">
        <f t="shared" si="39"/>
        <v>2.8285844201652997E-2</v>
      </c>
      <c r="Z25" s="39">
        <f t="shared" si="40"/>
        <v>1.4431553164108673E-2</v>
      </c>
      <c r="AA25" s="39">
        <f t="shared" si="41"/>
        <v>6.308200849139986E-2</v>
      </c>
      <c r="AB25" s="39">
        <f>(1/(U25/$U$13))*Z25</f>
        <v>3.2184698209897888E-2</v>
      </c>
      <c r="AC25" s="40">
        <f t="shared" si="43"/>
        <v>46.135740173502626</v>
      </c>
      <c r="AD25" s="40">
        <f t="shared" si="44"/>
        <v>23.538642945664606</v>
      </c>
      <c r="AE25" s="40">
        <f>'SMX L-H'!$G$52*'SMX DATOS'!AC25</f>
        <v>51.348910943546905</v>
      </c>
      <c r="AF25" s="40">
        <f>'SMX L-H'!$G$52*'SMX DATOS'!AD25</f>
        <v>26.198423950789238</v>
      </c>
      <c r="AG25" s="41">
        <f t="shared" si="46"/>
        <v>51.348949691577005</v>
      </c>
      <c r="AH25" s="41">
        <f t="shared" si="18"/>
        <v>26.198443720192348</v>
      </c>
    </row>
    <row r="26" spans="2:34" x14ac:dyDescent="0.2">
      <c r="B26" s="11">
        <v>0</v>
      </c>
      <c r="C26">
        <v>459.8562289249395</v>
      </c>
      <c r="D26">
        <f t="shared" si="29"/>
        <v>0</v>
      </c>
      <c r="F26">
        <v>471.7829410476765</v>
      </c>
      <c r="G26">
        <f t="shared" si="30"/>
        <v>0</v>
      </c>
      <c r="I26" s="37">
        <v>446.41479256933798</v>
      </c>
      <c r="J26">
        <f t="shared" si="31"/>
        <v>0</v>
      </c>
      <c r="L26">
        <f t="shared" si="25"/>
        <v>0</v>
      </c>
      <c r="M26">
        <f t="shared" si="26"/>
        <v>0</v>
      </c>
      <c r="N26">
        <f t="shared" si="45"/>
        <v>0</v>
      </c>
      <c r="O26">
        <f t="shared" si="32"/>
        <v>0</v>
      </c>
      <c r="P26">
        <f t="shared" si="27"/>
        <v>0</v>
      </c>
      <c r="R26">
        <f t="shared" si="33"/>
        <v>459.8562289249395</v>
      </c>
      <c r="S26">
        <f t="shared" si="34"/>
        <v>471.7829410476765</v>
      </c>
      <c r="T26">
        <f t="shared" si="35"/>
        <v>446.41479256933798</v>
      </c>
      <c r="U26" s="44">
        <f>AVERAGE(R26:T26)</f>
        <v>459.35132084731799</v>
      </c>
      <c r="V26">
        <f t="shared" si="28"/>
        <v>0.72219081856059675</v>
      </c>
      <c r="W26">
        <f t="shared" si="37"/>
        <v>7.3275038594301876</v>
      </c>
      <c r="X26" s="39">
        <f t="shared" si="38"/>
        <v>14.361907564483168</v>
      </c>
      <c r="Y26" s="39">
        <f t="shared" si="39"/>
        <v>2.6399711986107466E-2</v>
      </c>
      <c r="Z26" s="39">
        <f t="shared" si="40"/>
        <v>1.3469240809238503E-2</v>
      </c>
      <c r="AA26" s="39">
        <f t="shared" si="41"/>
        <v>5.4355397520237179E-2</v>
      </c>
      <c r="AB26" s="39">
        <f t="shared" si="42"/>
        <v>2.7732345673590401E-2</v>
      </c>
      <c r="AC26" s="40">
        <f t="shared" si="43"/>
        <v>44.437032410756622</v>
      </c>
      <c r="AD26" s="40">
        <f t="shared" si="44"/>
        <v>22.671955311610521</v>
      </c>
      <c r="AE26" s="40">
        <f>'SMX L-H'!$G$52*'SMX DATOS'!AC26</f>
        <v>49.458255384530773</v>
      </c>
      <c r="AF26" s="40">
        <f>'SMX L-H'!$G$52*'SMX DATOS'!AD26</f>
        <v>25.233803767617744</v>
      </c>
      <c r="AG26" s="41">
        <f t="shared" si="46"/>
        <v>49.458285253238479</v>
      </c>
      <c r="AH26" s="41">
        <f t="shared" si="18"/>
        <v>25.233819006754327</v>
      </c>
    </row>
    <row r="27" spans="2:34" x14ac:dyDescent="0.2">
      <c r="AF27" s="40"/>
      <c r="AH27" s="41"/>
    </row>
    <row r="28" spans="2:34" x14ac:dyDescent="0.2">
      <c r="AF28" s="40"/>
      <c r="AH28" s="41"/>
    </row>
    <row r="29" spans="2:34" x14ac:dyDescent="0.2">
      <c r="B29" t="s">
        <v>1</v>
      </c>
      <c r="D29" t="s">
        <v>22</v>
      </c>
      <c r="G29" t="s">
        <v>22</v>
      </c>
      <c r="J29" t="s">
        <v>22</v>
      </c>
      <c r="L29" s="37" t="s">
        <v>23</v>
      </c>
      <c r="M29" s="37" t="s">
        <v>24</v>
      </c>
      <c r="N29" s="37" t="s">
        <v>25</v>
      </c>
      <c r="O29" t="s">
        <v>26</v>
      </c>
      <c r="P29" t="s">
        <v>0</v>
      </c>
      <c r="R29" t="s">
        <v>27</v>
      </c>
      <c r="S29" t="s">
        <v>28</v>
      </c>
      <c r="T29" t="s">
        <v>29</v>
      </c>
      <c r="U29" s="44" t="s">
        <v>26</v>
      </c>
      <c r="V29" t="s">
        <v>22</v>
      </c>
      <c r="X29" s="54" t="s">
        <v>31</v>
      </c>
      <c r="AF29" s="40"/>
      <c r="AH29" s="41"/>
    </row>
    <row r="30" spans="2:34" x14ac:dyDescent="0.2">
      <c r="B30" s="11">
        <v>1440</v>
      </c>
      <c r="C30">
        <v>12.911362806233779</v>
      </c>
      <c r="D30">
        <f>LN($C$39/C30)</f>
        <v>1.273687128041858</v>
      </c>
      <c r="F30">
        <v>16.51064062000605</v>
      </c>
      <c r="G30">
        <f>LN($F$39/F30)</f>
        <v>0.98964614370064385</v>
      </c>
      <c r="I30">
        <v>15.525692162909893</v>
      </c>
      <c r="J30">
        <f>LN($I$39/I30)</f>
        <v>1.0392928196027762</v>
      </c>
      <c r="L30">
        <f t="shared" ref="L30:L39" si="47">D30</f>
        <v>1.273687128041858</v>
      </c>
      <c r="M30">
        <f t="shared" ref="M30:M39" si="48">G30</f>
        <v>0.98964614370064385</v>
      </c>
      <c r="N30">
        <f>J30</f>
        <v>1.0392928196027762</v>
      </c>
      <c r="O30">
        <f>AVERAGE(L30:N30)</f>
        <v>1.1008753637817594</v>
      </c>
      <c r="P30">
        <f t="shared" ref="P30:P39" si="49">STDEV(L30:N30)</f>
        <v>0.15170407874229688</v>
      </c>
      <c r="R30">
        <f>C30</f>
        <v>12.911362806233779</v>
      </c>
      <c r="S30">
        <f>F30</f>
        <v>16.51064062000605</v>
      </c>
      <c r="T30">
        <f>I30</f>
        <v>15.525692162909893</v>
      </c>
      <c r="U30" s="44">
        <f>AVERAGE(R30:T30)</f>
        <v>14.982565196383241</v>
      </c>
      <c r="V30">
        <f t="shared" ref="V30:V39" si="50">LN(($U$13)/(U30))</f>
        <v>4.1451189359012783</v>
      </c>
      <c r="W30">
        <f>STDEV(R30:T30)/SQRT(3)</f>
        <v>1.0739243256245783</v>
      </c>
      <c r="X30" s="39">
        <f t="shared" si="38"/>
        <v>2.1048916782241736</v>
      </c>
      <c r="Y30" s="39">
        <f>(U30/$U$13)*SQRT(((X30/U30)^2)+(($X$13/$U$13)^2))</f>
        <v>2.334371994056937E-3</v>
      </c>
      <c r="Z30" s="39">
        <f>(U30/$U$13)*SQRT(((W30/U30)^2)+(($W$13/$U$13)^2))</f>
        <v>1.1910061194168047E-3</v>
      </c>
      <c r="AA30" s="39">
        <f>(1/(U30/$U$13))*Y30</f>
        <v>0.14735753395781975</v>
      </c>
      <c r="AB30" s="39">
        <f>(1/(U30/$U$13))*Z30</f>
        <v>7.5182415284601914E-2</v>
      </c>
      <c r="AC30" s="40">
        <f>(X30^2+$X$13^2)^0.5</f>
        <v>42.104821927671573</v>
      </c>
      <c r="AD30" s="40">
        <f>(W30^2+$W$13^2)^0.5</f>
        <v>21.48205200391407</v>
      </c>
      <c r="AE30" s="40">
        <f>'SMX L-H'!$G$52*'SMX DATOS'!AC30</f>
        <v>46.862513602841076</v>
      </c>
      <c r="AF30" s="40">
        <f>'SMX L-H'!$G$52*'SMX DATOS'!AD30</f>
        <v>23.909445715735245</v>
      </c>
      <c r="AG30" s="41">
        <f>(AA30^2+AE30^2)^0.5</f>
        <v>46.862745282572583</v>
      </c>
      <c r="AH30" s="41">
        <f t="shared" si="18"/>
        <v>23.909563919679893</v>
      </c>
    </row>
    <row r="31" spans="2:34" x14ac:dyDescent="0.2">
      <c r="B31" s="11">
        <v>150</v>
      </c>
      <c r="C31">
        <v>16.496536331634495</v>
      </c>
      <c r="D31">
        <f t="shared" ref="D31:D39" si="51">LN($C$39/C31)</f>
        <v>1.0286444498166447</v>
      </c>
      <c r="F31">
        <v>13.3939233063934</v>
      </c>
      <c r="G31">
        <f t="shared" ref="G31:G39" si="52">LN($F$39/F31)</f>
        <v>1.1988500833143692</v>
      </c>
      <c r="I31">
        <v>19.206831177018231</v>
      </c>
      <c r="J31">
        <f t="shared" ref="J31:J39" si="53">LN($I$39/I31)</f>
        <v>0.82652302396578925</v>
      </c>
      <c r="L31">
        <f t="shared" si="47"/>
        <v>1.0286444498166447</v>
      </c>
      <c r="M31">
        <f t="shared" si="48"/>
        <v>1.1988500833143692</v>
      </c>
      <c r="N31">
        <f>J31</f>
        <v>0.82652302396578925</v>
      </c>
      <c r="O31">
        <f t="shared" ref="O31:O39" si="54">AVERAGE(L31:N31)</f>
        <v>1.018005852365601</v>
      </c>
      <c r="P31">
        <f t="shared" si="49"/>
        <v>0.18639137479396398</v>
      </c>
      <c r="R31">
        <f t="shared" ref="R31:R39" si="55">C31</f>
        <v>16.496536331634495</v>
      </c>
      <c r="S31">
        <f t="shared" ref="S31:S39" si="56">F31</f>
        <v>13.3939233063934</v>
      </c>
      <c r="T31">
        <f t="shared" ref="T31:T39" si="57">I31</f>
        <v>19.206831177018231</v>
      </c>
      <c r="U31" s="44">
        <f t="shared" ref="U31:U39" si="58">AVERAGE(R31:T31)</f>
        <v>16.365763605015374</v>
      </c>
      <c r="V31">
        <f t="shared" si="50"/>
        <v>4.0568145730172214</v>
      </c>
      <c r="W31">
        <f t="shared" ref="W31:W39" si="59">STDEV(R31:T31)/SQRT(3)</f>
        <v>1.6793153969811279</v>
      </c>
      <c r="X31" s="39">
        <f t="shared" si="38"/>
        <v>3.2914581780830106</v>
      </c>
      <c r="Y31" s="39">
        <f t="shared" ref="Y31:Y39" si="60">(U31/$U$13)*SQRT(((X31/U31)^2)+(($X$13/$U$13)^2))</f>
        <v>3.5641991622960725E-3</v>
      </c>
      <c r="Z31" s="39">
        <f t="shared" ref="Z31:Z39" si="61">(U31/$U$13)*SQRT(((W31/U31)^2)+(($W$13/$U$13)^2))</f>
        <v>1.8184689603551391E-3</v>
      </c>
      <c r="AA31" s="39">
        <f t="shared" ref="AA31:AA39" si="62">(1/(U31/$U$13))*Y31</f>
        <v>0.20597482709221593</v>
      </c>
      <c r="AB31" s="39">
        <f t="shared" ref="AB31:AB39" si="63">(1/(U31/$U$13))*Z31</f>
        <v>0.10508919749602853</v>
      </c>
      <c r="AC31" s="40">
        <f t="shared" ref="AC31:AC39" si="64">(X31^2+$X$13^2)^0.5</f>
        <v>42.180791333519871</v>
      </c>
      <c r="AD31" s="40">
        <f t="shared" ref="AD31:AD39" si="65">(W31^2+$W$13^2)^0.5</f>
        <v>21.52081190485708</v>
      </c>
      <c r="AE31" s="40">
        <f>'SMX L-H'!$G$52*'SMX DATOS'!AC31</f>
        <v>46.947067275127857</v>
      </c>
      <c r="AF31" s="40">
        <f>'SMX L-H'!$G$52*'SMX DATOS'!AD31</f>
        <v>23.952585344452991</v>
      </c>
      <c r="AG31" s="41">
        <f t="shared" ref="AG31:AG39" si="66">(AA31^2+AE31^2)^0.5</f>
        <v>46.947519118317395</v>
      </c>
      <c r="AH31" s="41">
        <f t="shared" si="18"/>
        <v>23.952815876692547</v>
      </c>
    </row>
    <row r="32" spans="2:34" x14ac:dyDescent="0.2">
      <c r="B32" s="11">
        <v>120</v>
      </c>
      <c r="C32">
        <v>21.799276468873625</v>
      </c>
      <c r="D32">
        <f t="shared" si="51"/>
        <v>0.74991810964911154</v>
      </c>
      <c r="F32">
        <v>14.431665167927905</v>
      </c>
      <c r="G32">
        <f t="shared" si="52"/>
        <v>1.1242264404375464</v>
      </c>
      <c r="I32">
        <v>19.96016927973611</v>
      </c>
      <c r="J32">
        <f t="shared" si="53"/>
        <v>0.7880502783947464</v>
      </c>
      <c r="L32">
        <f t="shared" si="47"/>
        <v>0.74991810964911154</v>
      </c>
      <c r="M32">
        <f t="shared" si="48"/>
        <v>1.1242264404375464</v>
      </c>
      <c r="N32">
        <f t="shared" ref="N32:N39" si="67">J32</f>
        <v>0.7880502783947464</v>
      </c>
      <c r="O32">
        <f t="shared" si="54"/>
        <v>0.88739827616046807</v>
      </c>
      <c r="P32">
        <f t="shared" si="49"/>
        <v>0.20598349477433692</v>
      </c>
      <c r="R32">
        <f t="shared" si="55"/>
        <v>21.799276468873625</v>
      </c>
      <c r="S32" s="55">
        <f t="shared" si="56"/>
        <v>14.431665167927905</v>
      </c>
      <c r="T32">
        <f t="shared" si="57"/>
        <v>19.96016927973611</v>
      </c>
      <c r="U32" s="44">
        <f>AVERAGE(R32,T32)</f>
        <v>20.879722874304868</v>
      </c>
      <c r="V32">
        <f t="shared" si="50"/>
        <v>3.8132276501213624</v>
      </c>
      <c r="W32">
        <f>STDEV(R32,T32)/SQRT(2)</f>
        <v>0.9195535945687574</v>
      </c>
      <c r="X32" s="39">
        <f t="shared" si="38"/>
        <v>1.8023250453547646</v>
      </c>
      <c r="Y32" s="39">
        <f t="shared" si="60"/>
        <v>2.1436122846072688E-3</v>
      </c>
      <c r="Z32" s="39">
        <f t="shared" si="61"/>
        <v>1.0936797370445248E-3</v>
      </c>
      <c r="AA32" s="39">
        <f t="shared" si="62"/>
        <v>9.7097928323325061E-2</v>
      </c>
      <c r="AB32" s="39">
        <f t="shared" si="63"/>
        <v>4.9539759348635228E-2</v>
      </c>
      <c r="AC32" s="40">
        <f t="shared" si="64"/>
        <v>42.090780892649029</v>
      </c>
      <c r="AD32" s="40">
        <f t="shared" si="65"/>
        <v>21.474888210535219</v>
      </c>
      <c r="AE32" s="40">
        <f>'SMX L-H'!$G$52*'SMX DATOS'!AC32</f>
        <v>46.846885981950713</v>
      </c>
      <c r="AF32" s="40">
        <f>'SMX L-H'!$G$52*'SMX DATOS'!AD32</f>
        <v>23.901472439770775</v>
      </c>
      <c r="AG32" s="41">
        <f t="shared" si="66"/>
        <v>46.846986607609836</v>
      </c>
      <c r="AH32" s="41">
        <f t="shared" si="18"/>
        <v>23.901523779392775</v>
      </c>
    </row>
    <row r="33" spans="2:34" x14ac:dyDescent="0.2">
      <c r="B33" s="11">
        <v>90</v>
      </c>
      <c r="C33">
        <v>22.173034757325645</v>
      </c>
      <c r="D33">
        <f t="shared" si="51"/>
        <v>0.73291798937074937</v>
      </c>
      <c r="F33">
        <v>22.322972728721737</v>
      </c>
      <c r="G33">
        <f t="shared" si="52"/>
        <v>0.68803488740326368</v>
      </c>
      <c r="I33">
        <v>20.285888429987111</v>
      </c>
      <c r="J33">
        <f t="shared" si="53"/>
        <v>0.77186353710487476</v>
      </c>
      <c r="L33">
        <f t="shared" si="47"/>
        <v>0.73291798937074937</v>
      </c>
      <c r="M33">
        <f t="shared" si="48"/>
        <v>0.68803488740326368</v>
      </c>
      <c r="N33">
        <f t="shared" si="67"/>
        <v>0.77186353710487476</v>
      </c>
      <c r="O33">
        <f t="shared" si="54"/>
        <v>0.73093880462629601</v>
      </c>
      <c r="P33">
        <f t="shared" si="49"/>
        <v>4.1949356453804661E-2</v>
      </c>
      <c r="R33">
        <f t="shared" si="55"/>
        <v>22.173034757325645</v>
      </c>
      <c r="S33">
        <f t="shared" si="56"/>
        <v>22.322972728721737</v>
      </c>
      <c r="T33">
        <f t="shared" si="57"/>
        <v>20.285888429987111</v>
      </c>
      <c r="U33" s="44">
        <f t="shared" si="58"/>
        <v>21.593965305344835</v>
      </c>
      <c r="V33">
        <f t="shared" si="50"/>
        <v>3.7795922491009932</v>
      </c>
      <c r="W33">
        <f t="shared" si="59"/>
        <v>0.65546908971128126</v>
      </c>
      <c r="X33" s="39">
        <f t="shared" si="38"/>
        <v>1.2847194158341113</v>
      </c>
      <c r="Y33" s="39">
        <f t="shared" si="60"/>
        <v>1.6958120842520857E-3</v>
      </c>
      <c r="Z33" s="39">
        <f t="shared" si="61"/>
        <v>8.6521024706739057E-4</v>
      </c>
      <c r="AA33" s="39">
        <f t="shared" si="62"/>
        <v>7.4273481805078312E-2</v>
      </c>
      <c r="AB33" s="39">
        <f t="shared" si="63"/>
        <v>3.7894633574019544E-2</v>
      </c>
      <c r="AC33" s="40">
        <f t="shared" si="64"/>
        <v>42.07179535700012</v>
      </c>
      <c r="AD33" s="40">
        <f t="shared" si="65"/>
        <v>21.465201712755164</v>
      </c>
      <c r="AE33" s="40">
        <f>'SMX L-H'!$G$52*'SMX DATOS'!AC33</f>
        <v>46.825755149854274</v>
      </c>
      <c r="AF33" s="40">
        <f>'SMX L-H'!$G$52*'SMX DATOS'!AD33</f>
        <v>23.890691402986874</v>
      </c>
      <c r="AG33" s="41">
        <f t="shared" si="66"/>
        <v>46.825814054901421</v>
      </c>
      <c r="AH33" s="41">
        <f t="shared" si="18"/>
        <v>23.890721456582359</v>
      </c>
    </row>
    <row r="34" spans="2:34" x14ac:dyDescent="0.2">
      <c r="B34" s="11">
        <v>75</v>
      </c>
      <c r="C34">
        <v>30.84670666281983</v>
      </c>
      <c r="D34">
        <f t="shared" si="51"/>
        <v>0.40276489797042014</v>
      </c>
      <c r="F34">
        <v>23.924558990661957</v>
      </c>
      <c r="G34">
        <f t="shared" si="52"/>
        <v>0.61874569864154805</v>
      </c>
      <c r="I34">
        <v>23.793707726118427</v>
      </c>
      <c r="J34">
        <f>LN($I$39/I34)</f>
        <v>0.61236786572378865</v>
      </c>
      <c r="L34">
        <f t="shared" si="47"/>
        <v>0.40276489797042014</v>
      </c>
      <c r="M34">
        <f t="shared" si="48"/>
        <v>0.61874569864154805</v>
      </c>
      <c r="N34">
        <f t="shared" si="67"/>
        <v>0.61236786572378865</v>
      </c>
      <c r="O34">
        <f t="shared" si="54"/>
        <v>0.54462615411191895</v>
      </c>
      <c r="P34">
        <f t="shared" si="49"/>
        <v>0.12289683146328285</v>
      </c>
      <c r="R34" s="55">
        <f t="shared" si="55"/>
        <v>30.84670666281983</v>
      </c>
      <c r="S34">
        <f t="shared" si="56"/>
        <v>23.924558990661957</v>
      </c>
      <c r="T34">
        <f t="shared" si="57"/>
        <v>23.793707726118427</v>
      </c>
      <c r="U34" s="44">
        <f>AVERAGE(S34:T34)</f>
        <v>23.859133358390192</v>
      </c>
      <c r="V34">
        <f t="shared" si="50"/>
        <v>3.6798390466792918</v>
      </c>
      <c r="W34">
        <f>STDEV(S34:T34)/SQRT(2)</f>
        <v>6.5425632271764997E-2</v>
      </c>
      <c r="X34" s="39">
        <f t="shared" si="38"/>
        <v>0.12823423925265939</v>
      </c>
      <c r="Y34" s="39">
        <f t="shared" si="60"/>
        <v>1.1298378938791893E-3</v>
      </c>
      <c r="Z34" s="39">
        <f t="shared" si="61"/>
        <v>5.7644790504040265E-4</v>
      </c>
      <c r="AA34" s="39">
        <f t="shared" si="62"/>
        <v>4.4786789216257811E-2</v>
      </c>
      <c r="AB34" s="39">
        <f t="shared" si="63"/>
        <v>2.2850402661356024E-2</v>
      </c>
      <c r="AC34" s="40">
        <f t="shared" si="64"/>
        <v>42.052370974821294</v>
      </c>
      <c r="AD34" s="40">
        <f>(W34^2+$W$13^2)^0.5</f>
        <v>21.455291313684334</v>
      </c>
      <c r="AE34" s="40">
        <f>'SMX L-H'!$G$52*'SMX DATOS'!AC34</f>
        <v>46.804135883166822</v>
      </c>
      <c r="AF34" s="40">
        <f>'SMX L-H'!$G$52*'SMX DATOS'!AD34</f>
        <v>23.879661164881032</v>
      </c>
      <c r="AG34" s="41">
        <f t="shared" si="66"/>
        <v>46.804157311358921</v>
      </c>
      <c r="AH34" s="41">
        <f t="shared" si="18"/>
        <v>23.879672097632103</v>
      </c>
    </row>
    <row r="35" spans="2:34" x14ac:dyDescent="0.2">
      <c r="B35" s="11">
        <v>60</v>
      </c>
      <c r="C35">
        <v>33.595602927559874</v>
      </c>
      <c r="D35">
        <f t="shared" si="51"/>
        <v>0.31739969623780118</v>
      </c>
      <c r="F35">
        <v>25.851714065420055</v>
      </c>
      <c r="G35">
        <f t="shared" si="52"/>
        <v>0.54127429592229914</v>
      </c>
      <c r="I35">
        <v>29.714079307615783</v>
      </c>
      <c r="J35">
        <f t="shared" si="53"/>
        <v>0.3901680459472408</v>
      </c>
      <c r="L35">
        <f t="shared" si="47"/>
        <v>0.31739969623780118</v>
      </c>
      <c r="M35">
        <f t="shared" si="48"/>
        <v>0.54127429592229914</v>
      </c>
      <c r="N35">
        <f t="shared" si="67"/>
        <v>0.3901680459472408</v>
      </c>
      <c r="O35">
        <f t="shared" si="54"/>
        <v>0.41628067936911367</v>
      </c>
      <c r="P35">
        <f t="shared" si="49"/>
        <v>0.11419877982773025</v>
      </c>
      <c r="R35">
        <f t="shared" si="55"/>
        <v>33.595602927559874</v>
      </c>
      <c r="S35">
        <f t="shared" si="56"/>
        <v>25.851714065420055</v>
      </c>
      <c r="T35">
        <f t="shared" si="57"/>
        <v>29.714079307615783</v>
      </c>
      <c r="U35" s="44">
        <f t="shared" si="58"/>
        <v>29.720465433531903</v>
      </c>
      <c r="V35">
        <f t="shared" si="50"/>
        <v>3.4601702604005631</v>
      </c>
      <c r="W35">
        <f t="shared" si="59"/>
        <v>2.2354704399929197</v>
      </c>
      <c r="X35" s="39">
        <f>1.96*W35</f>
        <v>4.3815220623861224</v>
      </c>
      <c r="Y35" s="39">
        <f t="shared" si="60"/>
        <v>4.838841636972852E-3</v>
      </c>
      <c r="Z35" s="39">
        <f t="shared" si="61"/>
        <v>2.4687967535575775E-3</v>
      </c>
      <c r="AA35" s="39">
        <f t="shared" si="62"/>
        <v>0.1539835257867849</v>
      </c>
      <c r="AB35" s="39">
        <f t="shared" si="63"/>
        <v>7.8563023360604528E-2</v>
      </c>
      <c r="AC35" s="40">
        <f t="shared" si="64"/>
        <v>42.27982020026873</v>
      </c>
      <c r="AD35" s="40">
        <f t="shared" si="65"/>
        <v>21.571336836871804</v>
      </c>
      <c r="AE35" s="40">
        <f>'SMX L-H'!$G$52*'SMX DATOS'!AC35</f>
        <v>47.05728604349278</v>
      </c>
      <c r="AF35" s="40">
        <f>'SMX L-H'!$G$52*'SMX DATOS'!AD35</f>
        <v>24.0088194099453</v>
      </c>
      <c r="AG35" s="41">
        <f t="shared" si="66"/>
        <v>47.057537979640564</v>
      </c>
      <c r="AH35" s="41">
        <f t="shared" si="18"/>
        <v>24.008947948796209</v>
      </c>
    </row>
    <row r="36" spans="2:34" x14ac:dyDescent="0.2">
      <c r="B36" s="11">
        <v>45</v>
      </c>
      <c r="C36">
        <v>38.235796679818556</v>
      </c>
      <c r="D36">
        <f t="shared" si="51"/>
        <v>0.18802272671135936</v>
      </c>
      <c r="F36">
        <v>22.371856934850513</v>
      </c>
      <c r="G36">
        <f t="shared" si="52"/>
        <v>0.68584742071016491</v>
      </c>
      <c r="I36">
        <v>34.101797507721585</v>
      </c>
      <c r="J36">
        <f t="shared" si="53"/>
        <v>0.2524389344541958</v>
      </c>
      <c r="L36">
        <f t="shared" si="47"/>
        <v>0.18802272671135936</v>
      </c>
      <c r="M36">
        <f t="shared" si="48"/>
        <v>0.68584742071016491</v>
      </c>
      <c r="N36">
        <f t="shared" si="67"/>
        <v>0.2524389344541958</v>
      </c>
      <c r="O36">
        <f t="shared" si="54"/>
        <v>0.37543636062524</v>
      </c>
      <c r="P36">
        <f t="shared" si="49"/>
        <v>0.27074643418201688</v>
      </c>
      <c r="R36">
        <f t="shared" si="55"/>
        <v>38.235796679818556</v>
      </c>
      <c r="S36" s="55">
        <f t="shared" si="56"/>
        <v>22.371856934850513</v>
      </c>
      <c r="T36">
        <f t="shared" si="57"/>
        <v>34.101797507721585</v>
      </c>
      <c r="U36" s="44">
        <f>AVERAGE(R36,T36)</f>
        <v>36.168797093770067</v>
      </c>
      <c r="V36">
        <f t="shared" si="50"/>
        <v>3.2638093523482636</v>
      </c>
      <c r="W36">
        <f>STDEV(R36,T36)/SQRT(2)</f>
        <v>2.0669995860484853</v>
      </c>
      <c r="X36" s="39">
        <f t="shared" si="38"/>
        <v>4.0513191886550315</v>
      </c>
      <c r="Y36" s="39">
        <f t="shared" si="60"/>
        <v>4.6087351467136908E-3</v>
      </c>
      <c r="Z36" s="39">
        <f t="shared" si="61"/>
        <v>2.3513954830171888E-3</v>
      </c>
      <c r="AA36" s="39">
        <f t="shared" si="62"/>
        <v>0.12051362294961458</v>
      </c>
      <c r="AB36" s="39">
        <f t="shared" si="63"/>
        <v>6.1486542321231921E-2</v>
      </c>
      <c r="AC36" s="40">
        <f t="shared" si="64"/>
        <v>42.246877372798096</v>
      </c>
      <c r="AD36" s="40">
        <f t="shared" si="65"/>
        <v>21.554529271835765</v>
      </c>
      <c r="AE36" s="40">
        <f>'SMX L-H'!$G$52*'SMX DATOS'!AC36</f>
        <v>47.020620796383781</v>
      </c>
      <c r="AF36" s="40">
        <f>'SMX L-H'!$G$52*'SMX DATOS'!AD36</f>
        <v>23.990112651216215</v>
      </c>
      <c r="AG36" s="41">
        <f t="shared" si="66"/>
        <v>47.020775234045594</v>
      </c>
      <c r="AH36" s="41">
        <f t="shared" si="18"/>
        <v>23.99019144594163</v>
      </c>
    </row>
    <row r="37" spans="2:34" x14ac:dyDescent="0.2">
      <c r="B37" s="11">
        <v>30</v>
      </c>
      <c r="C37">
        <v>43.288601261817746</v>
      </c>
      <c r="D37">
        <f t="shared" si="51"/>
        <v>6.3905539344600915E-2</v>
      </c>
      <c r="F37">
        <v>29.713566349596185</v>
      </c>
      <c r="G37">
        <f t="shared" si="52"/>
        <v>0.40204748185412781</v>
      </c>
      <c r="I37">
        <v>38.451415849758874</v>
      </c>
      <c r="J37">
        <f t="shared" si="53"/>
        <v>0.13239351177643352</v>
      </c>
      <c r="L37">
        <f t="shared" si="47"/>
        <v>6.3905539344600915E-2</v>
      </c>
      <c r="M37">
        <f t="shared" si="48"/>
        <v>0.40204748185412781</v>
      </c>
      <c r="N37">
        <f t="shared" si="67"/>
        <v>0.13239351177643352</v>
      </c>
      <c r="O37">
        <f t="shared" si="54"/>
        <v>0.19944884432505408</v>
      </c>
      <c r="P37">
        <f t="shared" si="49"/>
        <v>0.17876606651832336</v>
      </c>
      <c r="R37">
        <f t="shared" si="55"/>
        <v>43.288601261817746</v>
      </c>
      <c r="S37" s="55">
        <f t="shared" si="56"/>
        <v>29.713566349596185</v>
      </c>
      <c r="T37">
        <f t="shared" si="57"/>
        <v>38.451415849758874</v>
      </c>
      <c r="U37" s="44">
        <f>AVERAGE(R37,T37)</f>
        <v>40.87000855578831</v>
      </c>
      <c r="V37">
        <f t="shared" ref="V37" si="68">LN(($U$13)/(U37))</f>
        <v>3.1416096338266222</v>
      </c>
      <c r="W37">
        <f>STDEV(R37,T37)/SQRT(2)</f>
        <v>2.4185927060294361</v>
      </c>
      <c r="X37" s="39">
        <f t="shared" si="38"/>
        <v>4.7404417038176945</v>
      </c>
      <c r="Y37" s="39">
        <f t="shared" si="60"/>
        <v>5.3678792943132473E-3</v>
      </c>
      <c r="Z37" s="39">
        <f t="shared" si="61"/>
        <v>2.7387139256700244E-3</v>
      </c>
      <c r="AA37" s="39">
        <f t="shared" si="62"/>
        <v>0.12421855408212203</v>
      </c>
      <c r="AB37" s="39">
        <f>(1/(U37/$U$13))*Z37</f>
        <v>6.3376813307205127E-2</v>
      </c>
      <c r="AC37" s="40">
        <f t="shared" si="64"/>
        <v>42.318521336776051</v>
      </c>
      <c r="AD37" s="40">
        <f t="shared" si="65"/>
        <v>21.591082314681657</v>
      </c>
      <c r="AE37" s="40">
        <f>'SMX L-H'!$G$52*'SMX DATOS'!AC37</f>
        <v>47.100360267607428</v>
      </c>
      <c r="AF37" s="40">
        <f>'SMX L-H'!$G$52*'SMX DATOS'!AD37</f>
        <v>24.030796054901746</v>
      </c>
      <c r="AG37" s="41">
        <f t="shared" si="66"/>
        <v>47.100524069139517</v>
      </c>
      <c r="AH37" s="41">
        <f t="shared" si="18"/>
        <v>24.030879627111997</v>
      </c>
    </row>
    <row r="38" spans="2:34" x14ac:dyDescent="0.2">
      <c r="B38" s="11">
        <v>15</v>
      </c>
      <c r="C38">
        <v>42.587755115607813</v>
      </c>
      <c r="D38">
        <f t="shared" si="51"/>
        <v>8.0228116035984745E-2</v>
      </c>
      <c r="F38">
        <v>39.459680360077471</v>
      </c>
      <c r="G38">
        <f t="shared" si="52"/>
        <v>0.11837180260965577</v>
      </c>
      <c r="I38">
        <v>38.534542812817399</v>
      </c>
      <c r="J38">
        <f t="shared" si="53"/>
        <v>0.13023397523734179</v>
      </c>
      <c r="L38">
        <f t="shared" si="47"/>
        <v>8.0228116035984745E-2</v>
      </c>
      <c r="M38">
        <f t="shared" si="48"/>
        <v>0.11837180260965577</v>
      </c>
      <c r="N38">
        <f t="shared" si="67"/>
        <v>0.13023397523734179</v>
      </c>
      <c r="O38">
        <f t="shared" si="54"/>
        <v>0.10961129796099411</v>
      </c>
      <c r="P38">
        <f t="shared" si="49"/>
        <v>2.6128649408090284E-2</v>
      </c>
      <c r="R38">
        <f t="shared" si="55"/>
        <v>42.587755115607813</v>
      </c>
      <c r="S38">
        <f t="shared" si="56"/>
        <v>39.459680360077471</v>
      </c>
      <c r="T38">
        <f t="shared" si="57"/>
        <v>38.534542812817399</v>
      </c>
      <c r="U38" s="44">
        <f t="shared" si="58"/>
        <v>40.193992762834228</v>
      </c>
      <c r="V38">
        <f t="shared" si="50"/>
        <v>3.1582885900460198</v>
      </c>
      <c r="W38">
        <f t="shared" si="59"/>
        <v>1.2263147395760863</v>
      </c>
      <c r="X38" s="39">
        <f t="shared" si="38"/>
        <v>2.4035768895691292</v>
      </c>
      <c r="Y38" s="39">
        <f t="shared" si="60"/>
        <v>3.166898412313972E-3</v>
      </c>
      <c r="Z38" s="39">
        <f t="shared" si="61"/>
        <v>1.6157644960785569E-3</v>
      </c>
      <c r="AA38" s="39">
        <f t="shared" si="62"/>
        <v>7.4518042713883959E-2</v>
      </c>
      <c r="AB38" s="39">
        <f t="shared" si="63"/>
        <v>3.8019409547899972E-2</v>
      </c>
      <c r="AC38" s="40">
        <f t="shared" si="64"/>
        <v>42.120810087745774</v>
      </c>
      <c r="AD38" s="40">
        <f t="shared" si="65"/>
        <v>21.490209228441724</v>
      </c>
      <c r="AE38" s="40">
        <f>'SMX L-H'!$G$52*'SMX DATOS'!AC38</f>
        <v>46.880308366829126</v>
      </c>
      <c r="AF38" s="40">
        <f>'SMX L-H'!$G$52*'SMX DATOS'!AD38</f>
        <v>23.918524676953638</v>
      </c>
      <c r="AG38" s="41">
        <f t="shared" si="66"/>
        <v>46.88036759143084</v>
      </c>
      <c r="AH38" s="41">
        <f t="shared" si="18"/>
        <v>23.918554893587164</v>
      </c>
    </row>
    <row r="39" spans="2:34" x14ac:dyDescent="0.2">
      <c r="B39" s="11">
        <v>0</v>
      </c>
      <c r="C39">
        <v>46.145289638059381</v>
      </c>
      <c r="D39">
        <f t="shared" si="51"/>
        <v>0</v>
      </c>
      <c r="F39">
        <v>44.418284726043552</v>
      </c>
      <c r="G39">
        <f t="shared" si="52"/>
        <v>0</v>
      </c>
      <c r="I39">
        <v>43.894500118361869</v>
      </c>
      <c r="J39">
        <f t="shared" si="53"/>
        <v>0</v>
      </c>
      <c r="L39">
        <f t="shared" si="47"/>
        <v>0</v>
      </c>
      <c r="M39">
        <f t="shared" si="48"/>
        <v>0</v>
      </c>
      <c r="N39">
        <f t="shared" si="67"/>
        <v>0</v>
      </c>
      <c r="O39">
        <f t="shared" si="54"/>
        <v>0</v>
      </c>
      <c r="P39">
        <f t="shared" si="49"/>
        <v>0</v>
      </c>
      <c r="R39">
        <f t="shared" si="55"/>
        <v>46.145289638059381</v>
      </c>
      <c r="S39">
        <f t="shared" si="56"/>
        <v>44.418284726043552</v>
      </c>
      <c r="T39">
        <f t="shared" si="57"/>
        <v>43.894500118361869</v>
      </c>
      <c r="U39" s="44">
        <f t="shared" si="58"/>
        <v>44.819358160821601</v>
      </c>
      <c r="V39">
        <f t="shared" si="50"/>
        <v>3.0493659928484229</v>
      </c>
      <c r="W39">
        <f t="shared" si="59"/>
        <v>0.67998977702083541</v>
      </c>
      <c r="X39" s="39">
        <f t="shared" si="38"/>
        <v>1.3327799629608374</v>
      </c>
      <c r="Y39" s="39">
        <f t="shared" si="60"/>
        <v>2.5348625573305217E-3</v>
      </c>
      <c r="Z39" s="39">
        <f t="shared" si="61"/>
        <v>1.2932972231278171E-3</v>
      </c>
      <c r="AA39" s="39">
        <f t="shared" si="62"/>
        <v>5.3490571803827464E-2</v>
      </c>
      <c r="AB39" s="39">
        <f t="shared" si="63"/>
        <v>2.7291108063177274E-2</v>
      </c>
      <c r="AC39" s="40">
        <f t="shared" si="64"/>
        <v>42.073290375409734</v>
      </c>
      <c r="AD39" s="40">
        <f t="shared" si="65"/>
        <v>21.465964477249866</v>
      </c>
      <c r="AE39" s="40">
        <f>'SMX L-H'!$G$52*'SMX DATOS'!AC39</f>
        <v>46.827419099904397</v>
      </c>
      <c r="AF39" s="40">
        <f>'SMX L-H'!$G$52*'SMX DATOS'!AD39</f>
        <v>23.891540357094083</v>
      </c>
      <c r="AG39" s="41">
        <f t="shared" si="66"/>
        <v>46.827449650812326</v>
      </c>
      <c r="AH39" s="41">
        <f t="shared" si="18"/>
        <v>23.891555944292005</v>
      </c>
    </row>
    <row r="40" spans="2:34" x14ac:dyDescent="0.2">
      <c r="AF40" s="40"/>
      <c r="AH40" s="41"/>
    </row>
    <row r="41" spans="2:34" x14ac:dyDescent="0.2">
      <c r="AF41" s="40"/>
      <c r="AH41" s="41"/>
    </row>
    <row r="42" spans="2:34" x14ac:dyDescent="0.2">
      <c r="B42" t="s">
        <v>1</v>
      </c>
      <c r="D42" t="s">
        <v>22</v>
      </c>
      <c r="G42" t="s">
        <v>22</v>
      </c>
      <c r="J42" t="s">
        <v>22</v>
      </c>
      <c r="L42" s="37" t="s">
        <v>23</v>
      </c>
      <c r="M42" s="37" t="s">
        <v>24</v>
      </c>
      <c r="N42" s="37" t="s">
        <v>25</v>
      </c>
      <c r="O42" t="s">
        <v>26</v>
      </c>
      <c r="P42" t="s">
        <v>0</v>
      </c>
      <c r="R42" t="s">
        <v>27</v>
      </c>
      <c r="S42" t="s">
        <v>28</v>
      </c>
      <c r="T42" t="s">
        <v>29</v>
      </c>
      <c r="U42" s="44" t="s">
        <v>26</v>
      </c>
      <c r="V42" t="s">
        <v>22</v>
      </c>
      <c r="X42" s="54" t="s">
        <v>31</v>
      </c>
      <c r="AF42" s="40"/>
      <c r="AH42" s="41"/>
    </row>
    <row r="43" spans="2:34" x14ac:dyDescent="0.2">
      <c r="B43" s="11">
        <v>1440</v>
      </c>
      <c r="C43">
        <v>3.5028482817497237</v>
      </c>
      <c r="D43">
        <f>LN($C$52/C43)</f>
        <v>1.7004678375357847</v>
      </c>
      <c r="F43">
        <v>0.74297029411836246</v>
      </c>
      <c r="G43">
        <f>LN($F$52/F43)</f>
        <v>3.2399292340660373</v>
      </c>
      <c r="I43">
        <v>5.3138360896414696</v>
      </c>
      <c r="J43">
        <f>LN($I$52/I43)</f>
        <v>1.285249659749732</v>
      </c>
      <c r="L43">
        <f t="shared" ref="L43:L52" si="69">D43</f>
        <v>1.7004678375357847</v>
      </c>
      <c r="M43">
        <f t="shared" ref="M43:M52" si="70">G43</f>
        <v>3.2399292340660373</v>
      </c>
      <c r="N43">
        <f>J43</f>
        <v>1.285249659749732</v>
      </c>
      <c r="O43">
        <f>AVERAGE(L43:N43)</f>
        <v>2.0752155771171847</v>
      </c>
      <c r="P43">
        <f t="shared" ref="P43:P52" si="71">STDEV(L43:N43)</f>
        <v>1.0298154984284169</v>
      </c>
      <c r="R43">
        <f>C43</f>
        <v>3.5028482817497237</v>
      </c>
      <c r="S43" s="55">
        <f>F43</f>
        <v>0.74297029411836246</v>
      </c>
      <c r="T43">
        <f>I43</f>
        <v>5.3138360896414696</v>
      </c>
      <c r="U43" s="44">
        <f>AVERAGE(R43,T43)</f>
        <v>4.4083421856955969</v>
      </c>
      <c r="V43">
        <f t="shared" ref="V43:V52" si="72">LN(($U$13)/(U43))</f>
        <v>5.3685074435727786</v>
      </c>
      <c r="W43">
        <f>STDEV(R43,T43)/SQRT(2)</f>
        <v>0.90549390394587159</v>
      </c>
      <c r="X43" s="39">
        <f t="shared" si="38"/>
        <v>1.7747680517339084</v>
      </c>
      <c r="Y43" s="39">
        <f>(U43/$U$13)*SQRT(((X43/U43)^2)+(($X$13/$U$13)^2))</f>
        <v>1.8879294230322379E-3</v>
      </c>
      <c r="Z43" s="39">
        <f>(U43/$U$13)*SQRT(((W43/U43)^2)+(($W$13/$U$13)^2))</f>
        <v>9.6322929746542731E-4</v>
      </c>
      <c r="AA43" s="39">
        <f>(1/(U43/$U$13))*Y43</f>
        <v>0.40504093202532954</v>
      </c>
      <c r="AB43" s="39">
        <f>(1/(U43/$U$13))*Z43</f>
        <v>0.20665353674761705</v>
      </c>
      <c r="AC43" s="40">
        <f>(X43^2+$X$13^2)^0.5</f>
        <v>42.089609908162977</v>
      </c>
      <c r="AD43" s="40">
        <f>(W43^2+$W$13^2)^0.5</f>
        <v>21.474290769470908</v>
      </c>
      <c r="AE43" s="40">
        <f>'SMX L-H'!$G$52*'SMX DATOS'!AC43</f>
        <v>46.845582680478486</v>
      </c>
      <c r="AF43" s="40">
        <f>'SMX L-H'!$G$52*'SMX DATOS'!AD43</f>
        <v>23.900807490040044</v>
      </c>
      <c r="AG43" s="41">
        <f>(AA43^2+AE43^2)^0.5</f>
        <v>46.847333700330928</v>
      </c>
      <c r="AH43" s="41">
        <f t="shared" si="18"/>
        <v>23.901700867515782</v>
      </c>
    </row>
    <row r="44" spans="2:34" x14ac:dyDescent="0.2">
      <c r="B44" s="11">
        <v>150</v>
      </c>
      <c r="C44">
        <v>4.7703053997891098</v>
      </c>
      <c r="D44">
        <f t="shared" ref="D44:D52" si="73">LN($C$52/C44)</f>
        <v>1.3916339419015995</v>
      </c>
      <c r="F44">
        <v>0.99905792741022781</v>
      </c>
      <c r="G44">
        <f t="shared" ref="G44:G52" si="74">LN($F$52/F44)</f>
        <v>2.9437725346232799</v>
      </c>
      <c r="I44">
        <v>4.4913865359027536</v>
      </c>
      <c r="J44">
        <f t="shared" ref="J44:J52" si="75">LN($I$52/I44)</f>
        <v>1.4534022021991022</v>
      </c>
      <c r="L44">
        <f t="shared" si="69"/>
        <v>1.3916339419015995</v>
      </c>
      <c r="M44">
        <f t="shared" si="70"/>
        <v>2.9437725346232799</v>
      </c>
      <c r="N44">
        <f>J44</f>
        <v>1.4534022021991022</v>
      </c>
      <c r="O44">
        <f t="shared" ref="O44:O52" si="76">AVERAGE(L44:N44)</f>
        <v>1.9296028929079938</v>
      </c>
      <c r="P44">
        <f t="shared" si="71"/>
        <v>0.87883950532946009</v>
      </c>
      <c r="R44">
        <f t="shared" ref="R44:R52" si="77">C44</f>
        <v>4.7703053997891098</v>
      </c>
      <c r="S44" s="55">
        <f t="shared" ref="S44:S52" si="78">F44</f>
        <v>0.99905792741022781</v>
      </c>
      <c r="T44">
        <f t="shared" ref="T44:T52" si="79">I44</f>
        <v>4.4913865359027536</v>
      </c>
      <c r="U44" s="44">
        <f>AVERAGE(R44,T44)</f>
        <v>4.6308459678459322</v>
      </c>
      <c r="V44">
        <f t="shared" si="72"/>
        <v>5.3192665748988563</v>
      </c>
      <c r="W44">
        <f>STDEV(R44,T44)/SQRT(2)</f>
        <v>0.13945943194317809</v>
      </c>
      <c r="X44" s="39">
        <f t="shared" si="38"/>
        <v>0.27334048660862903</v>
      </c>
      <c r="Y44" s="39">
        <f t="shared" ref="Y44:Y52" si="80">(U44/$U$13)*SQRT(((X44/U44)^2)+(($X$13/$U$13)^2))</f>
        <v>3.6183424673538484E-4</v>
      </c>
      <c r="Z44" s="39">
        <f t="shared" ref="Z44:Z52" si="81">(U44/$U$13)*SQRT(((W44/U44)^2)+(($W$13/$U$13)^2))</f>
        <v>1.8460930955886982E-4</v>
      </c>
      <c r="AA44" s="39">
        <f t="shared" ref="AA44:AA52" si="82">(1/(U44/$U$13))*Y44</f>
        <v>7.3898868820022515E-2</v>
      </c>
      <c r="AB44" s="39">
        <f t="shared" ref="AB44:AB52" si="83">(1/(U44/$U$13))*Z44</f>
        <v>3.7703504500011489E-2</v>
      </c>
      <c r="AC44" s="40">
        <f t="shared" ref="AC44:AC52" si="84">(X44^2+$X$13^2)^0.5</f>
        <v>42.053063807593077</v>
      </c>
      <c r="AD44" s="40">
        <f t="shared" ref="AD44:AD52" si="85">(W44^2+$W$13^2)^0.5</f>
        <v>21.455644799792388</v>
      </c>
      <c r="AE44" s="40">
        <f>'SMX L-H'!$G$52*'SMX DATOS'!AC44</f>
        <v>46.804907003520874</v>
      </c>
      <c r="AF44" s="40">
        <f>'SMX L-H'!$G$52*'SMX DATOS'!AD44</f>
        <v>23.880054593633101</v>
      </c>
      <c r="AG44" s="41">
        <f t="shared" ref="AG44:AG52" si="86">(AA44^2+AE44^2)^0.5</f>
        <v>46.804965341842212</v>
      </c>
      <c r="AH44" s="41">
        <f t="shared" si="18"/>
        <v>23.880084358082762</v>
      </c>
    </row>
    <row r="45" spans="2:34" x14ac:dyDescent="0.2">
      <c r="B45" s="11">
        <v>120</v>
      </c>
      <c r="C45">
        <v>6.6544898933762209</v>
      </c>
      <c r="D45">
        <f t="shared" si="73"/>
        <v>1.0587524710873435</v>
      </c>
      <c r="F45">
        <v>1.5080716182742995</v>
      </c>
      <c r="G45">
        <f t="shared" si="74"/>
        <v>2.5319982573218507</v>
      </c>
      <c r="I45">
        <v>8.2358729744860995</v>
      </c>
      <c r="J45">
        <f t="shared" si="75"/>
        <v>0.8470642957643626</v>
      </c>
      <c r="L45">
        <f t="shared" si="69"/>
        <v>1.0587524710873435</v>
      </c>
      <c r="M45">
        <f t="shared" si="70"/>
        <v>2.5319982573218507</v>
      </c>
      <c r="N45">
        <f t="shared" ref="N45:N52" si="87">J45</f>
        <v>0.8470642957643626</v>
      </c>
      <c r="O45">
        <f t="shared" si="76"/>
        <v>1.4792716747245189</v>
      </c>
      <c r="P45">
        <f t="shared" si="71"/>
        <v>0.91781148073729502</v>
      </c>
      <c r="R45">
        <f t="shared" si="77"/>
        <v>6.6544898933762209</v>
      </c>
      <c r="S45" s="55">
        <f t="shared" si="78"/>
        <v>1.5080716182742995</v>
      </c>
      <c r="T45">
        <f t="shared" si="79"/>
        <v>8.2358729744860995</v>
      </c>
      <c r="U45" s="44">
        <f>AVERAGE(R45,T45)</f>
        <v>7.4451814339311602</v>
      </c>
      <c r="V45">
        <f t="shared" si="72"/>
        <v>4.8444391050018378</v>
      </c>
      <c r="W45">
        <f>STDEV(R45,T45)/SQRT(2)</f>
        <v>0.79069154055493751</v>
      </c>
      <c r="X45" s="39">
        <f t="shared" si="38"/>
        <v>1.5497554194876775</v>
      </c>
      <c r="Y45" s="39">
        <f t="shared" si="80"/>
        <v>1.6755722248170805E-3</v>
      </c>
      <c r="Z45" s="39">
        <f t="shared" si="81"/>
        <v>8.5488378817197969E-4</v>
      </c>
      <c r="AA45" s="39">
        <f t="shared" si="82"/>
        <v>0.21285130826952586</v>
      </c>
      <c r="AB45" s="39">
        <f t="shared" si="83"/>
        <v>0.10859760625996216</v>
      </c>
      <c r="AC45" s="40">
        <f t="shared" si="84"/>
        <v>42.080722456299476</v>
      </c>
      <c r="AD45" s="40">
        <f t="shared" si="85"/>
        <v>21.469756355254834</v>
      </c>
      <c r="AE45" s="40">
        <f>'SMX L-H'!$G$52*'SMX DATOS'!AC45</f>
        <v>46.835690978892302</v>
      </c>
      <c r="AF45" s="40">
        <f>'SMX L-H'!$G$52*'SMX DATOS'!AD45</f>
        <v>23.89576070351648</v>
      </c>
      <c r="AG45" s="41">
        <f t="shared" si="86"/>
        <v>46.836174642574363</v>
      </c>
      <c r="AH45" s="41">
        <f t="shared" si="18"/>
        <v>23.896007470701207</v>
      </c>
    </row>
    <row r="46" spans="2:34" x14ac:dyDescent="0.2">
      <c r="B46" s="11">
        <v>90</v>
      </c>
      <c r="C46">
        <v>10.724497655750937</v>
      </c>
      <c r="D46">
        <f t="shared" si="73"/>
        <v>0.5815136447728535</v>
      </c>
      <c r="F46">
        <v>5.27257022990295</v>
      </c>
      <c r="G46">
        <f t="shared" si="74"/>
        <v>1.2803120646836579</v>
      </c>
      <c r="I46">
        <v>11.144895380922533</v>
      </c>
      <c r="J46">
        <f t="shared" si="75"/>
        <v>0.54458208189885338</v>
      </c>
      <c r="L46">
        <f t="shared" si="69"/>
        <v>0.5815136447728535</v>
      </c>
      <c r="M46">
        <f t="shared" si="70"/>
        <v>1.2803120646836579</v>
      </c>
      <c r="N46">
        <f t="shared" si="87"/>
        <v>0.54458208189885338</v>
      </c>
      <c r="O46">
        <f t="shared" si="76"/>
        <v>0.80213593045178833</v>
      </c>
      <c r="P46">
        <f t="shared" si="71"/>
        <v>0.41452418095423615</v>
      </c>
      <c r="R46">
        <f t="shared" si="77"/>
        <v>10.724497655750937</v>
      </c>
      <c r="S46" s="55">
        <f t="shared" si="78"/>
        <v>5.27257022990295</v>
      </c>
      <c r="T46">
        <f t="shared" si="79"/>
        <v>11.144895380922533</v>
      </c>
      <c r="U46" s="44">
        <f t="shared" ref="U46:U48" si="88">AVERAGE(R46,T46)</f>
        <v>10.934696518336736</v>
      </c>
      <c r="V46">
        <f t="shared" si="72"/>
        <v>4.4600652402392367</v>
      </c>
      <c r="W46">
        <f t="shared" ref="W46:W48" si="89">STDEV(R46,T46)/SQRT(2)</f>
        <v>0.21019886258579754</v>
      </c>
      <c r="X46" s="39">
        <f t="shared" si="38"/>
        <v>0.41198977066816317</v>
      </c>
      <c r="Y46" s="39">
        <f t="shared" si="80"/>
        <v>6.7380955855090316E-4</v>
      </c>
      <c r="Z46" s="39">
        <f t="shared" si="81"/>
        <v>3.4378038701576695E-4</v>
      </c>
      <c r="AA46" s="39">
        <f t="shared" si="82"/>
        <v>5.8279912395766971E-2</v>
      </c>
      <c r="AB46" s="39">
        <f t="shared" si="83"/>
        <v>2.9734649181513764E-2</v>
      </c>
      <c r="AC46" s="40">
        <f t="shared" si="84"/>
        <v>42.054193562057648</v>
      </c>
      <c r="AD46" s="40">
        <f t="shared" si="85"/>
        <v>21.456221205131452</v>
      </c>
      <c r="AE46" s="40">
        <f>'SMX L-H'!$G$52*'SMX DATOS'!AC46</f>
        <v>46.806164416129214</v>
      </c>
      <c r="AF46" s="40">
        <f>'SMX L-H'!$G$52*'SMX DATOS'!AD46</f>
        <v>23.880696130678171</v>
      </c>
      <c r="AG46" s="41">
        <f t="shared" si="86"/>
        <v>46.806200699244002</v>
      </c>
      <c r="AH46" s="41">
        <f t="shared" si="18"/>
        <v>23.880714642471428</v>
      </c>
    </row>
    <row r="47" spans="2:34" x14ac:dyDescent="0.2">
      <c r="B47" s="11">
        <v>75</v>
      </c>
      <c r="C47">
        <v>12.58435156676927</v>
      </c>
      <c r="D47">
        <f t="shared" si="73"/>
        <v>0.42159016689875733</v>
      </c>
      <c r="F47">
        <v>5.137560544435507</v>
      </c>
      <c r="G47">
        <f t="shared" si="74"/>
        <v>1.306251653446354</v>
      </c>
      <c r="I47">
        <v>14.280484304551441</v>
      </c>
      <c r="J47">
        <f t="shared" si="75"/>
        <v>0.29666979038537161</v>
      </c>
      <c r="L47">
        <f t="shared" si="69"/>
        <v>0.42159016689875733</v>
      </c>
      <c r="M47">
        <f t="shared" si="70"/>
        <v>1.306251653446354</v>
      </c>
      <c r="N47">
        <f t="shared" si="87"/>
        <v>0.29666979038537161</v>
      </c>
      <c r="O47">
        <f t="shared" si="76"/>
        <v>0.67483720357682764</v>
      </c>
      <c r="P47">
        <f t="shared" si="71"/>
        <v>0.55037662627067363</v>
      </c>
      <c r="R47">
        <f t="shared" si="77"/>
        <v>12.58435156676927</v>
      </c>
      <c r="S47" s="55">
        <f t="shared" si="78"/>
        <v>5.137560544435507</v>
      </c>
      <c r="T47">
        <f t="shared" si="79"/>
        <v>14.280484304551441</v>
      </c>
      <c r="U47" s="44">
        <f t="shared" si="88"/>
        <v>13.432417935660355</v>
      </c>
      <c r="V47">
        <f t="shared" si="72"/>
        <v>4.2543351065290471</v>
      </c>
      <c r="W47">
        <f t="shared" si="89"/>
        <v>0.84806636889108578</v>
      </c>
      <c r="X47" s="39">
        <f t="shared" si="38"/>
        <v>1.6622100830265281</v>
      </c>
      <c r="Y47" s="39">
        <f t="shared" si="80"/>
        <v>1.8675156534782153E-3</v>
      </c>
      <c r="Z47" s="39">
        <f t="shared" si="81"/>
        <v>9.5281410891745672E-4</v>
      </c>
      <c r="AA47" s="39">
        <f t="shared" si="82"/>
        <v>0.13149175191472004</v>
      </c>
      <c r="AB47" s="39">
        <f t="shared" si="83"/>
        <v>6.7087628527918372E-2</v>
      </c>
      <c r="AC47" s="40">
        <f t="shared" si="84"/>
        <v>42.085013994817565</v>
      </c>
      <c r="AD47" s="40">
        <f>(W47^2+$W$13^2)^0.5</f>
        <v>21.47194591572325</v>
      </c>
      <c r="AE47" s="40">
        <f>'SMX L-H'!$G$52*'SMX DATOS'!AC47</f>
        <v>46.840467445647739</v>
      </c>
      <c r="AF47" s="40">
        <f>'SMX L-H'!$G$52*'SMX DATOS'!AD47</f>
        <v>23.89819767635089</v>
      </c>
      <c r="AG47" s="41">
        <f t="shared" si="86"/>
        <v>46.840652008779806</v>
      </c>
      <c r="AH47" s="41">
        <f t="shared" si="18"/>
        <v>23.898291841214185</v>
      </c>
    </row>
    <row r="48" spans="2:34" x14ac:dyDescent="0.2">
      <c r="B48" s="11">
        <v>60</v>
      </c>
      <c r="C48">
        <v>13.915430891401504</v>
      </c>
      <c r="D48">
        <f t="shared" si="73"/>
        <v>0.32104590940203748</v>
      </c>
      <c r="F48">
        <v>8.5425775945014077</v>
      </c>
      <c r="G48">
        <f t="shared" si="74"/>
        <v>0.79776722969004443</v>
      </c>
      <c r="I48">
        <v>13.490448168734659</v>
      </c>
      <c r="J48">
        <f t="shared" si="75"/>
        <v>0.35358176964529675</v>
      </c>
      <c r="L48">
        <f t="shared" si="69"/>
        <v>0.32104590940203748</v>
      </c>
      <c r="M48">
        <f t="shared" si="70"/>
        <v>0.79776722969004443</v>
      </c>
      <c r="N48">
        <f t="shared" si="87"/>
        <v>0.35358176964529675</v>
      </c>
      <c r="O48">
        <f t="shared" si="76"/>
        <v>0.49079830291245957</v>
      </c>
      <c r="P48">
        <f t="shared" si="71"/>
        <v>0.26634017168966251</v>
      </c>
      <c r="R48">
        <f t="shared" si="77"/>
        <v>13.915430891401504</v>
      </c>
      <c r="S48" s="55">
        <f t="shared" si="78"/>
        <v>8.5425775945014077</v>
      </c>
      <c r="T48">
        <f t="shared" si="79"/>
        <v>13.490448168734659</v>
      </c>
      <c r="U48" s="44">
        <f t="shared" si="88"/>
        <v>13.702939530068083</v>
      </c>
      <c r="V48">
        <f t="shared" si="72"/>
        <v>4.2343957666873049</v>
      </c>
      <c r="W48">
        <f t="shared" si="89"/>
        <v>0.2124913613334227</v>
      </c>
      <c r="X48" s="39">
        <f t="shared" si="38"/>
        <v>0.4164830682135085</v>
      </c>
      <c r="Y48" s="39">
        <f t="shared" si="80"/>
        <v>7.8033341116224154E-4</v>
      </c>
      <c r="Z48" s="39">
        <f t="shared" si="81"/>
        <v>3.9812929140930695E-4</v>
      </c>
      <c r="AA48" s="39">
        <f t="shared" si="82"/>
        <v>5.385858236327052E-2</v>
      </c>
      <c r="AB48" s="39">
        <f t="shared" si="83"/>
        <v>2.7478868552689044E-2</v>
      </c>
      <c r="AC48" s="40">
        <f t="shared" si="84"/>
        <v>42.05423782129435</v>
      </c>
      <c r="AD48" s="40">
        <f t="shared" si="85"/>
        <v>21.456243786374667</v>
      </c>
      <c r="AE48" s="40">
        <f>'SMX L-H'!$G$52*'SMX DATOS'!AC48</f>
        <v>46.806213676498622</v>
      </c>
      <c r="AF48" s="40">
        <f>'SMX L-H'!$G$52*'SMX DATOS'!AD48</f>
        <v>23.880721263519703</v>
      </c>
      <c r="AG48" s="41">
        <f t="shared" si="86"/>
        <v>46.806244663259847</v>
      </c>
      <c r="AH48" s="41">
        <f t="shared" si="18"/>
        <v>23.880737073091758</v>
      </c>
    </row>
    <row r="49" spans="2:34" x14ac:dyDescent="0.2">
      <c r="B49" s="11">
        <v>45</v>
      </c>
      <c r="C49">
        <v>15.181527914763143</v>
      </c>
      <c r="D49">
        <f t="shared" si="73"/>
        <v>0.23396484981660245</v>
      </c>
      <c r="F49">
        <v>12.886582633304013</v>
      </c>
      <c r="G49">
        <f t="shared" si="74"/>
        <v>0.38664335386758153</v>
      </c>
      <c r="I49">
        <v>17.763535246056549</v>
      </c>
      <c r="J49">
        <f t="shared" si="75"/>
        <v>7.8415887204061493E-2</v>
      </c>
      <c r="L49">
        <f t="shared" si="69"/>
        <v>0.23396484981660245</v>
      </c>
      <c r="M49">
        <f t="shared" si="70"/>
        <v>0.38664335386758153</v>
      </c>
      <c r="N49">
        <f t="shared" si="87"/>
        <v>7.8415887204061493E-2</v>
      </c>
      <c r="O49">
        <f t="shared" si="76"/>
        <v>0.23300803029608183</v>
      </c>
      <c r="P49">
        <f t="shared" si="71"/>
        <v>0.15411596098116825</v>
      </c>
      <c r="R49">
        <f t="shared" si="77"/>
        <v>15.181527914763143</v>
      </c>
      <c r="S49">
        <f t="shared" si="78"/>
        <v>12.886582633304013</v>
      </c>
      <c r="T49">
        <f t="shared" si="79"/>
        <v>17.763535246056549</v>
      </c>
      <c r="U49" s="44">
        <f t="shared" ref="U49:U52" si="90">AVERAGE(R49:T49)</f>
        <v>15.2772152647079</v>
      </c>
      <c r="V49">
        <f t="shared" si="72"/>
        <v>4.1256436206890479</v>
      </c>
      <c r="W49">
        <f t="shared" ref="W49:W52" si="91">STDEV(R49:T49)/SQRT(3)</f>
        <v>1.4086676623039993</v>
      </c>
      <c r="X49" s="39">
        <f t="shared" si="38"/>
        <v>2.7609886181158387</v>
      </c>
      <c r="Y49" s="39">
        <f t="shared" si="80"/>
        <v>3.006334568824058E-3</v>
      </c>
      <c r="Z49" s="39">
        <f t="shared" si="81"/>
        <v>1.5338441677673765E-3</v>
      </c>
      <c r="AA49" s="39">
        <f t="shared" si="82"/>
        <v>0.18611508262392096</v>
      </c>
      <c r="AB49" s="39">
        <f>(1/(U49/$U$13))*Z49</f>
        <v>9.4956674808122934E-2</v>
      </c>
      <c r="AC49" s="40">
        <f t="shared" si="84"/>
        <v>42.142716081586876</v>
      </c>
      <c r="AD49" s="40">
        <f t="shared" si="85"/>
        <v>21.50138575591167</v>
      </c>
      <c r="AE49" s="40">
        <f>'SMX L-H'!$G$52*'SMX DATOS'!AC49</f>
        <v>46.904689658267095</v>
      </c>
      <c r="AF49" s="40">
        <f>'SMX L-H'!$G$52*'SMX DATOS'!AD49</f>
        <v>23.930964111360762</v>
      </c>
      <c r="AG49" s="41">
        <f t="shared" si="86"/>
        <v>46.905058903729433</v>
      </c>
      <c r="AH49" s="41">
        <f t="shared" si="18"/>
        <v>23.931152501902773</v>
      </c>
    </row>
    <row r="50" spans="2:34" x14ac:dyDescent="0.2">
      <c r="B50" s="11">
        <v>30</v>
      </c>
      <c r="C50">
        <v>17.108933194776831</v>
      </c>
      <c r="D50">
        <f t="shared" si="73"/>
        <v>0.11444353371356271</v>
      </c>
      <c r="F50">
        <v>14.546409886121731</v>
      </c>
      <c r="G50">
        <f t="shared" si="74"/>
        <v>0.26548579805472133</v>
      </c>
      <c r="I50">
        <v>18.225904247558901</v>
      </c>
      <c r="J50">
        <f t="shared" si="75"/>
        <v>5.2719769164101898E-2</v>
      </c>
      <c r="L50">
        <f t="shared" si="69"/>
        <v>0.11444353371356271</v>
      </c>
      <c r="M50">
        <f t="shared" si="70"/>
        <v>0.26548579805472133</v>
      </c>
      <c r="N50">
        <f t="shared" si="87"/>
        <v>5.2719769164101898E-2</v>
      </c>
      <c r="O50">
        <f t="shared" si="76"/>
        <v>0.14421636697746198</v>
      </c>
      <c r="P50">
        <f t="shared" si="71"/>
        <v>0.10946306209352512</v>
      </c>
      <c r="R50">
        <f t="shared" si="77"/>
        <v>17.108933194776831</v>
      </c>
      <c r="S50" s="55">
        <f t="shared" si="78"/>
        <v>14.546409886121731</v>
      </c>
      <c r="T50">
        <f t="shared" si="79"/>
        <v>18.225904247558901</v>
      </c>
      <c r="U50" s="44">
        <f t="shared" ref="U50" si="92">AVERAGE(R50,T50)</f>
        <v>17.667418721167866</v>
      </c>
      <c r="V50">
        <f t="shared" ref="V50" si="93">LN(($U$13)/(U50))</f>
        <v>3.9802839476436334</v>
      </c>
      <c r="W50">
        <f t="shared" ref="W50" si="94">STDEV(R50,T50)/SQRT(2)</f>
        <v>0.55848552639103488</v>
      </c>
      <c r="X50" s="39">
        <f t="shared" si="38"/>
        <v>1.0946316317264284</v>
      </c>
      <c r="Y50" s="39">
        <f t="shared" si="80"/>
        <v>1.4245784318293068E-3</v>
      </c>
      <c r="Z50" s="39">
        <f t="shared" si="81"/>
        <v>7.268257305251566E-4</v>
      </c>
      <c r="AA50" s="39">
        <f t="shared" si="82"/>
        <v>7.6260863714484567E-2</v>
      </c>
      <c r="AB50" s="39">
        <f t="shared" si="83"/>
        <v>3.8908603935961517E-2</v>
      </c>
      <c r="AC50" s="40">
        <f t="shared" si="84"/>
        <v>42.066419849959317</v>
      </c>
      <c r="AD50" s="40">
        <f t="shared" si="85"/>
        <v>21.462459107122104</v>
      </c>
      <c r="AE50" s="40">
        <f>'SMX L-H'!$G$52*'SMX DATOS'!AC50</f>
        <v>46.819772230077184</v>
      </c>
      <c r="AF50" s="40">
        <f>'SMX L-H'!$G$52*'SMX DATOS'!AD50</f>
        <v>23.887638892896526</v>
      </c>
      <c r="AG50" s="41">
        <f t="shared" si="86"/>
        <v>46.819834337550155</v>
      </c>
      <c r="AH50" s="41">
        <f t="shared" si="18"/>
        <v>23.887670580382739</v>
      </c>
    </row>
    <row r="51" spans="2:34" x14ac:dyDescent="0.2">
      <c r="B51" s="11">
        <v>15</v>
      </c>
      <c r="C51">
        <v>17.757849477698112</v>
      </c>
      <c r="D51">
        <f t="shared" si="73"/>
        <v>7.7216627600514703E-2</v>
      </c>
      <c r="F51">
        <v>17.910326451832088</v>
      </c>
      <c r="G51">
        <f t="shared" si="74"/>
        <v>5.7452574748085433E-2</v>
      </c>
      <c r="I51">
        <v>19.0308108267308</v>
      </c>
      <c r="J51">
        <f t="shared" si="75"/>
        <v>9.5043733903005124E-3</v>
      </c>
      <c r="L51">
        <f t="shared" si="69"/>
        <v>7.7216627600514703E-2</v>
      </c>
      <c r="M51">
        <f t="shared" si="70"/>
        <v>5.7452574748085433E-2</v>
      </c>
      <c r="N51">
        <f t="shared" si="87"/>
        <v>9.5043733903005124E-3</v>
      </c>
      <c r="O51">
        <f t="shared" si="76"/>
        <v>4.8057858579633551E-2</v>
      </c>
      <c r="P51">
        <f t="shared" si="71"/>
        <v>3.4820006626528593E-2</v>
      </c>
      <c r="R51">
        <f t="shared" si="77"/>
        <v>17.757849477698112</v>
      </c>
      <c r="S51">
        <f t="shared" si="78"/>
        <v>17.910326451832088</v>
      </c>
      <c r="T51">
        <f t="shared" si="79"/>
        <v>19.0308108267308</v>
      </c>
      <c r="U51" s="44">
        <f t="shared" si="90"/>
        <v>18.232995585420333</v>
      </c>
      <c r="V51">
        <f t="shared" si="72"/>
        <v>3.9487732438075906</v>
      </c>
      <c r="W51">
        <f t="shared" si="91"/>
        <v>0.40132870001231408</v>
      </c>
      <c r="X51" s="39">
        <f t="shared" si="38"/>
        <v>0.78660425202413553</v>
      </c>
      <c r="Y51" s="39">
        <f t="shared" si="80"/>
        <v>1.1943524442129788E-3</v>
      </c>
      <c r="Z51" s="39">
        <f t="shared" si="81"/>
        <v>6.0936349194539742E-4</v>
      </c>
      <c r="AA51" s="39">
        <f t="shared" si="82"/>
        <v>6.1953084353789059E-2</v>
      </c>
      <c r="AB51" s="39">
        <f t="shared" si="83"/>
        <v>3.1608716507035235E-2</v>
      </c>
      <c r="AC51" s="40">
        <f t="shared" si="84"/>
        <v>42.059531700117368</v>
      </c>
      <c r="AD51" s="40">
        <f t="shared" si="85"/>
        <v>21.458944744957844</v>
      </c>
      <c r="AE51" s="40">
        <f>'SMX L-H'!$G$52*'SMX DATOS'!AC51</f>
        <v>46.812105744366328</v>
      </c>
      <c r="AF51" s="40">
        <f>'SMX L-H'!$G$52*'SMX DATOS'!AD51</f>
        <v>23.883727420595068</v>
      </c>
      <c r="AG51" s="41">
        <f t="shared" si="86"/>
        <v>46.812146739990425</v>
      </c>
      <c r="AH51" s="41">
        <f t="shared" si="18"/>
        <v>23.883748336729813</v>
      </c>
    </row>
    <row r="52" spans="2:34" x14ac:dyDescent="0.2">
      <c r="B52" s="11">
        <v>0</v>
      </c>
      <c r="C52">
        <v>19.183379821619148</v>
      </c>
      <c r="D52">
        <f t="shared" si="73"/>
        <v>0</v>
      </c>
      <c r="F52">
        <v>18.969454317915716</v>
      </c>
      <c r="G52">
        <f t="shared" si="74"/>
        <v>0</v>
      </c>
      <c r="I52">
        <v>19.212549044609698</v>
      </c>
      <c r="J52">
        <f t="shared" si="75"/>
        <v>0</v>
      </c>
      <c r="L52">
        <f t="shared" si="69"/>
        <v>0</v>
      </c>
      <c r="M52">
        <f t="shared" si="70"/>
        <v>0</v>
      </c>
      <c r="N52">
        <f t="shared" si="87"/>
        <v>0</v>
      </c>
      <c r="O52">
        <f t="shared" si="76"/>
        <v>0</v>
      </c>
      <c r="P52">
        <f t="shared" si="71"/>
        <v>0</v>
      </c>
      <c r="R52">
        <f t="shared" si="77"/>
        <v>19.183379821619148</v>
      </c>
      <c r="S52">
        <f t="shared" si="78"/>
        <v>18.969454317915716</v>
      </c>
      <c r="T52">
        <f t="shared" si="79"/>
        <v>19.212549044609698</v>
      </c>
      <c r="U52" s="44">
        <f t="shared" si="90"/>
        <v>19.121794394714854</v>
      </c>
      <c r="V52">
        <f t="shared" si="72"/>
        <v>3.9011773884286463</v>
      </c>
      <c r="W52">
        <f t="shared" si="91"/>
        <v>7.6634054966539147E-2</v>
      </c>
      <c r="X52" s="39">
        <f t="shared" si="38"/>
        <v>0.15020274773441672</v>
      </c>
      <c r="Y52" s="39">
        <f t="shared" si="80"/>
        <v>9.1288028270793283E-4</v>
      </c>
      <c r="Z52" s="39">
        <f t="shared" si="81"/>
        <v>4.6575524627955755E-4</v>
      </c>
      <c r="AA52" s="39">
        <f t="shared" si="82"/>
        <v>4.5151651454564318E-2</v>
      </c>
      <c r="AB52" s="39">
        <f t="shared" si="83"/>
        <v>2.3036556864573631E-2</v>
      </c>
      <c r="AC52" s="40">
        <f t="shared" si="84"/>
        <v>42.05244370365773</v>
      </c>
      <c r="AD52" s="40">
        <f t="shared" si="85"/>
        <v>21.455328420233535</v>
      </c>
      <c r="AE52" s="40">
        <f>'SMX L-H'!$G$52*'SMX DATOS'!AC52</f>
        <v>46.80421683009714</v>
      </c>
      <c r="AF52" s="40">
        <f>'SMX L-H'!$G$52*'SMX DATOS'!AD52</f>
        <v>23.879702464335274</v>
      </c>
      <c r="AG52" s="41">
        <f t="shared" si="86"/>
        <v>46.804238608809541</v>
      </c>
      <c r="AH52" s="41">
        <f t="shared" si="18"/>
        <v>23.879713575923233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H52"/>
  <sheetViews>
    <sheetView topLeftCell="P25" zoomScale="80" zoomScaleNormal="80" workbookViewId="0">
      <selection activeCell="W43" sqref="W43:W52"/>
    </sheetView>
  </sheetViews>
  <sheetFormatPr baseColWidth="10" defaultRowHeight="16" x14ac:dyDescent="0.2"/>
  <cols>
    <col min="3" max="3" width="8.83203125" customWidth="1"/>
    <col min="6" max="6" width="8.83203125" customWidth="1"/>
    <col min="9" max="9" width="8.83203125" customWidth="1"/>
    <col min="21" max="21" width="11.5" bestFit="1" customWidth="1"/>
    <col min="24" max="24" width="10.83203125" style="39"/>
    <col min="25" max="26" width="12.83203125" customWidth="1"/>
    <col min="29" max="30" width="15" customWidth="1"/>
    <col min="31" max="32" width="16.1640625" customWidth="1"/>
    <col min="33" max="34" width="30" customWidth="1"/>
  </cols>
  <sheetData>
    <row r="1" spans="2:34" x14ac:dyDescent="0.2">
      <c r="AG1" s="86" t="s">
        <v>31</v>
      </c>
      <c r="AH1" s="87" t="s">
        <v>70</v>
      </c>
    </row>
    <row r="2" spans="2:34" x14ac:dyDescent="0.2">
      <c r="X2" s="54" t="s">
        <v>21</v>
      </c>
      <c r="Y2" s="86" t="s">
        <v>31</v>
      </c>
      <c r="Z2" s="87" t="s">
        <v>70</v>
      </c>
      <c r="AA2" s="86" t="s">
        <v>31</v>
      </c>
      <c r="AB2" s="87" t="s">
        <v>70</v>
      </c>
      <c r="AC2" s="86" t="s">
        <v>31</v>
      </c>
      <c r="AD2" s="87" t="s">
        <v>70</v>
      </c>
      <c r="AE2" s="86" t="s">
        <v>31</v>
      </c>
      <c r="AF2" s="87" t="s">
        <v>70</v>
      </c>
      <c r="AG2" s="90"/>
      <c r="AH2" s="91"/>
    </row>
    <row r="3" spans="2:34" x14ac:dyDescent="0.2">
      <c r="B3" t="s">
        <v>1</v>
      </c>
      <c r="D3" t="s">
        <v>22</v>
      </c>
      <c r="G3" t="s">
        <v>22</v>
      </c>
      <c r="J3" t="s">
        <v>22</v>
      </c>
      <c r="L3" s="37" t="s">
        <v>23</v>
      </c>
      <c r="M3" s="37" t="s">
        <v>24</v>
      </c>
      <c r="N3" s="37" t="s">
        <v>25</v>
      </c>
      <c r="O3" t="s">
        <v>26</v>
      </c>
      <c r="P3" t="s">
        <v>0</v>
      </c>
      <c r="R3" t="s">
        <v>27</v>
      </c>
      <c r="S3" t="s">
        <v>28</v>
      </c>
      <c r="T3" t="s">
        <v>29</v>
      </c>
      <c r="U3" t="s">
        <v>26</v>
      </c>
      <c r="V3" t="s">
        <v>22</v>
      </c>
      <c r="W3" s="38" t="s">
        <v>0</v>
      </c>
      <c r="X3" s="54" t="s">
        <v>31</v>
      </c>
      <c r="Y3" s="92"/>
      <c r="Z3" s="93"/>
      <c r="AA3" s="94"/>
      <c r="AB3" s="95"/>
      <c r="AC3" s="88"/>
      <c r="AD3" s="89"/>
      <c r="AE3" s="88"/>
      <c r="AF3" s="89"/>
      <c r="AG3" s="88"/>
      <c r="AH3" s="89"/>
    </row>
    <row r="4" spans="2:34" x14ac:dyDescent="0.2">
      <c r="B4" s="11">
        <v>1440</v>
      </c>
      <c r="C4">
        <v>280.11526723539851</v>
      </c>
      <c r="D4">
        <f>LN($C$13/C4)</f>
        <v>1.1977387608824945</v>
      </c>
      <c r="F4">
        <v>304.66927627826243</v>
      </c>
      <c r="G4">
        <f>LN($F$13/F4)</f>
        <v>1.0747292843039538</v>
      </c>
      <c r="I4">
        <v>254.19776950112995</v>
      </c>
      <c r="J4">
        <f>LN($I$13/I4)</f>
        <v>1.3280615879330984</v>
      </c>
      <c r="L4">
        <f t="shared" ref="L4:L13" si="0">D4</f>
        <v>1.1977387608824945</v>
      </c>
      <c r="M4">
        <f t="shared" ref="M4:M13" si="1">G4</f>
        <v>1.0747292843039538</v>
      </c>
      <c r="N4">
        <f>J4</f>
        <v>1.3280615879330984</v>
      </c>
      <c r="O4">
        <f>AVERAGE(L4:N4)</f>
        <v>1.2001765443731822</v>
      </c>
      <c r="P4">
        <f t="shared" ref="P4:P13" si="2">STDEV(L4:N4)</f>
        <v>0.12668374444565839</v>
      </c>
      <c r="R4">
        <f>C4</f>
        <v>280.11526723539851</v>
      </c>
      <c r="S4">
        <f>F4</f>
        <v>304.66927627826243</v>
      </c>
      <c r="T4">
        <f>I4</f>
        <v>254.19776950112995</v>
      </c>
      <c r="U4">
        <f>AVERAGE(R4:T4)</f>
        <v>279.66077100493033</v>
      </c>
      <c r="V4">
        <f>LN(($U$13)/(U4))</f>
        <v>1.1978811562368796</v>
      </c>
      <c r="W4">
        <f>STDEV(R4:T4)/SQRT(3)</f>
        <v>14.571641113319675</v>
      </c>
      <c r="X4" s="39">
        <f>1.96*W4</f>
        <v>28.560416582106562</v>
      </c>
      <c r="Y4" s="39">
        <f>(U4/$U$13)*SQRT(((X4/U4)^2)+(($X$13/$U$13)^2))</f>
        <v>3.3198051374884761E-2</v>
      </c>
      <c r="Z4" s="39">
        <f>(U4/$U$13)*SQRT(((W4/U4)^2)+(($W$13/$U$13)^2))</f>
        <v>1.6937781313716715E-2</v>
      </c>
      <c r="AA4" s="39">
        <f>(1/(U4/$U$13))*Y4</f>
        <v>0.10998811746468876</v>
      </c>
      <c r="AB4" s="39">
        <f>(1/(U4/$U$13))*Z4</f>
        <v>5.6116386461575893E-2</v>
      </c>
      <c r="AC4" s="40">
        <f>(X4^2+$X$13^2)^0.5</f>
        <v>47.407705120865643</v>
      </c>
      <c r="AD4" s="40">
        <f>(W4^2+$W$13^2)^0.5</f>
        <v>24.187604653502877</v>
      </c>
      <c r="AE4" s="40">
        <f>'SDZ L-H'!$G$51*'SDZ DATOS'!AC4</f>
        <v>137.8567915455948</v>
      </c>
      <c r="AF4" s="40">
        <f>'SDZ L-H'!$G$51*'SDZ DATOS'!AD4</f>
        <v>70.335097727344277</v>
      </c>
      <c r="AG4" s="41">
        <f>(AA4^2+AE4^2)^0.5</f>
        <v>137.85683542222912</v>
      </c>
      <c r="AH4" s="41">
        <f>(AB4^2+AF4^2)^0.5</f>
        <v>70.335120113382189</v>
      </c>
    </row>
    <row r="5" spans="2:34" x14ac:dyDescent="0.2">
      <c r="B5" s="11">
        <v>150</v>
      </c>
      <c r="C5">
        <v>454.14803728199553</v>
      </c>
      <c r="D5">
        <f t="shared" ref="D5:D13" si="3">LN($C$13/C5)</f>
        <v>0.71451672983792514</v>
      </c>
      <c r="F5">
        <v>395.25741766675469</v>
      </c>
      <c r="G5">
        <f t="shared" ref="G5:G13" si="4">LN($F$13/F5)</f>
        <v>0.81441888957927167</v>
      </c>
      <c r="I5">
        <v>383.63157105086094</v>
      </c>
      <c r="J5">
        <f t="shared" ref="J5:J13" si="5">LN($I$13/I5)</f>
        <v>0.91649153043525855</v>
      </c>
      <c r="L5">
        <f t="shared" si="0"/>
        <v>0.71451672983792514</v>
      </c>
      <c r="M5">
        <f t="shared" si="1"/>
        <v>0.81441888957927167</v>
      </c>
      <c r="N5">
        <f>J5</f>
        <v>0.91649153043525855</v>
      </c>
      <c r="O5">
        <f>AVERAGE(L5:N5)</f>
        <v>0.81514238328415178</v>
      </c>
      <c r="P5">
        <f t="shared" si="2"/>
        <v>0.10098934399944805</v>
      </c>
      <c r="R5" s="55">
        <f t="shared" ref="R5:R13" si="6">C5</f>
        <v>454.14803728199553</v>
      </c>
      <c r="S5">
        <f t="shared" ref="S5:S13" si="7">F5</f>
        <v>395.25741766675469</v>
      </c>
      <c r="T5">
        <f t="shared" ref="T5:T13" si="8">I5</f>
        <v>383.63157105086094</v>
      </c>
      <c r="U5">
        <f>AVERAGE(S5:T5)</f>
        <v>389.44449435880779</v>
      </c>
      <c r="V5">
        <f t="shared" ref="V5:V13" si="9">LN(($U$13)/(U5))</f>
        <v>0.86673714248194411</v>
      </c>
      <c r="W5">
        <f>STDEV(S5:T5)/SQRT(3)</f>
        <v>4.7462320061337104</v>
      </c>
      <c r="X5" s="39">
        <f t="shared" ref="X5:X13" si="10">1.96*W5</f>
        <v>9.3026147320220716</v>
      </c>
      <c r="Y5" s="39">
        <f t="shared" ref="Y5:Y13" si="11">(U5/$U$13)*SQRT(((X5/U5)^2)+(($X$13/$U$13)^2))</f>
        <v>1.9886145130673778E-2</v>
      </c>
      <c r="Z5" s="39">
        <f t="shared" ref="Z5:Z13" si="12">(U5/$U$13)*SQRT(((W5/U5)^2)+(($W$13/$U$13)^2))</f>
        <v>1.014599241360907E-2</v>
      </c>
      <c r="AA5" s="39">
        <f t="shared" ref="AA5:AA13" si="13">(1/(U5/$U$13))*Y5</f>
        <v>4.7311831760536063E-2</v>
      </c>
      <c r="AB5" s="39">
        <f t="shared" ref="AB5:AB12" si="14">(1/(U5/$U$13))*Z5</f>
        <v>2.4138689673742889E-2</v>
      </c>
      <c r="AC5" s="40">
        <f t="shared" ref="AC5:AC13" si="15">(X5^2+$X$13^2)^0.5</f>
        <v>38.965776655110012</v>
      </c>
      <c r="AD5" s="40">
        <f t="shared" ref="AD5:AD13" si="16">(W5^2+$W$13^2)^0.5</f>
        <v>19.880498293423479</v>
      </c>
      <c r="AE5" s="40">
        <f>'SDZ L-H'!$G$51*'SDZ DATOS'!AC5</f>
        <v>113.30852096849232</v>
      </c>
      <c r="AF5" s="40">
        <f>'SDZ L-H'!$G$51*'SDZ DATOS'!AD5</f>
        <v>57.810469881883847</v>
      </c>
      <c r="AG5" s="41">
        <f t="shared" ref="AG5:AH20" si="17">(AA5^2+AE5^2)^0.5</f>
        <v>113.30853084599009</v>
      </c>
      <c r="AH5" s="41">
        <f t="shared" si="17"/>
        <v>57.810474921423527</v>
      </c>
    </row>
    <row r="6" spans="2:34" x14ac:dyDescent="0.2">
      <c r="B6" s="11">
        <v>120</v>
      </c>
      <c r="C6">
        <v>470.72726525199812</v>
      </c>
      <c r="D6">
        <f>LN($C$13/C6)</f>
        <v>0.67866107640443996</v>
      </c>
      <c r="F6">
        <v>413.33512671312047</v>
      </c>
      <c r="G6">
        <f t="shared" si="4"/>
        <v>0.76969742377444117</v>
      </c>
      <c r="I6">
        <v>404.75841975397856</v>
      </c>
      <c r="J6">
        <f t="shared" si="5"/>
        <v>0.86288377736912469</v>
      </c>
      <c r="L6">
        <f t="shared" si="0"/>
        <v>0.67866107640443996</v>
      </c>
      <c r="M6">
        <f t="shared" si="1"/>
        <v>0.76969742377444117</v>
      </c>
      <c r="N6">
        <f t="shared" ref="N6:N13" si="18">J6</f>
        <v>0.86288377736912469</v>
      </c>
      <c r="O6">
        <f t="shared" ref="O6:O13" si="19">AVERAGE(L6:N6)</f>
        <v>0.77041409251600201</v>
      </c>
      <c r="P6">
        <f t="shared" si="2"/>
        <v>9.2113441463473514E-2</v>
      </c>
      <c r="R6" s="55">
        <f t="shared" si="6"/>
        <v>470.72726525199812</v>
      </c>
      <c r="S6">
        <f t="shared" si="7"/>
        <v>413.33512671312047</v>
      </c>
      <c r="T6">
        <f t="shared" si="8"/>
        <v>404.75841975397856</v>
      </c>
      <c r="U6">
        <f t="shared" ref="U6:U13" si="20">AVERAGE(R6:T6)</f>
        <v>429.60693723969911</v>
      </c>
      <c r="V6">
        <f t="shared" si="9"/>
        <v>0.76858780158115214</v>
      </c>
      <c r="W6">
        <f t="shared" ref="W6:W13" si="21">STDEV(R6:T6)/SQRT(3)</f>
        <v>20.708701934573696</v>
      </c>
      <c r="X6" s="39">
        <f t="shared" si="10"/>
        <v>40.589055791764444</v>
      </c>
      <c r="Y6" s="39">
        <f t="shared" si="11"/>
        <v>4.7724430260833735E-2</v>
      </c>
      <c r="Z6" s="39">
        <f t="shared" si="12"/>
        <v>2.4349199112670271E-2</v>
      </c>
      <c r="AA6" s="39">
        <f t="shared" si="13"/>
        <v>0.10292815629551795</v>
      </c>
      <c r="AB6" s="39">
        <f t="shared" si="14"/>
        <v>5.251436545689691E-2</v>
      </c>
      <c r="AC6" s="40">
        <f>(X6^2+$X$13^2)^0.5</f>
        <v>55.491121447943804</v>
      </c>
      <c r="AD6" s="40">
        <f t="shared" si="16"/>
        <v>28.31179665711419</v>
      </c>
      <c r="AE6" s="40">
        <f>'SDZ L-H'!$G$51*'SDZ DATOS'!AC6</f>
        <v>161.3625452355748</v>
      </c>
      <c r="AF6" s="40">
        <f>'SDZ L-H'!$G$51*'SDZ DATOS'!AD6</f>
        <v>82.327829201823889</v>
      </c>
      <c r="AG6" s="41">
        <f t="shared" si="17"/>
        <v>161.36257806290865</v>
      </c>
      <c r="AH6" s="41">
        <f t="shared" si="17"/>
        <v>82.327845950463598</v>
      </c>
    </row>
    <row r="7" spans="2:34" x14ac:dyDescent="0.2">
      <c r="B7" s="11">
        <v>90</v>
      </c>
      <c r="C7">
        <v>473.39836309160955</v>
      </c>
      <c r="D7">
        <f t="shared" si="3"/>
        <v>0.67300270873353318</v>
      </c>
      <c r="F7">
        <v>468.62326210886704</v>
      </c>
      <c r="G7">
        <f t="shared" si="4"/>
        <v>0.64415696595888172</v>
      </c>
      <c r="I7">
        <v>517.08925205905416</v>
      </c>
      <c r="J7">
        <f t="shared" si="5"/>
        <v>0.61795867791503456</v>
      </c>
      <c r="L7">
        <f t="shared" si="0"/>
        <v>0.67300270873353318</v>
      </c>
      <c r="M7">
        <f t="shared" si="1"/>
        <v>0.64415696595888172</v>
      </c>
      <c r="N7">
        <f t="shared" si="18"/>
        <v>0.61795867791503456</v>
      </c>
      <c r="O7">
        <f t="shared" si="19"/>
        <v>0.64503945086914982</v>
      </c>
      <c r="P7">
        <f t="shared" si="2"/>
        <v>2.7532624591556736E-2</v>
      </c>
      <c r="R7">
        <f t="shared" si="6"/>
        <v>473.39836309160955</v>
      </c>
      <c r="S7">
        <f t="shared" si="7"/>
        <v>468.62326210886704</v>
      </c>
      <c r="T7" s="55">
        <f t="shared" si="8"/>
        <v>517.08925205905416</v>
      </c>
      <c r="U7">
        <f>AVERAGE(R7:S7)</f>
        <v>471.0108126002383</v>
      </c>
      <c r="V7">
        <f t="shared" si="9"/>
        <v>0.67657744234120853</v>
      </c>
      <c r="W7">
        <f>STDEV(R7:S7)/SQRT(3)</f>
        <v>1.9494268129969441</v>
      </c>
      <c r="X7" s="39">
        <f t="shared" si="10"/>
        <v>3.8208765534740103</v>
      </c>
      <c r="Y7" s="39">
        <f t="shared" si="11"/>
        <v>2.116628405256547E-2</v>
      </c>
      <c r="Z7" s="39">
        <f t="shared" si="12"/>
        <v>1.0799124516615034E-2</v>
      </c>
      <c r="AA7" s="39">
        <f t="shared" si="13"/>
        <v>4.1636907903629818E-2</v>
      </c>
      <c r="AB7" s="39">
        <f t="shared" si="14"/>
        <v>2.1243320358994802E-2</v>
      </c>
      <c r="AC7" s="40">
        <f t="shared" si="15"/>
        <v>38.031463383892685</v>
      </c>
      <c r="AD7" s="40">
        <f t="shared" si="16"/>
        <v>19.403807848924838</v>
      </c>
      <c r="AE7" s="40">
        <f>'SDZ L-H'!$G$51*'SDZ DATOS'!AC7</f>
        <v>110.59163286897112</v>
      </c>
      <c r="AF7" s="40">
        <f>'SDZ L-H'!$G$51*'SDZ DATOS'!AD7</f>
        <v>56.42430248416894</v>
      </c>
      <c r="AG7" s="41">
        <f t="shared" si="17"/>
        <v>110.59164070696028</v>
      </c>
      <c r="AH7" s="41">
        <f t="shared" si="17"/>
        <v>56.424306483142999</v>
      </c>
    </row>
    <row r="8" spans="2:34" x14ac:dyDescent="0.2">
      <c r="B8" s="11">
        <v>75</v>
      </c>
      <c r="C8">
        <v>511.96962994108065</v>
      </c>
      <c r="D8">
        <f t="shared" si="3"/>
        <v>0.59467464127839909</v>
      </c>
      <c r="F8">
        <v>473.70298429594862</v>
      </c>
      <c r="G8">
        <f t="shared" si="4"/>
        <v>0.63337562263786873</v>
      </c>
      <c r="I8">
        <v>519.45972596683725</v>
      </c>
      <c r="J8">
        <f t="shared" si="5"/>
        <v>0.61338488914003186</v>
      </c>
      <c r="L8">
        <f t="shared" si="0"/>
        <v>0.59467464127839909</v>
      </c>
      <c r="M8">
        <f t="shared" si="1"/>
        <v>0.63337562263786873</v>
      </c>
      <c r="N8">
        <f t="shared" si="18"/>
        <v>0.61338488914003186</v>
      </c>
      <c r="O8">
        <f t="shared" si="19"/>
        <v>0.6138117176854333</v>
      </c>
      <c r="P8">
        <f t="shared" si="2"/>
        <v>1.935402093886129E-2</v>
      </c>
      <c r="R8">
        <f t="shared" si="6"/>
        <v>511.96962994108065</v>
      </c>
      <c r="S8" s="55">
        <f t="shared" si="7"/>
        <v>473.70298429594862</v>
      </c>
      <c r="T8">
        <f t="shared" si="8"/>
        <v>519.45972596683725</v>
      </c>
      <c r="U8">
        <f>AVERAGE(R8,T8)</f>
        <v>515.71467795395893</v>
      </c>
      <c r="V8">
        <f t="shared" si="9"/>
        <v>0.58590482993566195</v>
      </c>
      <c r="W8">
        <f>STDEV(R8,T8)/SQRT(3)</f>
        <v>3.0578188979253063</v>
      </c>
      <c r="X8" s="39">
        <f t="shared" si="10"/>
        <v>5.9933250399336</v>
      </c>
      <c r="Y8" s="39">
        <f t="shared" si="11"/>
        <v>2.3633527911189819E-2</v>
      </c>
      <c r="Z8" s="39">
        <f t="shared" si="12"/>
        <v>1.2057922403668275E-2</v>
      </c>
      <c r="AA8" s="39">
        <f t="shared" si="13"/>
        <v>4.2460371598479055E-2</v>
      </c>
      <c r="AB8" s="39">
        <f t="shared" si="14"/>
        <v>2.1663454897183188E-2</v>
      </c>
      <c r="AC8" s="40">
        <f t="shared" si="15"/>
        <v>38.310743330269354</v>
      </c>
      <c r="AD8" s="40">
        <f t="shared" si="16"/>
        <v>19.546297617484363</v>
      </c>
      <c r="AE8" s="40">
        <f>'SDZ L-H'!$G$51*'SDZ DATOS'!AC8</f>
        <v>111.40375058807092</v>
      </c>
      <c r="AF8" s="40">
        <f>'SDZ L-H'!$G$51*'SDZ DATOS'!AD8</f>
        <v>56.838648259219859</v>
      </c>
      <c r="AG8" s="41">
        <f t="shared" si="17"/>
        <v>111.40375867973337</v>
      </c>
      <c r="AH8" s="41">
        <f t="shared" si="17"/>
        <v>56.838652387619064</v>
      </c>
    </row>
    <row r="9" spans="2:34" x14ac:dyDescent="0.2">
      <c r="B9" s="11">
        <v>60</v>
      </c>
      <c r="C9">
        <v>641.4933133430244</v>
      </c>
      <c r="D9">
        <f t="shared" si="3"/>
        <v>0.36914118750743219</v>
      </c>
      <c r="F9">
        <v>600.29969803334177</v>
      </c>
      <c r="G9">
        <f t="shared" si="4"/>
        <v>0.3965271052866467</v>
      </c>
      <c r="I9">
        <v>628.53115664871075</v>
      </c>
      <c r="J9">
        <f t="shared" si="5"/>
        <v>0.42278857223688565</v>
      </c>
      <c r="L9">
        <f t="shared" si="0"/>
        <v>0.36914118750743219</v>
      </c>
      <c r="M9">
        <f t="shared" si="1"/>
        <v>0.3965271052866467</v>
      </c>
      <c r="N9">
        <f t="shared" si="18"/>
        <v>0.42278857223688565</v>
      </c>
      <c r="O9">
        <f t="shared" si="19"/>
        <v>0.39615228834365485</v>
      </c>
      <c r="P9">
        <f t="shared" si="2"/>
        <v>2.6825656336482512E-2</v>
      </c>
      <c r="R9">
        <f t="shared" si="6"/>
        <v>641.4933133430244</v>
      </c>
      <c r="S9">
        <f t="shared" si="7"/>
        <v>600.29969803334177</v>
      </c>
      <c r="T9">
        <f t="shared" si="8"/>
        <v>628.53115664871075</v>
      </c>
      <c r="U9">
        <f t="shared" si="20"/>
        <v>623.44138934169234</v>
      </c>
      <c r="V9">
        <f t="shared" si="9"/>
        <v>0.39620373474064075</v>
      </c>
      <c r="W9">
        <f t="shared" si="21"/>
        <v>12.160835826540668</v>
      </c>
      <c r="X9" s="39">
        <f t="shared" si="10"/>
        <v>23.835238220019708</v>
      </c>
      <c r="Y9" s="39">
        <f t="shared" si="11"/>
        <v>3.7641571845049147E-2</v>
      </c>
      <c r="Z9" s="39">
        <f t="shared" si="12"/>
        <v>1.9204883594412827E-2</v>
      </c>
      <c r="AA9" s="39">
        <f t="shared" si="13"/>
        <v>5.5941852806903343E-2</v>
      </c>
      <c r="AB9" s="39">
        <f t="shared" si="14"/>
        <v>2.854176163617517E-2</v>
      </c>
      <c r="AC9" s="40">
        <f t="shared" si="15"/>
        <v>44.720372208743647</v>
      </c>
      <c r="AD9" s="40">
        <f t="shared" si="16"/>
        <v>22.816516433032472</v>
      </c>
      <c r="AE9" s="40">
        <f>'SDZ L-H'!$G$51*'SDZ DATOS'!AC9</f>
        <v>130.0423003751086</v>
      </c>
      <c r="AF9" s="40">
        <f>'SDZ L-H'!$G$51*'SDZ DATOS'!AD9</f>
        <v>66.348112436279891</v>
      </c>
      <c r="AG9" s="41">
        <f t="shared" si="17"/>
        <v>130.04231240769622</v>
      </c>
      <c r="AH9" s="41">
        <f t="shared" si="17"/>
        <v>66.348118575355215</v>
      </c>
    </row>
    <row r="10" spans="2:34" x14ac:dyDescent="0.2">
      <c r="B10" s="11">
        <v>45</v>
      </c>
      <c r="C10">
        <v>692.40689434794137</v>
      </c>
      <c r="D10">
        <f t="shared" si="3"/>
        <v>0.29276616760984503</v>
      </c>
      <c r="F10">
        <v>626.6178769762372</v>
      </c>
      <c r="G10">
        <f t="shared" si="4"/>
        <v>0.35361922428209208</v>
      </c>
      <c r="I10">
        <v>723.64642219851135</v>
      </c>
      <c r="J10">
        <f t="shared" si="5"/>
        <v>0.28187126610093866</v>
      </c>
      <c r="L10">
        <f t="shared" si="0"/>
        <v>0.29276616760984503</v>
      </c>
      <c r="M10">
        <f t="shared" si="1"/>
        <v>0.35361922428209208</v>
      </c>
      <c r="N10">
        <f t="shared" si="18"/>
        <v>0.28187126610093866</v>
      </c>
      <c r="O10">
        <f t="shared" si="19"/>
        <v>0.30941888599762524</v>
      </c>
      <c r="P10">
        <f t="shared" si="2"/>
        <v>3.8664287761035712E-2</v>
      </c>
      <c r="R10">
        <f t="shared" si="6"/>
        <v>692.40689434794137</v>
      </c>
      <c r="S10">
        <f t="shared" si="7"/>
        <v>626.6178769762372</v>
      </c>
      <c r="T10">
        <f t="shared" si="8"/>
        <v>723.64642219851135</v>
      </c>
      <c r="U10">
        <f t="shared" si="20"/>
        <v>680.89039784089664</v>
      </c>
      <c r="V10">
        <f t="shared" si="9"/>
        <v>0.30805714255063543</v>
      </c>
      <c r="W10">
        <f t="shared" si="21"/>
        <v>28.595494492637037</v>
      </c>
      <c r="X10" s="39">
        <f t="shared" si="10"/>
        <v>56.047169205568593</v>
      </c>
      <c r="Y10" s="39">
        <f t="shared" si="11"/>
        <v>6.7526450511304181E-2</v>
      </c>
      <c r="Z10" s="39">
        <f t="shared" si="12"/>
        <v>3.4452270669032739E-2</v>
      </c>
      <c r="AA10" s="39">
        <f t="shared" si="13"/>
        <v>9.1888558586741331E-2</v>
      </c>
      <c r="AB10" s="39">
        <f t="shared" si="14"/>
        <v>4.6881917646296588E-2</v>
      </c>
      <c r="AC10" s="40">
        <f t="shared" si="15"/>
        <v>67.6245390774763</v>
      </c>
      <c r="AD10" s="40">
        <f t="shared" si="16"/>
        <v>34.502315855855258</v>
      </c>
      <c r="AE10" s="40">
        <f>'SDZ L-H'!$G$51*'SDZ DATOS'!AC10</f>
        <v>196.64529137622083</v>
      </c>
      <c r="AF10" s="40">
        <f>'SDZ L-H'!$G$51*'SDZ DATOS'!AD10</f>
        <v>100.32923029399022</v>
      </c>
      <c r="AG10" s="41">
        <f t="shared" si="17"/>
        <v>196.64531284509678</v>
      </c>
      <c r="AH10" s="41">
        <f t="shared" si="17"/>
        <v>100.32924124749836</v>
      </c>
    </row>
    <row r="11" spans="2:34" x14ac:dyDescent="0.2">
      <c r="B11" s="11">
        <v>30</v>
      </c>
      <c r="C11">
        <v>729.05819287701161</v>
      </c>
      <c r="D11">
        <f t="shared" si="3"/>
        <v>0.24118639359447935</v>
      </c>
      <c r="F11">
        <v>675.95570924759056</v>
      </c>
      <c r="G11">
        <f t="shared" si="4"/>
        <v>0.27782857748606848</v>
      </c>
      <c r="I11">
        <v>780.83772678378568</v>
      </c>
      <c r="J11">
        <f t="shared" si="5"/>
        <v>0.2058068200213809</v>
      </c>
      <c r="L11">
        <f t="shared" si="0"/>
        <v>0.24118639359447935</v>
      </c>
      <c r="M11">
        <f t="shared" si="1"/>
        <v>0.27782857748606848</v>
      </c>
      <c r="N11">
        <f t="shared" si="18"/>
        <v>0.2058068200213809</v>
      </c>
      <c r="O11">
        <f t="shared" si="19"/>
        <v>0.24160726370064292</v>
      </c>
      <c r="P11">
        <f t="shared" si="2"/>
        <v>3.6012723249016526E-2</v>
      </c>
      <c r="R11">
        <f t="shared" si="6"/>
        <v>729.05819287701161</v>
      </c>
      <c r="S11">
        <f t="shared" si="7"/>
        <v>675.95570924759056</v>
      </c>
      <c r="T11">
        <f t="shared" si="8"/>
        <v>780.83772678378568</v>
      </c>
      <c r="U11">
        <f t="shared" si="20"/>
        <v>728.61720963612936</v>
      </c>
      <c r="V11">
        <f t="shared" si="9"/>
        <v>0.24030998834410022</v>
      </c>
      <c r="W11">
        <f t="shared" si="21"/>
        <v>30.277633385497289</v>
      </c>
      <c r="X11" s="39">
        <f t="shared" si="10"/>
        <v>59.344161435574684</v>
      </c>
      <c r="Y11" s="39">
        <f t="shared" si="11"/>
        <v>7.1649670637948304E-2</v>
      </c>
      <c r="Z11" s="39">
        <f t="shared" si="12"/>
        <v>3.6555954407116488E-2</v>
      </c>
      <c r="AA11" s="39">
        <f t="shared" si="13"/>
        <v>9.1112822455069825E-2</v>
      </c>
      <c r="AB11" s="39">
        <f t="shared" si="14"/>
        <v>4.6486133905647875E-2</v>
      </c>
      <c r="AC11" s="40">
        <f t="shared" si="15"/>
        <v>70.381266015716363</v>
      </c>
      <c r="AD11" s="40">
        <f t="shared" si="16"/>
        <v>35.908809191692029</v>
      </c>
      <c r="AE11" s="40">
        <f>'SDZ L-H'!$G$51*'SDZ DATOS'!AC11</f>
        <v>204.66157332667999</v>
      </c>
      <c r="AF11" s="40">
        <f>'SDZ L-H'!$G$51*'SDZ DATOS'!AD11</f>
        <v>104.41917006463267</v>
      </c>
      <c r="AG11" s="41">
        <f t="shared" si="17"/>
        <v>204.66159360783456</v>
      </c>
      <c r="AH11" s="41">
        <f t="shared" si="17"/>
        <v>104.4191804121605</v>
      </c>
    </row>
    <row r="12" spans="2:34" x14ac:dyDescent="0.2">
      <c r="B12" s="11">
        <v>15</v>
      </c>
      <c r="C12">
        <v>818.90155652554472</v>
      </c>
      <c r="D12">
        <f t="shared" si="3"/>
        <v>0.12497607101127678</v>
      </c>
      <c r="F12">
        <v>704.70353306016216</v>
      </c>
      <c r="G12">
        <f t="shared" si="4"/>
        <v>0.2361789386313714</v>
      </c>
      <c r="I12">
        <v>897.5501625661376</v>
      </c>
      <c r="J12">
        <f t="shared" si="5"/>
        <v>6.6505161828301726E-2</v>
      </c>
      <c r="L12">
        <f t="shared" si="0"/>
        <v>0.12497607101127678</v>
      </c>
      <c r="M12">
        <f t="shared" si="1"/>
        <v>0.2361789386313714</v>
      </c>
      <c r="N12">
        <f t="shared" si="18"/>
        <v>6.6505161828301726E-2</v>
      </c>
      <c r="O12">
        <f t="shared" si="19"/>
        <v>0.14255339049031665</v>
      </c>
      <c r="P12">
        <f t="shared" si="2"/>
        <v>8.619175861824406E-2</v>
      </c>
      <c r="R12">
        <f t="shared" si="6"/>
        <v>818.90155652554472</v>
      </c>
      <c r="S12" s="55">
        <f t="shared" si="7"/>
        <v>704.70353306016216</v>
      </c>
      <c r="T12">
        <f t="shared" si="8"/>
        <v>897.5501625661376</v>
      </c>
      <c r="U12">
        <f>AVERAGE(R12,T12)</f>
        <v>858.2258595458411</v>
      </c>
      <c r="V12">
        <f t="shared" si="9"/>
        <v>7.6591188372104671E-2</v>
      </c>
      <c r="W12">
        <f>STDEV(R12,T12)/SQRT(3)</f>
        <v>32.108158963437894</v>
      </c>
      <c r="X12" s="39">
        <f t="shared" si="10"/>
        <v>62.931991568338269</v>
      </c>
      <c r="Y12" s="39">
        <f t="shared" si="11"/>
        <v>7.7744899762631201E-2</v>
      </c>
      <c r="Z12" s="39">
        <f t="shared" si="12"/>
        <v>3.9665765185015925E-2</v>
      </c>
      <c r="AA12" s="39">
        <f t="shared" si="13"/>
        <v>8.3933442986378753E-2</v>
      </c>
      <c r="AB12" s="39">
        <f t="shared" si="14"/>
        <v>4.2823185197132019E-2</v>
      </c>
      <c r="AC12" s="40">
        <f t="shared" si="15"/>
        <v>73.431796057572242</v>
      </c>
      <c r="AD12" s="40">
        <f t="shared" si="16"/>
        <v>37.465202070189925</v>
      </c>
      <c r="AE12" s="40">
        <f>'SDZ L-H'!$G$51*'SDZ DATOS'!AC12</f>
        <v>213.53220486245135</v>
      </c>
      <c r="AF12" s="40">
        <f>'SDZ L-H'!$G$51*'SDZ DATOS'!AD12</f>
        <v>108.94500248084255</v>
      </c>
      <c r="AG12" s="41">
        <f t="shared" si="17"/>
        <v>213.5322213583766</v>
      </c>
      <c r="AH12" s="41">
        <f t="shared" si="17"/>
        <v>108.94501089713094</v>
      </c>
    </row>
    <row r="13" spans="2:34" x14ac:dyDescent="0.2">
      <c r="B13" s="11">
        <v>0</v>
      </c>
      <c r="C13">
        <v>927.91482766182753</v>
      </c>
      <c r="D13">
        <f t="shared" si="3"/>
        <v>0</v>
      </c>
      <c r="F13">
        <v>892.43718704681294</v>
      </c>
      <c r="G13">
        <f t="shared" si="4"/>
        <v>0</v>
      </c>
      <c r="I13">
        <v>959.27152863215974</v>
      </c>
      <c r="J13">
        <f t="shared" si="5"/>
        <v>0</v>
      </c>
      <c r="L13">
        <f t="shared" si="0"/>
        <v>0</v>
      </c>
      <c r="M13">
        <f t="shared" si="1"/>
        <v>0</v>
      </c>
      <c r="N13">
        <f t="shared" si="18"/>
        <v>0</v>
      </c>
      <c r="O13">
        <f t="shared" si="19"/>
        <v>0</v>
      </c>
      <c r="P13">
        <f t="shared" si="2"/>
        <v>0</v>
      </c>
      <c r="R13">
        <f t="shared" si="6"/>
        <v>927.91482766182753</v>
      </c>
      <c r="S13">
        <f t="shared" si="7"/>
        <v>892.43718704681294</v>
      </c>
      <c r="T13">
        <f t="shared" si="8"/>
        <v>959.27152863215974</v>
      </c>
      <c r="U13">
        <f t="shared" si="20"/>
        <v>926.54118111360003</v>
      </c>
      <c r="V13">
        <f t="shared" si="9"/>
        <v>0</v>
      </c>
      <c r="W13">
        <f t="shared" si="21"/>
        <v>19.305633740925622</v>
      </c>
      <c r="X13" s="39">
        <f t="shared" si="10"/>
        <v>37.839042132214217</v>
      </c>
      <c r="Y13" s="39">
        <f t="shared" si="11"/>
        <v>5.775510863561209E-2</v>
      </c>
      <c r="Z13" s="39">
        <f t="shared" si="12"/>
        <v>2.9466892161026572E-2</v>
      </c>
      <c r="AA13" s="39">
        <f t="shared" si="13"/>
        <v>5.775510863561209E-2</v>
      </c>
      <c r="AB13" s="39">
        <f>(1/(U13/$U$13))*Z13</f>
        <v>2.9466892161026572E-2</v>
      </c>
      <c r="AC13" s="40">
        <f t="shared" si="15"/>
        <v>53.512486570584301</v>
      </c>
      <c r="AD13" s="40">
        <f t="shared" si="16"/>
        <v>27.302289066624645</v>
      </c>
      <c r="AE13" s="40">
        <f>'SDZ L-H'!$G$51*'SDZ DATOS'!AC13</f>
        <v>155.60887597152646</v>
      </c>
      <c r="AF13" s="40">
        <f>'SDZ L-H'!$G$51*'SDZ DATOS'!AD13</f>
        <v>79.392283658942077</v>
      </c>
      <c r="AG13" s="41">
        <f t="shared" si="17"/>
        <v>155.60888668959262</v>
      </c>
      <c r="AH13" s="41">
        <f t="shared" si="17"/>
        <v>79.392289127343176</v>
      </c>
    </row>
    <row r="14" spans="2:34" x14ac:dyDescent="0.2">
      <c r="AC14" s="42"/>
      <c r="AD14" s="42"/>
      <c r="AE14" s="40"/>
      <c r="AF14" s="40"/>
      <c r="AG14" s="42"/>
      <c r="AH14" s="41"/>
    </row>
    <row r="15" spans="2:34" x14ac:dyDescent="0.2">
      <c r="AC15" s="42"/>
      <c r="AD15" s="42"/>
      <c r="AE15" s="40"/>
      <c r="AF15" s="40"/>
      <c r="AG15" s="42"/>
      <c r="AH15" s="41"/>
    </row>
    <row r="16" spans="2:34" x14ac:dyDescent="0.2">
      <c r="B16" t="s">
        <v>1</v>
      </c>
      <c r="D16" t="s">
        <v>22</v>
      </c>
      <c r="G16" t="s">
        <v>22</v>
      </c>
      <c r="J16" t="s">
        <v>22</v>
      </c>
      <c r="L16" s="37" t="s">
        <v>23</v>
      </c>
      <c r="M16" s="37" t="s">
        <v>24</v>
      </c>
      <c r="N16" s="37" t="s">
        <v>25</v>
      </c>
      <c r="O16" t="s">
        <v>26</v>
      </c>
      <c r="P16" t="s">
        <v>0</v>
      </c>
      <c r="R16" t="s">
        <v>27</v>
      </c>
      <c r="S16" t="s">
        <v>28</v>
      </c>
      <c r="T16" t="s">
        <v>29</v>
      </c>
      <c r="U16" t="s">
        <v>26</v>
      </c>
      <c r="V16" t="s">
        <v>22</v>
      </c>
      <c r="X16" s="54" t="s">
        <v>31</v>
      </c>
      <c r="AC16" s="42"/>
      <c r="AD16" s="42"/>
      <c r="AE16" s="40"/>
      <c r="AF16" s="40"/>
      <c r="AG16" s="42"/>
      <c r="AH16" s="41"/>
    </row>
    <row r="17" spans="2:34" x14ac:dyDescent="0.2">
      <c r="B17" s="11">
        <v>1440</v>
      </c>
      <c r="C17">
        <v>73.649994296889417</v>
      </c>
      <c r="D17">
        <f>LN($C$26/C17)</f>
        <v>1.727803486914735</v>
      </c>
      <c r="F17">
        <v>74.994478864332521</v>
      </c>
      <c r="G17">
        <f>LN($F$26/F17)</f>
        <v>1.8414379251905431</v>
      </c>
      <c r="I17">
        <v>92.795981464360011</v>
      </c>
      <c r="J17">
        <f>LN($I$26/I17)</f>
        <v>1.683202756084164</v>
      </c>
      <c r="L17">
        <f t="shared" ref="L17:L26" si="22">D17</f>
        <v>1.727803486914735</v>
      </c>
      <c r="M17">
        <f t="shared" ref="M17:M26" si="23">G17</f>
        <v>1.8414379251905431</v>
      </c>
      <c r="N17">
        <f>J17</f>
        <v>1.683202756084164</v>
      </c>
      <c r="O17">
        <f>AVERAGE(L17:N17)</f>
        <v>1.7508147227298139</v>
      </c>
      <c r="P17">
        <f t="shared" ref="P17:P26" si="24">STDEV(L17:N17)</f>
        <v>8.1588785478360779E-2</v>
      </c>
      <c r="R17">
        <f>C17</f>
        <v>73.649994296889417</v>
      </c>
      <c r="S17">
        <f>F17</f>
        <v>74.994478864332521</v>
      </c>
      <c r="T17" s="55">
        <f>I17</f>
        <v>92.795981464360011</v>
      </c>
      <c r="U17">
        <f>AVERAGE(R17:S17)</f>
        <v>74.322236580610962</v>
      </c>
      <c r="V17">
        <f>LN(($U$13)/(U17))</f>
        <v>2.5230483048033472</v>
      </c>
      <c r="W17">
        <f>STDEV(R17:S17)/SQRT(3)</f>
        <v>0.54888352621369341</v>
      </c>
      <c r="X17" s="39">
        <f>1.96*W17</f>
        <v>1.075811711378839</v>
      </c>
      <c r="Y17" s="39">
        <f>(U17/$U$13)*SQRT(((X17/U17)^2)+(($X$13/$U$13)^2))</f>
        <v>3.4755758293196094E-3</v>
      </c>
      <c r="Z17" s="39">
        <f>(U17/$U$13)*SQRT(((W17/U17)^2)+(($W$13/$U$13)^2))</f>
        <v>1.7732529741426575E-3</v>
      </c>
      <c r="AA17" s="39">
        <f>(1/(U17/$U$13))*Y17</f>
        <v>4.3328407245319181E-2</v>
      </c>
      <c r="AB17" s="39">
        <f>(1/(U17/$U$13))*Z17</f>
        <v>2.2106330227203663E-2</v>
      </c>
      <c r="AC17" s="40">
        <f>(X17^2+$X$13^2)^0.5</f>
        <v>37.854332385102531</v>
      </c>
      <c r="AD17" s="40">
        <f>(W17^2+$W$13^2)^0.5</f>
        <v>19.313434890358437</v>
      </c>
      <c r="AE17" s="40">
        <f>'SDZ L-H'!$G$51*'SDZ DATOS'!AC17</f>
        <v>110.07655391473315</v>
      </c>
      <c r="AF17" s="40">
        <f>'SDZ L-H'!$G$51*'SDZ DATOS'!AD17</f>
        <v>56.161507099353656</v>
      </c>
      <c r="AG17" s="41">
        <f>(AA17^2+AE17^2)^0.5</f>
        <v>110.07656244221124</v>
      </c>
      <c r="AH17" s="41">
        <f t="shared" si="17"/>
        <v>56.161511450107781</v>
      </c>
    </row>
    <row r="18" spans="2:34" x14ac:dyDescent="0.2">
      <c r="B18" s="11">
        <v>150</v>
      </c>
      <c r="C18">
        <v>77.177067275691712</v>
      </c>
      <c r="D18">
        <f t="shared" ref="D18:D26" si="25">LN($C$26/C18)</f>
        <v>1.681025195501564</v>
      </c>
      <c r="F18">
        <v>92.348041723644329</v>
      </c>
      <c r="G18">
        <f t="shared" ref="G18:G26" si="26">LN($F$26/F18)</f>
        <v>1.6332879193960601</v>
      </c>
      <c r="I18">
        <v>101.29424103270868</v>
      </c>
      <c r="J18">
        <f t="shared" ref="J18:J26" si="27">LN($I$26/I18)</f>
        <v>1.5955765327292721</v>
      </c>
      <c r="L18">
        <f t="shared" si="22"/>
        <v>1.681025195501564</v>
      </c>
      <c r="M18">
        <f t="shared" si="23"/>
        <v>1.6332879193960601</v>
      </c>
      <c r="N18">
        <f>J18</f>
        <v>1.5955765327292721</v>
      </c>
      <c r="O18">
        <f t="shared" ref="O18:O26" si="28">AVERAGE(L18:N18)</f>
        <v>1.6366298825422987</v>
      </c>
      <c r="P18">
        <f t="shared" si="24"/>
        <v>4.2822249247865637E-2</v>
      </c>
      <c r="R18">
        <f t="shared" ref="R18:R26" si="29">C18</f>
        <v>77.177067275691712</v>
      </c>
      <c r="S18">
        <f t="shared" ref="S18:S26" si="30">F18</f>
        <v>92.348041723644329</v>
      </c>
      <c r="T18">
        <f t="shared" ref="T18:T26" si="31">I18</f>
        <v>101.29424103270868</v>
      </c>
      <c r="U18">
        <f t="shared" ref="U18:U25" si="32">AVERAGE(R18:T18)</f>
        <v>90.273116677348241</v>
      </c>
      <c r="V18">
        <f t="shared" ref="V18:V26" si="33">LN(($U$13)/(U18))</f>
        <v>2.3286187878986762</v>
      </c>
      <c r="W18">
        <f t="shared" ref="W18:W26" si="34">STDEV(R18:T18)/SQRT(3)</f>
        <v>7.0389038674911939</v>
      </c>
      <c r="X18" s="39">
        <f t="shared" ref="X18:X52" si="35">1.96*W18</f>
        <v>13.796251580282739</v>
      </c>
      <c r="Y18" s="39">
        <f t="shared" ref="Y18:Y26" si="36">(U18/$U$13)*SQRT(((X18/U18)^2)+(($X$13/$U$13)^2))</f>
        <v>1.5412524308421095E-2</v>
      </c>
      <c r="Z18" s="39">
        <f t="shared" ref="Z18:Z26" si="37">(U18/$U$13)*SQRT(((W18/U18)^2)+(($W$13/$U$13)^2))</f>
        <v>7.8635328104189241E-3</v>
      </c>
      <c r="AA18" s="39">
        <f t="shared" ref="AA18:AA26" si="38">(1/(U18/$U$13))*Y18</f>
        <v>0.15819037829065941</v>
      </c>
      <c r="AB18" s="39">
        <f t="shared" ref="AB18:AB26" si="39">(1/(U18/$U$13))*Z18</f>
        <v>8.0709376678907846E-2</v>
      </c>
      <c r="AC18" s="40">
        <f t="shared" ref="AC18:AC26" si="40">(X18^2+$X$13^2)^0.5</f>
        <v>40.275670908750065</v>
      </c>
      <c r="AD18" s="40">
        <f t="shared" ref="AD18:AD26" si="41">(W18^2+$W$13^2)^0.5</f>
        <v>20.548811688137793</v>
      </c>
      <c r="AE18" s="40">
        <f>'SDZ L-H'!$G$51*'SDZ DATOS'!AC18</f>
        <v>117.11756041915645</v>
      </c>
      <c r="AF18" s="40">
        <f>'SDZ L-H'!$G$51*'SDZ DATOS'!AD18</f>
        <v>59.753857356712487</v>
      </c>
      <c r="AG18" s="41">
        <f t="shared" ref="AG18:AH33" si="42">(AA18^2+AE18^2)^0.5</f>
        <v>117.11766725276996</v>
      </c>
      <c r="AH18" s="41">
        <f t="shared" si="17"/>
        <v>59.753911863658153</v>
      </c>
    </row>
    <row r="19" spans="2:34" x14ac:dyDescent="0.2">
      <c r="B19" s="11">
        <v>120</v>
      </c>
      <c r="C19">
        <v>92.416391804100783</v>
      </c>
      <c r="D19">
        <f t="shared" si="25"/>
        <v>1.5008231889967452</v>
      </c>
      <c r="F19">
        <v>122.67658783707564</v>
      </c>
      <c r="G19">
        <f t="shared" si="26"/>
        <v>1.3493008955380155</v>
      </c>
      <c r="I19">
        <v>118.00986480476394</v>
      </c>
      <c r="J19">
        <f t="shared" si="27"/>
        <v>1.4428378707411846</v>
      </c>
      <c r="L19">
        <f t="shared" si="22"/>
        <v>1.5008231889967452</v>
      </c>
      <c r="M19">
        <f t="shared" si="23"/>
        <v>1.3493008955380155</v>
      </c>
      <c r="N19">
        <f t="shared" ref="N19:N26" si="43">J19</f>
        <v>1.4428378707411846</v>
      </c>
      <c r="O19">
        <f t="shared" si="28"/>
        <v>1.4309873184253152</v>
      </c>
      <c r="P19">
        <f t="shared" si="24"/>
        <v>7.6453110115885542E-2</v>
      </c>
      <c r="R19" s="55">
        <f t="shared" si="29"/>
        <v>92.416391804100783</v>
      </c>
      <c r="S19">
        <f t="shared" si="30"/>
        <v>122.67658783707564</v>
      </c>
      <c r="T19">
        <f t="shared" si="31"/>
        <v>118.00986480476394</v>
      </c>
      <c r="U19">
        <f>AVERAGE(S19:T19)</f>
        <v>120.3432263209198</v>
      </c>
      <c r="V19">
        <f t="shared" si="33"/>
        <v>2.0411106133038386</v>
      </c>
      <c r="W19">
        <f>STDEV(S19:T19)/SQRT(3)</f>
        <v>1.9051817000095899</v>
      </c>
      <c r="X19" s="39">
        <f t="shared" si="35"/>
        <v>3.7341561320187959</v>
      </c>
      <c r="Y19" s="39">
        <f t="shared" si="36"/>
        <v>6.6617375573998381E-3</v>
      </c>
      <c r="Z19" s="39">
        <f t="shared" si="37"/>
        <v>3.3988456925509378E-3</v>
      </c>
      <c r="AA19" s="39">
        <f t="shared" si="38"/>
        <v>5.1289751599663605E-2</v>
      </c>
      <c r="AB19" s="39">
        <f t="shared" si="39"/>
        <v>2.6168240612073269E-2</v>
      </c>
      <c r="AC19" s="40">
        <f t="shared" si="40"/>
        <v>38.022848808338601</v>
      </c>
      <c r="AD19" s="40">
        <f t="shared" si="41"/>
        <v>19.399412657315615</v>
      </c>
      <c r="AE19" s="40">
        <f>'SDZ L-H'!$G$51*'SDZ DATOS'!AC19</f>
        <v>110.566582558196</v>
      </c>
      <c r="AF19" s="40">
        <f>'SDZ L-H'!$G$51*'SDZ DATOS'!AD19</f>
        <v>56.41152171336531</v>
      </c>
      <c r="AG19" s="41">
        <f>(AA19^2+AE19^2)^0.5</f>
        <v>110.56659445436941</v>
      </c>
      <c r="AH19" s="41">
        <f t="shared" si="17"/>
        <v>56.411527782841539</v>
      </c>
    </row>
    <row r="20" spans="2:34" x14ac:dyDescent="0.2">
      <c r="B20" s="11">
        <v>90</v>
      </c>
      <c r="C20">
        <v>107.79568252190467</v>
      </c>
      <c r="D20">
        <f t="shared" si="25"/>
        <v>1.3468899455324306</v>
      </c>
      <c r="F20">
        <v>114.36251114295771</v>
      </c>
      <c r="G20">
        <f t="shared" si="26"/>
        <v>1.4194790954338286</v>
      </c>
      <c r="I20">
        <v>158.13571317104683</v>
      </c>
      <c r="J20">
        <f t="shared" si="27"/>
        <v>1.1501524832868153</v>
      </c>
      <c r="L20">
        <f t="shared" si="22"/>
        <v>1.3468899455324306</v>
      </c>
      <c r="M20">
        <f t="shared" si="23"/>
        <v>1.4194790954338286</v>
      </c>
      <c r="N20">
        <f t="shared" si="43"/>
        <v>1.1501524832868153</v>
      </c>
      <c r="O20">
        <f t="shared" si="28"/>
        <v>1.3055071747510247</v>
      </c>
      <c r="P20">
        <f t="shared" si="24"/>
        <v>0.13935065945594483</v>
      </c>
      <c r="R20">
        <f t="shared" si="29"/>
        <v>107.79568252190467</v>
      </c>
      <c r="S20">
        <f t="shared" si="30"/>
        <v>114.36251114295771</v>
      </c>
      <c r="T20" s="55">
        <f t="shared" si="31"/>
        <v>158.13571317104683</v>
      </c>
      <c r="U20">
        <f>AVERAGE(R20:S20)</f>
        <v>111.07909683243119</v>
      </c>
      <c r="V20">
        <f t="shared" si="33"/>
        <v>2.1212159611617247</v>
      </c>
      <c r="W20">
        <f>STDEV(R20:S20)/SQRT(3)</f>
        <v>2.6808965583140743</v>
      </c>
      <c r="X20" s="39">
        <f t="shared" si="35"/>
        <v>5.2545572542955856</v>
      </c>
      <c r="Y20" s="39">
        <f t="shared" si="36"/>
        <v>7.4921943241764459E-3</v>
      </c>
      <c r="Z20" s="39">
        <f t="shared" si="37"/>
        <v>3.8225481245798189E-3</v>
      </c>
      <c r="AA20" s="39">
        <f>(1/(U20/$U$13))*Y20</f>
        <v>6.2494445635682239E-2</v>
      </c>
      <c r="AB20" s="39">
        <f t="shared" si="39"/>
        <v>3.1884921242695013E-2</v>
      </c>
      <c r="AC20" s="40">
        <f>(X20^2+$X$13^2)^0.5</f>
        <v>38.202139749262123</v>
      </c>
      <c r="AD20" s="40">
        <f t="shared" si="41"/>
        <v>19.490887627174555</v>
      </c>
      <c r="AE20" s="40">
        <f>'SDZ L-H'!$G$51*'SDZ DATOS'!AC20</f>
        <v>111.08794240478409</v>
      </c>
      <c r="AF20" s="40">
        <f>'SDZ L-H'!$G$51*'SDZ DATOS'!AD20</f>
        <v>56.677521635093925</v>
      </c>
      <c r="AG20" s="41">
        <f>(AA20^2+AE20^2)^0.5</f>
        <v>111.08795998344898</v>
      </c>
      <c r="AH20" s="41">
        <f t="shared" si="17"/>
        <v>56.677530603800506</v>
      </c>
    </row>
    <row r="21" spans="2:34" x14ac:dyDescent="0.2">
      <c r="B21" s="11">
        <v>75</v>
      </c>
      <c r="C21">
        <v>139.07197278946896</v>
      </c>
      <c r="D21">
        <f t="shared" si="25"/>
        <v>1.092135963411984</v>
      </c>
      <c r="F21">
        <v>149.50267215525682</v>
      </c>
      <c r="G21">
        <f t="shared" si="26"/>
        <v>1.1515381542556828</v>
      </c>
      <c r="I21">
        <v>179.06930325069754</v>
      </c>
      <c r="J21">
        <f t="shared" si="27"/>
        <v>1.0258331918444448</v>
      </c>
      <c r="L21">
        <f t="shared" si="22"/>
        <v>1.092135963411984</v>
      </c>
      <c r="M21">
        <f t="shared" si="23"/>
        <v>1.1515381542556828</v>
      </c>
      <c r="N21">
        <f t="shared" si="43"/>
        <v>1.0258331918444448</v>
      </c>
      <c r="O21">
        <f t="shared" si="28"/>
        <v>1.0898357698373706</v>
      </c>
      <c r="P21">
        <f t="shared" si="24"/>
        <v>6.2884040595076379E-2</v>
      </c>
      <c r="R21">
        <f t="shared" si="29"/>
        <v>139.07197278946896</v>
      </c>
      <c r="S21">
        <f t="shared" si="30"/>
        <v>149.50267215525682</v>
      </c>
      <c r="T21" s="55">
        <f t="shared" si="31"/>
        <v>179.06930325069754</v>
      </c>
      <c r="U21">
        <f>AVERAGE(R21:S21)</f>
        <v>144.28732247236289</v>
      </c>
      <c r="V21">
        <f t="shared" si="33"/>
        <v>1.8596518862165927</v>
      </c>
      <c r="W21">
        <f>STDEV(R21:S21)/SQRT(3)</f>
        <v>4.2583151844253937</v>
      </c>
      <c r="X21" s="39">
        <f t="shared" si="35"/>
        <v>8.346297761473771</v>
      </c>
      <c r="Y21" s="39">
        <f t="shared" si="36"/>
        <v>1.1026810526123955E-2</v>
      </c>
      <c r="Z21" s="39">
        <f t="shared" si="37"/>
        <v>5.6259237378183443E-3</v>
      </c>
      <c r="AA21" s="39">
        <f t="shared" si="38"/>
        <v>7.0808674481763381E-2</v>
      </c>
      <c r="AB21" s="39">
        <f t="shared" si="39"/>
        <v>3.6126874735593562E-2</v>
      </c>
      <c r="AC21" s="40">
        <f t="shared" si="40"/>
        <v>38.748597339860765</v>
      </c>
      <c r="AD21" s="40">
        <f t="shared" si="41"/>
        <v>19.769692520337127</v>
      </c>
      <c r="AE21" s="40">
        <f>'SDZ L-H'!$G$51*'SDZ DATOS'!AC21</f>
        <v>112.67698557748363</v>
      </c>
      <c r="AF21" s="40">
        <f>'SDZ L-H'!$G$51*'SDZ DATOS'!AD21</f>
        <v>57.488257947695736</v>
      </c>
      <c r="AG21" s="41">
        <f t="shared" si="42"/>
        <v>112.67700782633889</v>
      </c>
      <c r="AH21" s="41">
        <f t="shared" si="42"/>
        <v>57.488269299152499</v>
      </c>
    </row>
    <row r="22" spans="2:34" x14ac:dyDescent="0.2">
      <c r="B22" s="11">
        <v>60</v>
      </c>
      <c r="C22">
        <v>150.07404561486837</v>
      </c>
      <c r="D22">
        <f t="shared" si="25"/>
        <v>1.0159987426582255</v>
      </c>
      <c r="F22">
        <v>192.15726110360478</v>
      </c>
      <c r="G22">
        <f t="shared" si="26"/>
        <v>0.90053831585251609</v>
      </c>
      <c r="I22">
        <v>244.57002106477279</v>
      </c>
      <c r="J22">
        <f t="shared" si="27"/>
        <v>0.71410443911528654</v>
      </c>
      <c r="L22">
        <f t="shared" si="22"/>
        <v>1.0159987426582255</v>
      </c>
      <c r="M22">
        <f t="shared" si="23"/>
        <v>0.90053831585251609</v>
      </c>
      <c r="N22">
        <f t="shared" si="43"/>
        <v>0.71410443911528654</v>
      </c>
      <c r="O22">
        <f t="shared" si="28"/>
        <v>0.87688049920867606</v>
      </c>
      <c r="P22">
        <f t="shared" si="24"/>
        <v>0.15233125695071287</v>
      </c>
      <c r="R22">
        <f t="shared" si="29"/>
        <v>150.07404561486837</v>
      </c>
      <c r="S22">
        <f t="shared" si="30"/>
        <v>192.15726110360478</v>
      </c>
      <c r="T22">
        <f t="shared" si="31"/>
        <v>244.57002106477279</v>
      </c>
      <c r="U22">
        <f t="shared" si="32"/>
        <v>195.60044259441531</v>
      </c>
      <c r="V22">
        <f t="shared" si="33"/>
        <v>1.5553844724317381</v>
      </c>
      <c r="W22">
        <f t="shared" si="34"/>
        <v>27.332910371572417</v>
      </c>
      <c r="X22" s="39">
        <f t="shared" si="35"/>
        <v>53.572504328281937</v>
      </c>
      <c r="Y22" s="39">
        <f t="shared" si="36"/>
        <v>5.8459118565948889E-2</v>
      </c>
      <c r="Z22" s="39">
        <f t="shared" si="37"/>
        <v>2.9826080900994329E-2</v>
      </c>
      <c r="AA22" s="39">
        <f t="shared" si="38"/>
        <v>0.27691543047919848</v>
      </c>
      <c r="AB22" s="39">
        <f t="shared" si="39"/>
        <v>0.14128338289755024</v>
      </c>
      <c r="AC22" s="40">
        <f t="shared" si="40"/>
        <v>65.588156930098819</v>
      </c>
      <c r="AD22" s="40">
        <f t="shared" si="41"/>
        <v>33.463345372499397</v>
      </c>
      <c r="AE22" s="40">
        <f>'SDZ L-H'!$G$51*'SDZ DATOS'!AC22</f>
        <v>190.72369891604012</v>
      </c>
      <c r="AF22" s="40">
        <f>'SDZ L-H'!$G$51*'SDZ DATOS'!AD22</f>
        <v>97.308009651040877</v>
      </c>
      <c r="AG22" s="41">
        <f t="shared" si="42"/>
        <v>190.72389994537119</v>
      </c>
      <c r="AH22" s="41">
        <f t="shared" si="42"/>
        <v>97.308112217026121</v>
      </c>
    </row>
    <row r="23" spans="2:34" x14ac:dyDescent="0.2">
      <c r="B23" s="11">
        <v>45</v>
      </c>
      <c r="C23">
        <v>219.76402368699968</v>
      </c>
      <c r="D23">
        <f t="shared" si="25"/>
        <v>0.63457320130833994</v>
      </c>
      <c r="F23">
        <v>284.55050968655763</v>
      </c>
      <c r="G23">
        <f t="shared" si="26"/>
        <v>0.50794164462526403</v>
      </c>
      <c r="I23">
        <v>236.97006597646512</v>
      </c>
      <c r="J23">
        <f t="shared" si="27"/>
        <v>0.74567226249158258</v>
      </c>
      <c r="L23">
        <f t="shared" si="22"/>
        <v>0.63457320130833994</v>
      </c>
      <c r="M23">
        <f t="shared" si="23"/>
        <v>0.50794164462526403</v>
      </c>
      <c r="N23">
        <f t="shared" si="43"/>
        <v>0.74567226249158258</v>
      </c>
      <c r="O23">
        <f t="shared" si="28"/>
        <v>0.62939570280839552</v>
      </c>
      <c r="P23">
        <f t="shared" si="24"/>
        <v>0.1189498488263569</v>
      </c>
      <c r="R23">
        <f t="shared" si="29"/>
        <v>219.76402368699968</v>
      </c>
      <c r="S23">
        <f t="shared" si="30"/>
        <v>284.55050968655763</v>
      </c>
      <c r="T23">
        <f t="shared" si="31"/>
        <v>236.97006597646512</v>
      </c>
      <c r="U23">
        <f t="shared" si="32"/>
        <v>247.09486645000746</v>
      </c>
      <c r="V23">
        <f t="shared" si="33"/>
        <v>1.3216861551959722</v>
      </c>
      <c r="W23">
        <f t="shared" si="34"/>
        <v>19.375292518346839</v>
      </c>
      <c r="X23" s="39">
        <f t="shared" si="35"/>
        <v>37.975573335959801</v>
      </c>
      <c r="Y23" s="39">
        <f t="shared" si="36"/>
        <v>4.240874020525575E-2</v>
      </c>
      <c r="Z23" s="39">
        <f t="shared" si="37"/>
        <v>2.1637112349620288E-2</v>
      </c>
      <c r="AA23" s="39">
        <f t="shared" si="38"/>
        <v>0.15902169399082752</v>
      </c>
      <c r="AB23" s="39">
        <f t="shared" si="39"/>
        <v>8.113351734225896E-2</v>
      </c>
      <c r="AC23" s="40">
        <f t="shared" si="40"/>
        <v>53.609115639771041</v>
      </c>
      <c r="AD23" s="40">
        <f>(W23^2+$W$13^2)^0.5</f>
        <v>27.351589612128084</v>
      </c>
      <c r="AE23" s="40">
        <f>'SDZ L-H'!$G$51*'SDZ DATOS'!AC23</f>
        <v>155.88986349062614</v>
      </c>
      <c r="AF23" s="40">
        <f>'SDZ L-H'!$G$51*'SDZ DATOS'!AD23</f>
        <v>79.535644638074558</v>
      </c>
      <c r="AG23" s="41">
        <f t="shared" si="42"/>
        <v>155.88994459882656</v>
      </c>
      <c r="AH23" s="41">
        <f t="shared" si="42"/>
        <v>79.535686019809461</v>
      </c>
    </row>
    <row r="24" spans="2:34" x14ac:dyDescent="0.2">
      <c r="B24" s="11">
        <v>30</v>
      </c>
      <c r="C24">
        <v>255.39401127734087</v>
      </c>
      <c r="D24">
        <f t="shared" si="25"/>
        <v>0.48432005746962703</v>
      </c>
      <c r="F24">
        <v>358.17576993717029</v>
      </c>
      <c r="G24">
        <f t="shared" si="26"/>
        <v>0.27782857748606832</v>
      </c>
      <c r="I24">
        <v>424.01335857892923</v>
      </c>
      <c r="J24">
        <f t="shared" si="27"/>
        <v>0.16384113093490135</v>
      </c>
      <c r="L24">
        <f t="shared" si="22"/>
        <v>0.48432005746962703</v>
      </c>
      <c r="M24">
        <f t="shared" si="23"/>
        <v>0.27782857748606832</v>
      </c>
      <c r="N24">
        <f t="shared" si="43"/>
        <v>0.16384113093490135</v>
      </c>
      <c r="O24">
        <f t="shared" si="28"/>
        <v>0.30866325529686561</v>
      </c>
      <c r="P24">
        <f t="shared" si="24"/>
        <v>0.16244928009992615</v>
      </c>
      <c r="R24">
        <f t="shared" si="29"/>
        <v>255.39401127734087</v>
      </c>
      <c r="S24">
        <f t="shared" si="30"/>
        <v>358.17576993717029</v>
      </c>
      <c r="T24">
        <f t="shared" si="31"/>
        <v>424.01335857892923</v>
      </c>
      <c r="U24">
        <f t="shared" si="32"/>
        <v>345.86104659781341</v>
      </c>
      <c r="V24">
        <f t="shared" si="33"/>
        <v>0.98542139781573745</v>
      </c>
      <c r="W24">
        <f t="shared" si="34"/>
        <v>49.064109011568092</v>
      </c>
      <c r="X24" s="39">
        <f t="shared" si="35"/>
        <v>96.165653662673463</v>
      </c>
      <c r="Y24" s="39">
        <f t="shared" si="36"/>
        <v>0.10490350579396579</v>
      </c>
      <c r="Z24" s="39">
        <f t="shared" si="37"/>
        <v>5.3522196833656006E-2</v>
      </c>
      <c r="AA24" s="39">
        <f t="shared" si="38"/>
        <v>0.2810302551195511</v>
      </c>
      <c r="AB24" s="39">
        <f t="shared" si="39"/>
        <v>0.14338278322426073</v>
      </c>
      <c r="AC24" s="40">
        <f t="shared" si="40"/>
        <v>103.34227621768713</v>
      </c>
      <c r="AD24" s="40">
        <f t="shared" si="41"/>
        <v>52.725651131473029</v>
      </c>
      <c r="AE24" s="40">
        <f>'SDZ L-H'!$G$51*'SDZ DATOS'!AC24</f>
        <v>300.50884332130778</v>
      </c>
      <c r="AF24" s="40">
        <f>'SDZ L-H'!$G$51*'SDZ DATOS'!AD24</f>
        <v>153.32083842923868</v>
      </c>
      <c r="AG24" s="41">
        <f t="shared" si="42"/>
        <v>300.50897472840074</v>
      </c>
      <c r="AH24" s="41">
        <f t="shared" si="42"/>
        <v>153.32090547367386</v>
      </c>
    </row>
    <row r="25" spans="2:34" x14ac:dyDescent="0.2">
      <c r="B25" s="11">
        <v>15</v>
      </c>
      <c r="C25">
        <v>365.94864804067316</v>
      </c>
      <c r="D25">
        <f t="shared" si="25"/>
        <v>0.1246345347302885</v>
      </c>
      <c r="F25">
        <v>400.27583925190129</v>
      </c>
      <c r="G25">
        <f t="shared" si="26"/>
        <v>0.16669851330069263</v>
      </c>
      <c r="I25">
        <v>472.18185215944703</v>
      </c>
      <c r="J25">
        <f t="shared" si="27"/>
        <v>5.6241900369829803E-2</v>
      </c>
      <c r="L25">
        <f t="shared" si="22"/>
        <v>0.1246345347302885</v>
      </c>
      <c r="M25">
        <f t="shared" si="23"/>
        <v>0.16669851330069263</v>
      </c>
      <c r="N25">
        <f t="shared" si="43"/>
        <v>5.6241900369829803E-2</v>
      </c>
      <c r="O25">
        <f t="shared" si="28"/>
        <v>0.11585831613360364</v>
      </c>
      <c r="P25">
        <f t="shared" si="24"/>
        <v>5.5748832675511784E-2</v>
      </c>
      <c r="R25">
        <f t="shared" si="29"/>
        <v>365.94864804067316</v>
      </c>
      <c r="S25">
        <f t="shared" si="30"/>
        <v>400.27583925190129</v>
      </c>
      <c r="T25">
        <f t="shared" si="31"/>
        <v>472.18185215944703</v>
      </c>
      <c r="U25">
        <f t="shared" si="32"/>
        <v>412.80211315067385</v>
      </c>
      <c r="V25">
        <f t="shared" si="33"/>
        <v>0.8084901595617241</v>
      </c>
      <c r="W25">
        <f t="shared" si="34"/>
        <v>31.299915163226604</v>
      </c>
      <c r="X25" s="39">
        <f t="shared" si="35"/>
        <v>61.347833719924147</v>
      </c>
      <c r="Y25" s="39">
        <f t="shared" si="36"/>
        <v>6.8666173163002525E-2</v>
      </c>
      <c r="Z25" s="39">
        <f t="shared" si="37"/>
        <v>3.503376181785843E-2</v>
      </c>
      <c r="AA25" s="39">
        <f t="shared" si="38"/>
        <v>0.15412236313280966</v>
      </c>
      <c r="AB25" s="39">
        <f>(1/(U25/$U$13))*Z25</f>
        <v>7.8633858741229426E-2</v>
      </c>
      <c r="AC25" s="40">
        <f t="shared" si="40"/>
        <v>72.078775042386397</v>
      </c>
      <c r="AD25" s="40">
        <f t="shared" si="41"/>
        <v>36.774885225707351</v>
      </c>
      <c r="AE25" s="40">
        <f>'SDZ L-H'!$G$51*'SDZ DATOS'!AC25</f>
        <v>209.59775716936551</v>
      </c>
      <c r="AF25" s="40">
        <f>'SDZ L-H'!$G$51*'SDZ DATOS'!AD25</f>
        <v>106.93763120885997</v>
      </c>
      <c r="AG25" s="41">
        <f t="shared" si="42"/>
        <v>209.59781383433159</v>
      </c>
      <c r="AH25" s="41">
        <f t="shared" si="42"/>
        <v>106.93766011955695</v>
      </c>
    </row>
    <row r="26" spans="2:34" x14ac:dyDescent="0.2">
      <c r="B26" s="11">
        <v>0</v>
      </c>
      <c r="C26">
        <v>414.52262312072349</v>
      </c>
      <c r="D26">
        <f t="shared" si="25"/>
        <v>0</v>
      </c>
      <c r="F26">
        <v>472.88509027737609</v>
      </c>
      <c r="G26">
        <f t="shared" si="26"/>
        <v>0</v>
      </c>
      <c r="I26">
        <v>499.49924758589702</v>
      </c>
      <c r="J26">
        <f t="shared" si="27"/>
        <v>0</v>
      </c>
      <c r="L26">
        <f t="shared" si="22"/>
        <v>0</v>
      </c>
      <c r="M26">
        <f t="shared" si="23"/>
        <v>0</v>
      </c>
      <c r="N26">
        <f t="shared" si="43"/>
        <v>0</v>
      </c>
      <c r="O26">
        <f t="shared" si="28"/>
        <v>0</v>
      </c>
      <c r="P26">
        <f t="shared" si="24"/>
        <v>0</v>
      </c>
      <c r="R26">
        <f t="shared" si="29"/>
        <v>414.52262312072349</v>
      </c>
      <c r="S26">
        <f t="shared" si="30"/>
        <v>472.88509027737609</v>
      </c>
      <c r="T26">
        <f t="shared" si="31"/>
        <v>499.49924758589702</v>
      </c>
      <c r="U26">
        <f>AVERAGE(R26:T26)</f>
        <v>462.30232032799887</v>
      </c>
      <c r="V26">
        <f t="shared" si="33"/>
        <v>0.69523944270512261</v>
      </c>
      <c r="W26">
        <f t="shared" si="34"/>
        <v>25.094839716728373</v>
      </c>
      <c r="X26" s="39">
        <f t="shared" si="35"/>
        <v>49.185885844787613</v>
      </c>
      <c r="Y26" s="39">
        <f t="shared" si="36"/>
        <v>5.6861972584053115E-2</v>
      </c>
      <c r="Z26" s="39">
        <f t="shared" si="37"/>
        <v>2.9011210502067911E-2</v>
      </c>
      <c r="AA26" s="39">
        <f t="shared" si="38"/>
        <v>0.11396213456401921</v>
      </c>
      <c r="AB26" s="39">
        <f t="shared" si="39"/>
        <v>5.8143946206132245E-2</v>
      </c>
      <c r="AC26" s="40">
        <f t="shared" si="40"/>
        <v>62.056784285200926</v>
      </c>
      <c r="AD26" s="40">
        <f t="shared" si="41"/>
        <v>31.661624635306598</v>
      </c>
      <c r="AE26" s="40">
        <f>'SDZ L-H'!$G$51*'SDZ DATOS'!AC26</f>
        <v>180.45482592722215</v>
      </c>
      <c r="AF26" s="40">
        <f>'SDZ L-H'!$G$51*'SDZ DATOS'!AD26</f>
        <v>92.068788738378657</v>
      </c>
      <c r="AG26" s="41">
        <f t="shared" si="42"/>
        <v>180.45486191231356</v>
      </c>
      <c r="AH26" s="41">
        <f t="shared" si="42"/>
        <v>92.06880709811918</v>
      </c>
    </row>
    <row r="27" spans="2:34" x14ac:dyDescent="0.2">
      <c r="AE27" s="40"/>
      <c r="AF27" s="40"/>
      <c r="AH27" s="41"/>
    </row>
    <row r="28" spans="2:34" x14ac:dyDescent="0.2">
      <c r="AE28" s="40"/>
      <c r="AF28" s="40"/>
      <c r="AH28" s="41"/>
    </row>
    <row r="29" spans="2:34" x14ac:dyDescent="0.2">
      <c r="B29" t="s">
        <v>1</v>
      </c>
      <c r="D29" t="s">
        <v>22</v>
      </c>
      <c r="G29" t="s">
        <v>22</v>
      </c>
      <c r="J29" t="s">
        <v>22</v>
      </c>
      <c r="L29" s="37" t="s">
        <v>23</v>
      </c>
      <c r="M29" s="37" t="s">
        <v>24</v>
      </c>
      <c r="N29" s="37" t="s">
        <v>25</v>
      </c>
      <c r="O29" t="s">
        <v>26</v>
      </c>
      <c r="P29" t="s">
        <v>0</v>
      </c>
      <c r="R29" t="s">
        <v>27</v>
      </c>
      <c r="S29" t="s">
        <v>28</v>
      </c>
      <c r="T29" t="s">
        <v>29</v>
      </c>
      <c r="U29" t="s">
        <v>26</v>
      </c>
      <c r="V29" t="s">
        <v>22</v>
      </c>
      <c r="X29" s="54" t="s">
        <v>31</v>
      </c>
      <c r="AE29" s="40"/>
      <c r="AF29" s="40"/>
      <c r="AH29" s="41"/>
    </row>
    <row r="30" spans="2:34" x14ac:dyDescent="0.2">
      <c r="B30" s="11">
        <v>1440</v>
      </c>
      <c r="C30">
        <v>16.052053546110329</v>
      </c>
      <c r="D30">
        <f>LN($C$39/C30)</f>
        <v>1.7624913900167285</v>
      </c>
      <c r="F30">
        <v>13.711264722940342</v>
      </c>
      <c r="G30">
        <f>LN($F$39/F30)</f>
        <v>1.8045499498924216</v>
      </c>
      <c r="I30">
        <v>15.611442857422444</v>
      </c>
      <c r="J30">
        <f>LN($I$39/I30)</f>
        <v>1.6853020847402302</v>
      </c>
      <c r="L30">
        <f t="shared" ref="L30:L39" si="44">D30</f>
        <v>1.7624913900167285</v>
      </c>
      <c r="M30">
        <f t="shared" ref="M30:M39" si="45">G30</f>
        <v>1.8045499498924216</v>
      </c>
      <c r="N30">
        <f>J30</f>
        <v>1.6853020847402302</v>
      </c>
      <c r="O30">
        <f>AVERAGE(L30:N30)</f>
        <v>1.7507811415497934</v>
      </c>
      <c r="P30">
        <f t="shared" ref="P30:P39" si="46">STDEV(L30:N30)</f>
        <v>6.0480251117259902E-2</v>
      </c>
      <c r="R30">
        <f>C30</f>
        <v>16.052053546110329</v>
      </c>
      <c r="S30">
        <f>F30</f>
        <v>13.711264722940342</v>
      </c>
      <c r="T30">
        <f>I30</f>
        <v>15.611442857422444</v>
      </c>
      <c r="U30">
        <f>AVERAGE(R30:T30)</f>
        <v>15.124920375491039</v>
      </c>
      <c r="V30">
        <f>LN(($U$13)/(U30))</f>
        <v>4.1151147533098262</v>
      </c>
      <c r="W30">
        <f>STDEV(R30:T30)/SQRT(3)</f>
        <v>0.71818084369187141</v>
      </c>
      <c r="X30" s="39">
        <f t="shared" si="35"/>
        <v>1.4076344536360679</v>
      </c>
      <c r="Y30" s="39">
        <f>(U30/$U$13)*SQRT(((X30/U30)^2)+(($X$13/$U$13)^2))</f>
        <v>1.6590694509150609E-3</v>
      </c>
      <c r="Z30" s="39">
        <f>(U30/$U$13)*SQRT(((W30/U30)^2)+(($W$13/$U$13)^2))</f>
        <v>8.4646400556890862E-4</v>
      </c>
      <c r="AA30" s="39">
        <f>(1/(U30/$U$13))*Y30</f>
        <v>0.10163333957719606</v>
      </c>
      <c r="AB30" s="39">
        <f>(1/(U30/$U$13))*Z30</f>
        <v>5.1853744682242887E-2</v>
      </c>
      <c r="AC30" s="40">
        <f>(X30^2+$X$13^2)^0.5</f>
        <v>37.865215491774848</v>
      </c>
      <c r="AD30" s="40">
        <f>(W30^2+$W$13^2)^0.5</f>
        <v>19.318987495803494</v>
      </c>
      <c r="AE30" s="40">
        <f>'SDZ L-H'!$G$51*'SDZ DATOS'!AC30</f>
        <v>110.10820088359759</v>
      </c>
      <c r="AF30" s="40">
        <f>'SDZ L-H'!$G$51*'SDZ DATOS'!AD30</f>
        <v>56.177653512039583</v>
      </c>
      <c r="AG30" s="41">
        <f>(AA30^2+AE30^2)^0.5</f>
        <v>110.10824778897535</v>
      </c>
      <c r="AH30" s="41">
        <f t="shared" si="42"/>
        <v>56.177677443354767</v>
      </c>
    </row>
    <row r="31" spans="2:34" x14ac:dyDescent="0.2">
      <c r="B31" s="11">
        <v>150</v>
      </c>
      <c r="C31">
        <v>17.175958667622108</v>
      </c>
      <c r="D31">
        <f t="shared" ref="D31:D39" si="47">LN($C$39/C31)</f>
        <v>1.6948175240358245</v>
      </c>
      <c r="F31">
        <v>16.776791388638305</v>
      </c>
      <c r="G31">
        <f t="shared" ref="G31:G39" si="48">LN($F$39/F31)</f>
        <v>1.6027712210759135</v>
      </c>
      <c r="I31">
        <v>16.069128264529269</v>
      </c>
      <c r="J31">
        <f t="shared" ref="J31:J39" si="49">LN($I$39/I31)</f>
        <v>1.6564063144674261</v>
      </c>
      <c r="L31">
        <f t="shared" si="44"/>
        <v>1.6948175240358245</v>
      </c>
      <c r="M31">
        <f t="shared" si="45"/>
        <v>1.6027712210759135</v>
      </c>
      <c r="N31">
        <f>J31</f>
        <v>1.6564063144674261</v>
      </c>
      <c r="O31">
        <f t="shared" ref="O31:O39" si="50">AVERAGE(L31:N31)</f>
        <v>1.6513316865263878</v>
      </c>
      <c r="P31">
        <f t="shared" si="46"/>
        <v>4.6232503270987865E-2</v>
      </c>
      <c r="R31">
        <f t="shared" ref="R31:R39" si="51">C31</f>
        <v>17.175958667622108</v>
      </c>
      <c r="S31">
        <f t="shared" ref="S31:S39" si="52">F31</f>
        <v>16.776791388638305</v>
      </c>
      <c r="T31">
        <f t="shared" ref="T31:T39" si="53">I31</f>
        <v>16.069128264529269</v>
      </c>
      <c r="U31">
        <f t="shared" ref="U31:U33" si="54">AVERAGE(R31:T31)</f>
        <v>16.673959440263229</v>
      </c>
      <c r="V31">
        <f t="shared" ref="V31:V39" si="55">LN(($U$13)/(U31))</f>
        <v>4.0176103053109671</v>
      </c>
      <c r="W31">
        <f t="shared" ref="W31:W33" si="56">STDEV(R31:T31)/SQRT(3)</f>
        <v>0.32362488187592819</v>
      </c>
      <c r="X31" s="39">
        <f t="shared" si="35"/>
        <v>0.63430476847681927</v>
      </c>
      <c r="Y31" s="39">
        <f t="shared" ref="Y31:Y39" si="57">(U31/$U$13)*SQRT(((X31/U31)^2)+(($X$13/$U$13)^2))</f>
        <v>1.0043903461358452E-3</v>
      </c>
      <c r="Z31" s="39">
        <f t="shared" ref="Z31:Z39" si="58">(U31/$U$13)*SQRT(((W31/U31)^2)+(($W$13/$U$13)^2))</f>
        <v>5.1244405415094136E-4</v>
      </c>
      <c r="AA31" s="39">
        <f t="shared" ref="AA31:AA39" si="59">(1/(U31/$U$13))*Y31</f>
        <v>5.5812119547360026E-2</v>
      </c>
      <c r="AB31" s="39">
        <f t="shared" ref="AB31:AB39" si="60">(1/(U31/$U$13))*Z31</f>
        <v>2.8475571197632658E-2</v>
      </c>
      <c r="AC31" s="40">
        <f t="shared" ref="AC31:AC39" si="61">(X31^2+$X$13^2)^0.5</f>
        <v>37.844358258831591</v>
      </c>
      <c r="AD31" s="40">
        <f t="shared" ref="AD31:AD39" si="62">(W31^2+$W$13^2)^0.5</f>
        <v>19.308346050424284</v>
      </c>
      <c r="AE31" s="40">
        <f>'SDZ L-H'!$G$51*'SDZ DATOS'!AC31</f>
        <v>110.04755016855567</v>
      </c>
      <c r="AF31" s="40">
        <f>'SDZ L-H'!$G$51*'SDZ DATOS'!AD31</f>
        <v>56.14670926967127</v>
      </c>
      <c r="AG31" s="41">
        <f t="shared" ref="AG31:AH46" si="63">(AA31^2+AE31^2)^0.5</f>
        <v>110.04756432149449</v>
      </c>
      <c r="AH31" s="41">
        <f t="shared" si="42"/>
        <v>56.146716490558418</v>
      </c>
    </row>
    <row r="32" spans="2:34" x14ac:dyDescent="0.2">
      <c r="B32" s="11">
        <v>120</v>
      </c>
      <c r="C32">
        <v>21.301922651909603</v>
      </c>
      <c r="D32">
        <f t="shared" si="47"/>
        <v>1.4795308442168345</v>
      </c>
      <c r="F32">
        <v>27.032371506609962</v>
      </c>
      <c r="G32">
        <f t="shared" si="48"/>
        <v>1.1257325948873034</v>
      </c>
      <c r="I32">
        <v>16.341088038837491</v>
      </c>
      <c r="J32">
        <f t="shared" si="49"/>
        <v>1.6396235719462482</v>
      </c>
      <c r="L32">
        <f t="shared" si="44"/>
        <v>1.4795308442168345</v>
      </c>
      <c r="M32">
        <f t="shared" si="45"/>
        <v>1.1257325948873034</v>
      </c>
      <c r="N32">
        <f t="shared" ref="N32:N39" si="64">J32</f>
        <v>1.6396235719462482</v>
      </c>
      <c r="O32">
        <f t="shared" si="50"/>
        <v>1.4149623370167952</v>
      </c>
      <c r="P32">
        <f t="shared" si="46"/>
        <v>0.26295969875093272</v>
      </c>
      <c r="R32">
        <f t="shared" si="51"/>
        <v>21.301922651909603</v>
      </c>
      <c r="S32">
        <f t="shared" si="52"/>
        <v>27.032371506609962</v>
      </c>
      <c r="T32">
        <f t="shared" si="53"/>
        <v>16.341088038837491</v>
      </c>
      <c r="U32">
        <f t="shared" si="54"/>
        <v>21.558460732452357</v>
      </c>
      <c r="V32">
        <f t="shared" si="55"/>
        <v>3.7606901438891338</v>
      </c>
      <c r="W32">
        <f t="shared" si="56"/>
        <v>3.0889720181716491</v>
      </c>
      <c r="X32" s="39">
        <f t="shared" si="35"/>
        <v>6.0543851556164325</v>
      </c>
      <c r="Y32" s="39">
        <f t="shared" si="57"/>
        <v>6.6031235802344679E-3</v>
      </c>
      <c r="Z32" s="39">
        <f t="shared" si="58"/>
        <v>3.3689406021604426E-3</v>
      </c>
      <c r="AA32" s="39">
        <f t="shared" si="59"/>
        <v>0.28378955237095699</v>
      </c>
      <c r="AB32" s="39">
        <f t="shared" si="60"/>
        <v>0.14479058794436578</v>
      </c>
      <c r="AC32" s="40">
        <f t="shared" si="61"/>
        <v>38.320343019028826</v>
      </c>
      <c r="AD32" s="40">
        <f t="shared" si="62"/>
        <v>19.551195417871853</v>
      </c>
      <c r="AE32" s="40">
        <f>'SDZ L-H'!$G$51*'SDZ DATOS'!AC32</f>
        <v>111.43166550799467</v>
      </c>
      <c r="AF32" s="40">
        <f>'SDZ L-H'!$G$51*'SDZ DATOS'!AD32</f>
        <v>56.852890565303404</v>
      </c>
      <c r="AG32" s="41">
        <f t="shared" si="63"/>
        <v>111.43202687915016</v>
      </c>
      <c r="AH32" s="41">
        <f t="shared" si="42"/>
        <v>56.853074938341919</v>
      </c>
    </row>
    <row r="33" spans="2:34" x14ac:dyDescent="0.2">
      <c r="B33" s="11">
        <v>90</v>
      </c>
      <c r="C33">
        <v>27.462864347904503</v>
      </c>
      <c r="D33">
        <f t="shared" si="47"/>
        <v>1.2254934734774723</v>
      </c>
      <c r="F33">
        <v>20.650502357111339</v>
      </c>
      <c r="G33">
        <f t="shared" si="48"/>
        <v>1.3950280410886442</v>
      </c>
      <c r="I33">
        <v>21.794476853044941</v>
      </c>
      <c r="J33">
        <f t="shared" si="49"/>
        <v>1.3516496642751745</v>
      </c>
      <c r="L33">
        <f t="shared" si="44"/>
        <v>1.2254934734774723</v>
      </c>
      <c r="M33">
        <f t="shared" si="45"/>
        <v>1.3950280410886442</v>
      </c>
      <c r="N33">
        <f t="shared" si="64"/>
        <v>1.3516496642751745</v>
      </c>
      <c r="O33">
        <f t="shared" si="50"/>
        <v>1.3240570596137637</v>
      </c>
      <c r="P33">
        <f t="shared" si="46"/>
        <v>8.8071029730425202E-2</v>
      </c>
      <c r="R33">
        <f t="shared" si="51"/>
        <v>27.462864347904503</v>
      </c>
      <c r="S33">
        <f t="shared" si="52"/>
        <v>20.650502357111339</v>
      </c>
      <c r="T33">
        <f t="shared" si="53"/>
        <v>21.794476853044941</v>
      </c>
      <c r="U33">
        <f t="shared" si="54"/>
        <v>23.302614519353597</v>
      </c>
      <c r="V33">
        <f t="shared" si="55"/>
        <v>3.6828929273750171</v>
      </c>
      <c r="W33">
        <f t="shared" si="56"/>
        <v>2.1061757119484628</v>
      </c>
      <c r="X33" s="39">
        <f t="shared" si="35"/>
        <v>4.1281043954189869</v>
      </c>
      <c r="Y33" s="39">
        <f t="shared" si="57"/>
        <v>4.5722496795490329E-3</v>
      </c>
      <c r="Z33" s="39">
        <f t="shared" si="58"/>
        <v>2.3327804487495067E-3</v>
      </c>
      <c r="AA33" s="39">
        <f t="shared" si="59"/>
        <v>0.18179838210502894</v>
      </c>
      <c r="AB33" s="39">
        <f t="shared" si="60"/>
        <v>9.275427658419845E-2</v>
      </c>
      <c r="AC33" s="40">
        <f t="shared" si="61"/>
        <v>38.063556788389604</v>
      </c>
      <c r="AD33" s="40">
        <f t="shared" si="62"/>
        <v>19.420182034892655</v>
      </c>
      <c r="AE33" s="40">
        <f>'SDZ L-H'!$G$51*'SDZ DATOS'!AC33</f>
        <v>110.68495722969351</v>
      </c>
      <c r="AF33" s="40">
        <f>'SDZ L-H'!$G$51*'SDZ DATOS'!AD33</f>
        <v>56.471916953925259</v>
      </c>
      <c r="AG33" s="41">
        <f t="shared" si="63"/>
        <v>110.68510653015075</v>
      </c>
      <c r="AH33" s="41">
        <f t="shared" si="42"/>
        <v>56.471993127627925</v>
      </c>
    </row>
    <row r="34" spans="2:34" x14ac:dyDescent="0.2">
      <c r="B34" s="11">
        <v>75</v>
      </c>
      <c r="C34">
        <v>23.915655492634698</v>
      </c>
      <c r="D34">
        <f t="shared" si="47"/>
        <v>1.3637948921821763</v>
      </c>
      <c r="F34">
        <v>33.442109080342213</v>
      </c>
      <c r="G34">
        <f t="shared" si="48"/>
        <v>0.91295183060864049</v>
      </c>
      <c r="I34">
        <v>21.88114384936717</v>
      </c>
      <c r="J34">
        <f>LN($I$39/I34)</f>
        <v>1.3476809921106396</v>
      </c>
      <c r="L34">
        <f t="shared" si="44"/>
        <v>1.3637948921821763</v>
      </c>
      <c r="M34">
        <f t="shared" si="45"/>
        <v>0.91295183060864049</v>
      </c>
      <c r="N34">
        <f t="shared" si="64"/>
        <v>1.3476809921106396</v>
      </c>
      <c r="O34">
        <f t="shared" si="50"/>
        <v>1.2081425716338188</v>
      </c>
      <c r="P34">
        <f t="shared" si="46"/>
        <v>0.2557696124134467</v>
      </c>
      <c r="R34">
        <f t="shared" si="51"/>
        <v>23.915655492634698</v>
      </c>
      <c r="S34" s="55">
        <f t="shared" si="52"/>
        <v>33.442109080342213</v>
      </c>
      <c r="T34">
        <f t="shared" si="53"/>
        <v>21.88114384936717</v>
      </c>
      <c r="U34">
        <f>AVERAGE(R34,T34)</f>
        <v>22.898399671000934</v>
      </c>
      <c r="V34">
        <f t="shared" si="55"/>
        <v>3.7003914680266963</v>
      </c>
      <c r="W34">
        <f>STDEV(R34,T34)/SQRT(3)</f>
        <v>0.83058590029279322</v>
      </c>
      <c r="X34" s="39">
        <f t="shared" si="35"/>
        <v>1.6279483645738746</v>
      </c>
      <c r="Y34" s="39">
        <f t="shared" si="57"/>
        <v>2.0262708065904131E-3</v>
      </c>
      <c r="Z34" s="39">
        <f t="shared" si="58"/>
        <v>1.0338116360155167E-3</v>
      </c>
      <c r="AA34" s="39">
        <f t="shared" si="59"/>
        <v>8.1989281930994556E-2</v>
      </c>
      <c r="AB34" s="39">
        <f t="shared" si="60"/>
        <v>4.1831266291323742E-2</v>
      </c>
      <c r="AC34" s="40">
        <f t="shared" si="61"/>
        <v>37.874045537296396</v>
      </c>
      <c r="AD34" s="40">
        <f>(W34^2+$W$13^2)^0.5</f>
        <v>19.323492621069594</v>
      </c>
      <c r="AE34" s="40">
        <f>'SDZ L-H'!$G$51*'SDZ DATOS'!AC34</f>
        <v>110.13387775915398</v>
      </c>
      <c r="AF34" s="40">
        <f>'SDZ L-H'!$G$51*'SDZ DATOS'!AD34</f>
        <v>56.19075395875204</v>
      </c>
      <c r="AG34" s="41">
        <f t="shared" si="63"/>
        <v>110.13390827765363</v>
      </c>
      <c r="AH34" s="41">
        <f t="shared" si="63"/>
        <v>56.190769529415128</v>
      </c>
    </row>
    <row r="35" spans="2:34" x14ac:dyDescent="0.2">
      <c r="B35" s="11">
        <v>60</v>
      </c>
      <c r="C35">
        <v>32.858355711972727</v>
      </c>
      <c r="D35">
        <f t="shared" si="47"/>
        <v>1.0461221060467132</v>
      </c>
      <c r="F35">
        <v>32.578187929100054</v>
      </c>
      <c r="G35">
        <f t="shared" si="48"/>
        <v>0.93912470491266342</v>
      </c>
      <c r="I35">
        <v>22.519475872088567</v>
      </c>
      <c r="J35">
        <f t="shared" si="49"/>
        <v>1.3189257174907087</v>
      </c>
      <c r="L35">
        <f t="shared" si="44"/>
        <v>1.0461221060467132</v>
      </c>
      <c r="M35">
        <f t="shared" si="45"/>
        <v>0.93912470491266342</v>
      </c>
      <c r="N35">
        <f t="shared" si="64"/>
        <v>1.3189257174907087</v>
      </c>
      <c r="O35">
        <f t="shared" si="50"/>
        <v>1.1013908428166952</v>
      </c>
      <c r="P35">
        <f t="shared" si="46"/>
        <v>0.19583967227540799</v>
      </c>
      <c r="R35">
        <f t="shared" si="51"/>
        <v>32.858355711972727</v>
      </c>
      <c r="S35">
        <f t="shared" si="52"/>
        <v>32.578187929100054</v>
      </c>
      <c r="T35" s="55">
        <f t="shared" si="53"/>
        <v>22.519475872088567</v>
      </c>
      <c r="U35">
        <f>AVERAGE(R35:S35)</f>
        <v>32.718271820536387</v>
      </c>
      <c r="V35">
        <f t="shared" si="55"/>
        <v>3.3435247996636326</v>
      </c>
      <c r="W35">
        <f>STDEV(R35:S35)/SQRT(3)</f>
        <v>0.11437801840081986</v>
      </c>
      <c r="X35" s="39">
        <f>1.96*W35</f>
        <v>0.22418091606560692</v>
      </c>
      <c r="Y35" s="39">
        <f t="shared" si="57"/>
        <v>1.4622751628641348E-3</v>
      </c>
      <c r="Z35" s="39">
        <f t="shared" si="58"/>
        <v>7.4605875656333386E-4</v>
      </c>
      <c r="AA35" s="39">
        <f t="shared" si="59"/>
        <v>4.1409832522474765E-2</v>
      </c>
      <c r="AB35" s="39">
        <f t="shared" si="60"/>
        <v>2.1127465572691202E-2</v>
      </c>
      <c r="AC35" s="40">
        <f t="shared" si="61"/>
        <v>37.839706216705892</v>
      </c>
      <c r="AD35" s="40">
        <f t="shared" si="62"/>
        <v>19.305972559543825</v>
      </c>
      <c r="AE35" s="40">
        <f>'SDZ L-H'!$G$51*'SDZ DATOS'!AC35</f>
        <v>110.03402250253707</v>
      </c>
      <c r="AF35" s="40">
        <f>'SDZ L-H'!$G$51*'SDZ DATOS'!AD35</f>
        <v>56.139807399253613</v>
      </c>
      <c r="AG35" s="41">
        <f t="shared" si="63"/>
        <v>110.03403029455508</v>
      </c>
      <c r="AH35" s="41">
        <f t="shared" si="63"/>
        <v>56.139811374773004</v>
      </c>
    </row>
    <row r="36" spans="2:34" x14ac:dyDescent="0.2">
      <c r="B36" s="11">
        <v>45</v>
      </c>
      <c r="C36">
        <v>49.579383016694401</v>
      </c>
      <c r="D36">
        <f t="shared" si="47"/>
        <v>0.63475309587416628</v>
      </c>
      <c r="F36">
        <v>37.84532010925394</v>
      </c>
      <c r="G36">
        <f t="shared" si="48"/>
        <v>0.78926035826609076</v>
      </c>
      <c r="I36">
        <v>35.889731225526297</v>
      </c>
      <c r="J36">
        <f t="shared" si="49"/>
        <v>0.85285503031411003</v>
      </c>
      <c r="L36">
        <f t="shared" si="44"/>
        <v>0.63475309587416628</v>
      </c>
      <c r="M36">
        <f t="shared" si="45"/>
        <v>0.78926035826609076</v>
      </c>
      <c r="N36">
        <f t="shared" si="64"/>
        <v>0.85285503031411003</v>
      </c>
      <c r="O36">
        <f t="shared" si="50"/>
        <v>0.75895616148478895</v>
      </c>
      <c r="P36">
        <f t="shared" si="46"/>
        <v>0.11216448505891473</v>
      </c>
      <c r="R36" s="55">
        <f t="shared" si="51"/>
        <v>49.579383016694401</v>
      </c>
      <c r="S36">
        <f t="shared" si="52"/>
        <v>37.84532010925394</v>
      </c>
      <c r="T36">
        <f t="shared" si="53"/>
        <v>35.889731225526297</v>
      </c>
      <c r="U36">
        <f>AVERAGE(S36:T36)</f>
        <v>36.867525667390119</v>
      </c>
      <c r="V36">
        <f t="shared" si="55"/>
        <v>3.2241273924333949</v>
      </c>
      <c r="W36">
        <f>STDEV(S36:T36)/SQRT(3)</f>
        <v>0.79836581863194445</v>
      </c>
      <c r="X36" s="39">
        <f t="shared" si="35"/>
        <v>1.564797004518611</v>
      </c>
      <c r="Y36" s="39">
        <f t="shared" si="57"/>
        <v>2.3436902784775369E-3</v>
      </c>
      <c r="Z36" s="39">
        <f t="shared" si="58"/>
        <v>1.1957603461620087E-3</v>
      </c>
      <c r="AA36" s="39">
        <f t="shared" si="59"/>
        <v>5.8900767531187642E-2</v>
      </c>
      <c r="AB36" s="39">
        <f t="shared" si="60"/>
        <v>3.0051412005707982E-2</v>
      </c>
      <c r="AC36" s="40">
        <f t="shared" si="61"/>
        <v>37.87138364449909</v>
      </c>
      <c r="AD36" s="40">
        <f t="shared" si="62"/>
        <v>19.322134512499535</v>
      </c>
      <c r="AE36" s="40">
        <f>'SDZ L-H'!$G$51*'SDZ DATOS'!AC36</f>
        <v>110.12613724525356</v>
      </c>
      <c r="AF36" s="40">
        <f>'SDZ L-H'!$G$51*'SDZ DATOS'!AD36</f>
        <v>56.186804716966094</v>
      </c>
      <c r="AG36" s="41">
        <f t="shared" si="63"/>
        <v>110.12615299673752</v>
      </c>
      <c r="AH36" s="41">
        <f t="shared" si="63"/>
        <v>56.186812753437501</v>
      </c>
    </row>
    <row r="37" spans="2:34" x14ac:dyDescent="0.2">
      <c r="B37" s="11">
        <v>30</v>
      </c>
      <c r="C37">
        <v>78.785375627570986</v>
      </c>
      <c r="D37">
        <f t="shared" si="47"/>
        <v>0.1716007870488529</v>
      </c>
      <c r="F37">
        <v>48.964821378467754</v>
      </c>
      <c r="G37">
        <f t="shared" si="48"/>
        <v>0.53166557819763438</v>
      </c>
      <c r="I37">
        <v>42.243373927759016</v>
      </c>
      <c r="J37">
        <f t="shared" si="49"/>
        <v>0.68985873521357222</v>
      </c>
      <c r="L37">
        <f t="shared" si="44"/>
        <v>0.1716007870488529</v>
      </c>
      <c r="M37">
        <f t="shared" si="45"/>
        <v>0.53166557819763438</v>
      </c>
      <c r="N37">
        <f t="shared" si="64"/>
        <v>0.68985873521357222</v>
      </c>
      <c r="O37">
        <f t="shared" si="50"/>
        <v>0.46437503348668646</v>
      </c>
      <c r="P37">
        <f t="shared" si="46"/>
        <v>0.26560090034598599</v>
      </c>
      <c r="R37" s="55">
        <f t="shared" si="51"/>
        <v>78.785375627570986</v>
      </c>
      <c r="S37">
        <f t="shared" si="52"/>
        <v>48.964821378467754</v>
      </c>
      <c r="T37">
        <f t="shared" si="53"/>
        <v>42.243373927759016</v>
      </c>
      <c r="U37">
        <f t="shared" ref="U37:U39" si="65">AVERAGE(S37:T37)</f>
        <v>45.604097653113385</v>
      </c>
      <c r="V37">
        <f t="shared" si="55"/>
        <v>3.0114609194855402</v>
      </c>
      <c r="W37">
        <f t="shared" ref="W37:W39" si="66">STDEV(S37:T37)/SQRT(3)</f>
        <v>2.7440194311945323</v>
      </c>
      <c r="X37" s="39">
        <f t="shared" si="35"/>
        <v>5.3782780851412832</v>
      </c>
      <c r="Y37" s="39">
        <f t="shared" si="57"/>
        <v>6.1428651128773524E-3</v>
      </c>
      <c r="Z37" s="39">
        <f t="shared" si="58"/>
        <v>3.1341148535088533E-3</v>
      </c>
      <c r="AA37" s="39">
        <f t="shared" si="59"/>
        <v>0.12480495810705608</v>
      </c>
      <c r="AB37" s="39">
        <f>(1/(U37/$U$13))*Z37</f>
        <v>6.3675999034212283E-2</v>
      </c>
      <c r="AC37" s="40">
        <f t="shared" si="61"/>
        <v>38.219353535147526</v>
      </c>
      <c r="AD37" s="40">
        <f t="shared" si="62"/>
        <v>19.499670170993635</v>
      </c>
      <c r="AE37" s="40">
        <f>'SDZ L-H'!$G$51*'SDZ DATOS'!AC37</f>
        <v>111.13799834582709</v>
      </c>
      <c r="AF37" s="40">
        <f>'SDZ L-H'!$G$51*'SDZ DATOS'!AD37</f>
        <v>56.703060380524022</v>
      </c>
      <c r="AG37" s="41">
        <f t="shared" si="63"/>
        <v>111.13806842209664</v>
      </c>
      <c r="AH37" s="41">
        <f t="shared" si="63"/>
        <v>56.703096133722767</v>
      </c>
    </row>
    <row r="38" spans="2:34" x14ac:dyDescent="0.2">
      <c r="B38" s="11">
        <v>15</v>
      </c>
      <c r="C38">
        <v>88.680221381744602</v>
      </c>
      <c r="D38">
        <f t="shared" si="47"/>
        <v>5.3291297050223417E-2</v>
      </c>
      <c r="F38">
        <v>55.374558952200026</v>
      </c>
      <c r="G38">
        <f t="shared" si="48"/>
        <v>0.40864742383291452</v>
      </c>
      <c r="I38">
        <v>60.845547474926732</v>
      </c>
      <c r="J38">
        <f t="shared" si="49"/>
        <v>0.3249676019949122</v>
      </c>
      <c r="L38">
        <f t="shared" si="44"/>
        <v>5.3291297050223417E-2</v>
      </c>
      <c r="M38">
        <f t="shared" si="45"/>
        <v>0.40864742383291452</v>
      </c>
      <c r="N38">
        <f t="shared" si="64"/>
        <v>0.3249676019949122</v>
      </c>
      <c r="O38">
        <f t="shared" si="50"/>
        <v>0.26230210762601675</v>
      </c>
      <c r="P38">
        <f t="shared" si="46"/>
        <v>0.18578136975722989</v>
      </c>
      <c r="R38" s="55">
        <f t="shared" si="51"/>
        <v>88.680221381744602</v>
      </c>
      <c r="S38">
        <f t="shared" si="52"/>
        <v>55.374558952200026</v>
      </c>
      <c r="T38">
        <f t="shared" si="53"/>
        <v>60.845547474926732</v>
      </c>
      <c r="U38">
        <f t="shared" si="65"/>
        <v>58.110053213563376</v>
      </c>
      <c r="V38">
        <f t="shared" si="55"/>
        <v>2.7691198109574495</v>
      </c>
      <c r="W38">
        <f t="shared" si="66"/>
        <v>2.2335217115505936</v>
      </c>
      <c r="X38" s="39">
        <f t="shared" si="35"/>
        <v>4.3777025546391632</v>
      </c>
      <c r="Y38" s="39">
        <f t="shared" si="57"/>
        <v>5.3743690022793758E-3</v>
      </c>
      <c r="Z38" s="39">
        <f t="shared" si="58"/>
        <v>2.7420250011629464E-3</v>
      </c>
      <c r="AA38" s="39">
        <f t="shared" si="59"/>
        <v>8.5692129463580985E-2</v>
      </c>
      <c r="AB38" s="39">
        <f t="shared" si="60"/>
        <v>4.3720474216112741E-2</v>
      </c>
      <c r="AC38" s="40">
        <f t="shared" si="61"/>
        <v>38.091434590211705</v>
      </c>
      <c r="AD38" s="40">
        <f t="shared" si="62"/>
        <v>19.43440540316924</v>
      </c>
      <c r="AE38" s="40">
        <f>'SDZ L-H'!$G$51*'SDZ DATOS'!AC38</f>
        <v>110.76602304599363</v>
      </c>
      <c r="AF38" s="40">
        <f>'SDZ L-H'!$G$51*'SDZ DATOS'!AD38</f>
        <v>56.513277064282477</v>
      </c>
      <c r="AG38" s="41">
        <f t="shared" si="63"/>
        <v>110.76605619307138</v>
      </c>
      <c r="AH38" s="41">
        <f t="shared" si="63"/>
        <v>56.513293976056836</v>
      </c>
    </row>
    <row r="39" spans="2:34" x14ac:dyDescent="0.2">
      <c r="B39" s="11">
        <v>0</v>
      </c>
      <c r="C39">
        <v>93.534296657376927</v>
      </c>
      <c r="D39">
        <f t="shared" si="47"/>
        <v>0</v>
      </c>
      <c r="F39">
        <v>83.326588458519353</v>
      </c>
      <c r="G39">
        <f t="shared" si="48"/>
        <v>0</v>
      </c>
      <c r="I39">
        <v>84.209374116849403</v>
      </c>
      <c r="J39">
        <f t="shared" si="49"/>
        <v>0</v>
      </c>
      <c r="L39">
        <f t="shared" si="44"/>
        <v>0</v>
      </c>
      <c r="M39">
        <f t="shared" si="45"/>
        <v>0</v>
      </c>
      <c r="N39">
        <f t="shared" si="64"/>
        <v>0</v>
      </c>
      <c r="O39">
        <f t="shared" si="50"/>
        <v>0</v>
      </c>
      <c r="P39">
        <f t="shared" si="46"/>
        <v>0</v>
      </c>
      <c r="R39" s="55">
        <f t="shared" si="51"/>
        <v>93.534296657376927</v>
      </c>
      <c r="S39">
        <f t="shared" si="52"/>
        <v>83.326588458519353</v>
      </c>
      <c r="T39">
        <f t="shared" si="53"/>
        <v>84.209374116849403</v>
      </c>
      <c r="U39">
        <f t="shared" si="65"/>
        <v>83.767981287684378</v>
      </c>
      <c r="V39">
        <f t="shared" si="55"/>
        <v>2.4034076431800173</v>
      </c>
      <c r="W39">
        <f t="shared" si="66"/>
        <v>0.36039573585925888</v>
      </c>
      <c r="X39" s="39">
        <f t="shared" si="35"/>
        <v>0.7063756422841474</v>
      </c>
      <c r="Y39" s="39">
        <f t="shared" si="57"/>
        <v>3.7701171384848546E-3</v>
      </c>
      <c r="Z39" s="39">
        <f t="shared" si="58"/>
        <v>1.9235291522881909E-3</v>
      </c>
      <c r="AA39" s="39">
        <f t="shared" si="59"/>
        <v>4.1700524863214662E-2</v>
      </c>
      <c r="AB39" s="39">
        <f t="shared" si="60"/>
        <v>2.1275777991436051E-2</v>
      </c>
      <c r="AC39" s="40">
        <f t="shared" si="61"/>
        <v>37.845634834568372</v>
      </c>
      <c r="AD39" s="40">
        <f t="shared" si="62"/>
        <v>19.308997364575699</v>
      </c>
      <c r="AE39" s="40">
        <f>'SDZ L-H'!$G$51*'SDZ DATOS'!AC39</f>
        <v>110.0512623211433</v>
      </c>
      <c r="AF39" s="40">
        <f>'SDZ L-H'!$G$51*'SDZ DATOS'!AD39</f>
        <v>56.14860322507311</v>
      </c>
      <c r="AG39" s="41">
        <f t="shared" si="63"/>
        <v>110.05127022170561</v>
      </c>
      <c r="AH39" s="41">
        <f t="shared" si="63"/>
        <v>56.148607255972252</v>
      </c>
    </row>
    <row r="40" spans="2:34" x14ac:dyDescent="0.2">
      <c r="AE40" s="40"/>
      <c r="AF40" s="40"/>
      <c r="AH40" s="41"/>
    </row>
    <row r="41" spans="2:34" x14ac:dyDescent="0.2">
      <c r="AE41" s="40"/>
      <c r="AF41" s="40"/>
      <c r="AH41" s="41"/>
    </row>
    <row r="42" spans="2:34" x14ac:dyDescent="0.2">
      <c r="B42" t="s">
        <v>1</v>
      </c>
      <c r="D42" t="s">
        <v>22</v>
      </c>
      <c r="G42" t="s">
        <v>22</v>
      </c>
      <c r="J42" t="s">
        <v>22</v>
      </c>
      <c r="L42" s="37" t="s">
        <v>23</v>
      </c>
      <c r="M42" s="37" t="s">
        <v>24</v>
      </c>
      <c r="N42" s="37" t="s">
        <v>25</v>
      </c>
      <c r="O42" t="s">
        <v>26</v>
      </c>
      <c r="P42" t="s">
        <v>0</v>
      </c>
      <c r="R42" t="s">
        <v>27</v>
      </c>
      <c r="S42" t="s">
        <v>28</v>
      </c>
      <c r="T42" t="s">
        <v>29</v>
      </c>
      <c r="U42" t="s">
        <v>26</v>
      </c>
      <c r="V42" t="s">
        <v>22</v>
      </c>
      <c r="X42" s="54" t="s">
        <v>31</v>
      </c>
      <c r="AE42" s="40"/>
      <c r="AF42" s="40"/>
      <c r="AH42" s="41"/>
    </row>
    <row r="43" spans="2:34" x14ac:dyDescent="0.2">
      <c r="B43" s="11">
        <v>1440</v>
      </c>
      <c r="C43">
        <v>0.40217985310154547</v>
      </c>
      <c r="D43">
        <f>LN($C$52/C43)</f>
        <v>3.7555272356833749</v>
      </c>
      <c r="F43">
        <v>0.32730849232914866</v>
      </c>
      <c r="G43">
        <f>LN($F$52/F43)</f>
        <v>4.0690438761985108</v>
      </c>
      <c r="I43">
        <v>0.13004854157580931</v>
      </c>
      <c r="J43">
        <f>LN($I$52/I43)</f>
        <v>4.9563422117296021</v>
      </c>
      <c r="L43">
        <f t="shared" ref="L43:L52" si="67">D43</f>
        <v>3.7555272356833749</v>
      </c>
      <c r="M43">
        <f t="shared" ref="M43:M52" si="68">G43</f>
        <v>4.0690438761985108</v>
      </c>
      <c r="N43">
        <f>J43</f>
        <v>4.9563422117296021</v>
      </c>
      <c r="O43">
        <f>AVERAGE(L43:N43)</f>
        <v>4.2603044412038296</v>
      </c>
      <c r="P43">
        <f t="shared" ref="P43:P52" si="69">STDEV(L43:N43)</f>
        <v>0.62283593704027662</v>
      </c>
      <c r="R43">
        <f>C43</f>
        <v>0.40217985310154547</v>
      </c>
      <c r="S43">
        <f>F43</f>
        <v>0.32730849232914866</v>
      </c>
      <c r="T43" s="55">
        <f>I43</f>
        <v>0.13004854157580931</v>
      </c>
      <c r="U43">
        <f>AVERAGE(R43:S43)</f>
        <v>0.36474417271534709</v>
      </c>
      <c r="V43">
        <f t="shared" ref="V43:V46" si="70">LN(($U$13)/(U43))</f>
        <v>7.8400175605953617</v>
      </c>
      <c r="W43">
        <f>STDEV(R43:S43)/SQRT(3)</f>
        <v>3.0566105040034156E-2</v>
      </c>
      <c r="X43" s="39">
        <f t="shared" si="35"/>
        <v>5.9909565878466943E-2</v>
      </c>
      <c r="Y43" s="39">
        <f>(U43/$U$13)*SQRT(((X43/U43)^2)+(($X$13/$U$13)^2))</f>
        <v>6.6628045973522582E-5</v>
      </c>
      <c r="Z43" s="39">
        <f>(U43/$U$13)*SQRT(((W43/U43)^2)+(($W$13/$U$13)^2))</f>
        <v>3.3993901006899283E-5</v>
      </c>
      <c r="AA43" s="39">
        <f>(1/(U43/$U$13))*Y43</f>
        <v>0.16925185658764971</v>
      </c>
      <c r="AB43" s="39">
        <f>(1/(U43/$U$13))*Z43</f>
        <v>8.6352988054923335E-2</v>
      </c>
      <c r="AC43" s="40">
        <f>(X43^2+$X$13^2)^0.5</f>
        <v>37.839089558808972</v>
      </c>
      <c r="AD43" s="40">
        <f>(W43^2+$W$13^2)^0.5</f>
        <v>19.305657938167844</v>
      </c>
      <c r="AE43" s="40">
        <f>'SDZ L-H'!$G$51*'SDZ DATOS'!AC43</f>
        <v>110.03222932400345</v>
      </c>
      <c r="AF43" s="40">
        <f>'SDZ L-H'!$G$51*'SDZ DATOS'!AD43</f>
        <v>56.138892512246663</v>
      </c>
      <c r="AG43" s="41">
        <f>(AA43^2+AE43^2)^0.5</f>
        <v>110.03235949574581</v>
      </c>
      <c r="AH43" s="41">
        <f t="shared" si="63"/>
        <v>56.138958926400932</v>
      </c>
    </row>
    <row r="44" spans="2:34" x14ac:dyDescent="0.2">
      <c r="B44" s="11">
        <v>150</v>
      </c>
      <c r="C44">
        <v>0.59457399904471364</v>
      </c>
      <c r="D44">
        <f t="shared" ref="D44:D52" si="71">LN($C$52/C44)</f>
        <v>3.3645814388996698</v>
      </c>
      <c r="F44">
        <v>0.96828762314039785</v>
      </c>
      <c r="G44">
        <f t="shared" ref="G44:G52" si="72">LN($F$52/F44)</f>
        <v>2.9844178295051411</v>
      </c>
      <c r="I44">
        <v>0.92183798525536342</v>
      </c>
      <c r="J44">
        <f t="shared" ref="J44:J52" si="73">LN($I$52/I44)</f>
        <v>2.9978805020922805</v>
      </c>
      <c r="L44">
        <f t="shared" si="67"/>
        <v>3.3645814388996698</v>
      </c>
      <c r="M44">
        <f t="shared" si="68"/>
        <v>2.9844178295051411</v>
      </c>
      <c r="N44">
        <f>J44</f>
        <v>2.9978805020922805</v>
      </c>
      <c r="O44">
        <f t="shared" ref="O44:O52" si="74">AVERAGE(L44:N44)</f>
        <v>3.115626590165697</v>
      </c>
      <c r="P44">
        <f t="shared" si="69"/>
        <v>0.21570627811775328</v>
      </c>
      <c r="R44" s="55">
        <f t="shared" ref="R44:R52" si="75">C44</f>
        <v>0.59457399904471364</v>
      </c>
      <c r="S44">
        <f t="shared" ref="S44:S52" si="76">F44</f>
        <v>0.96828762314039785</v>
      </c>
      <c r="T44">
        <f t="shared" ref="T44:T52" si="77">I44</f>
        <v>0.92183798525536342</v>
      </c>
      <c r="U44">
        <f t="shared" ref="U44" si="78">AVERAGE(S44:T44)</f>
        <v>0.94506280419788058</v>
      </c>
      <c r="V44">
        <f t="shared" si="70"/>
        <v>6.8879623870105995</v>
      </c>
      <c r="W44">
        <f t="shared" ref="W44" si="79">STDEV(S44:T44)/SQRT(3)</f>
        <v>1.8962985259230788E-2</v>
      </c>
      <c r="X44" s="39">
        <f t="shared" si="35"/>
        <v>3.7167451108092345E-2</v>
      </c>
      <c r="Y44" s="39">
        <f t="shared" ref="Y44:Y52" si="80">(U44/$U$13)*SQRT(((X44/U44)^2)+(($X$13/$U$13)^2))</f>
        <v>5.7830105541354112E-5</v>
      </c>
      <c r="Z44" s="39">
        <f t="shared" ref="Z44:Z52" si="81">(U44/$U$13)*SQRT(((W44/U44)^2)+(($W$13/$U$13)^2))</f>
        <v>2.9505155888445971E-5</v>
      </c>
      <c r="AA44" s="39">
        <f t="shared" ref="AA44:AA52" si="82">(1/(U44/$U$13))*Y44</f>
        <v>5.6696733861711909E-2</v>
      </c>
      <c r="AB44" s="39">
        <f t="shared" ref="AB44:AB52" si="83">(1/(U44/$U$13))*Z44</f>
        <v>2.8926905031485661E-2</v>
      </c>
      <c r="AC44" s="40">
        <f t="shared" ref="AC44:AC52" si="84">(X44^2+$X$13^2)^0.5</f>
        <v>37.839060386099767</v>
      </c>
      <c r="AD44" s="40">
        <f t="shared" ref="AD44:AD52" si="85">(W44^2+$W$13^2)^0.5</f>
        <v>19.305643054132535</v>
      </c>
      <c r="AE44" s="40">
        <f>'SDZ L-H'!$G$51*'SDZ DATOS'!AC44</f>
        <v>110.03214449272801</v>
      </c>
      <c r="AF44" s="40">
        <f>'SDZ L-H'!$G$51*'SDZ DATOS'!AD44</f>
        <v>56.138849230983674</v>
      </c>
      <c r="AG44" s="41">
        <f t="shared" ref="AG44:AH52" si="86">(AA44^2+AE44^2)^0.5</f>
        <v>110.03215909991135</v>
      </c>
      <c r="AH44" s="41">
        <f t="shared" si="63"/>
        <v>56.138856683628241</v>
      </c>
    </row>
    <row r="45" spans="2:34" x14ac:dyDescent="0.2">
      <c r="B45" s="11">
        <v>120</v>
      </c>
      <c r="C45">
        <v>0.99023201669055649</v>
      </c>
      <c r="D45">
        <f t="shared" si="71"/>
        <v>2.8544873440616922</v>
      </c>
      <c r="F45">
        <v>6.0756638888598209</v>
      </c>
      <c r="G45">
        <f t="shared" si="72"/>
        <v>1.1479004596355922</v>
      </c>
      <c r="I45">
        <v>1.2786784956767945</v>
      </c>
      <c r="J45">
        <f t="shared" si="73"/>
        <v>2.6706675908838644</v>
      </c>
      <c r="L45">
        <f t="shared" si="67"/>
        <v>2.8544873440616922</v>
      </c>
      <c r="M45">
        <f t="shared" si="68"/>
        <v>1.1479004596355922</v>
      </c>
      <c r="N45">
        <f t="shared" ref="N45:N52" si="87">J45</f>
        <v>2.6706675908838644</v>
      </c>
      <c r="O45">
        <f t="shared" si="74"/>
        <v>2.2243517981937164</v>
      </c>
      <c r="P45">
        <f t="shared" si="69"/>
        <v>0.93675399045174756</v>
      </c>
      <c r="R45" s="68">
        <f t="shared" si="75"/>
        <v>0.99023201669055649</v>
      </c>
      <c r="S45" s="68">
        <f t="shared" si="76"/>
        <v>6.0756638888598209</v>
      </c>
      <c r="T45" s="68">
        <f t="shared" si="77"/>
        <v>1.2786784956767945</v>
      </c>
      <c r="U45">
        <f t="shared" ref="U45:U52" si="88">AVERAGE(R45:T45)</f>
        <v>2.7815248004090574</v>
      </c>
      <c r="V45">
        <f t="shared" ref="V45:V52" si="89">LN(($U$13)/(U45))</f>
        <v>5.8084592260895143</v>
      </c>
      <c r="W45">
        <f t="shared" ref="W45:W52" si="90">STDEV(R45:T45)/SQRT(3)</f>
        <v>1.6491729839886733</v>
      </c>
      <c r="X45" s="39">
        <f t="shared" si="35"/>
        <v>3.2323790486177995</v>
      </c>
      <c r="Y45" s="39">
        <f t="shared" si="80"/>
        <v>3.4908048518983094E-3</v>
      </c>
      <c r="Z45" s="39">
        <f t="shared" si="81"/>
        <v>1.7810228836215862E-3</v>
      </c>
      <c r="AA45" s="39">
        <f t="shared" si="82"/>
        <v>1.1628062600913323</v>
      </c>
      <c r="AB45" s="39">
        <f t="shared" si="83"/>
        <v>0.59326850004659804</v>
      </c>
      <c r="AC45" s="40">
        <f t="shared" si="84"/>
        <v>37.976853263500203</v>
      </c>
      <c r="AD45" s="40">
        <f t="shared" si="85"/>
        <v>19.375945542602146</v>
      </c>
      <c r="AE45" s="40">
        <f>'SDZ L-H'!$G$51*'SDZ DATOS'!AC45</f>
        <v>110.43283218532629</v>
      </c>
      <c r="AF45" s="40">
        <f>'SDZ L-H'!$G$51*'SDZ DATOS'!AD45</f>
        <v>56.343281727207291</v>
      </c>
      <c r="AG45" s="41">
        <f t="shared" si="86"/>
        <v>110.43895391966979</v>
      </c>
      <c r="AH45" s="41">
        <f t="shared" si="63"/>
        <v>56.346405061056011</v>
      </c>
    </row>
    <row r="46" spans="2:34" x14ac:dyDescent="0.2">
      <c r="B46" s="11">
        <v>90</v>
      </c>
      <c r="C46">
        <v>3.0489580755400953</v>
      </c>
      <c r="D46">
        <f t="shared" si="71"/>
        <v>1.7298714233648482</v>
      </c>
      <c r="F46">
        <v>4.2618293272024559</v>
      </c>
      <c r="G46">
        <f t="shared" si="72"/>
        <v>1.50249323737</v>
      </c>
      <c r="I46">
        <v>1.2985029684779852</v>
      </c>
      <c r="J46">
        <f t="shared" si="73"/>
        <v>2.6552826720443847</v>
      </c>
      <c r="L46">
        <f t="shared" si="67"/>
        <v>1.7298714233648482</v>
      </c>
      <c r="M46">
        <f t="shared" si="68"/>
        <v>1.50249323737</v>
      </c>
      <c r="N46">
        <f t="shared" si="87"/>
        <v>2.6552826720443847</v>
      </c>
      <c r="O46">
        <f t="shared" si="74"/>
        <v>1.962549110926411</v>
      </c>
      <c r="P46">
        <f t="shared" si="69"/>
        <v>0.61060220265813725</v>
      </c>
      <c r="R46">
        <f t="shared" si="75"/>
        <v>3.0489580755400953</v>
      </c>
      <c r="S46">
        <f t="shared" si="76"/>
        <v>4.2618293272024559</v>
      </c>
      <c r="T46" s="55">
        <f t="shared" si="77"/>
        <v>1.2985029684779852</v>
      </c>
      <c r="U46">
        <f>AVERAGE(R46:S46)</f>
        <v>3.6553937013712758</v>
      </c>
      <c r="V46">
        <f t="shared" si="70"/>
        <v>5.5352546895482675</v>
      </c>
      <c r="W46">
        <f>STDEV(R46:S46)/SQRT(3)</f>
        <v>0.49515261504392277</v>
      </c>
      <c r="X46" s="39">
        <f t="shared" si="35"/>
        <v>0.97049912548608863</v>
      </c>
      <c r="Y46" s="39">
        <f t="shared" si="80"/>
        <v>1.0597622642294258E-3</v>
      </c>
      <c r="Z46" s="39">
        <f t="shared" si="81"/>
        <v>5.4069503277011518E-4</v>
      </c>
      <c r="AA46" s="39">
        <f t="shared" si="82"/>
        <v>0.26862041690075755</v>
      </c>
      <c r="AB46" s="39">
        <f t="shared" si="83"/>
        <v>0.1370512331126314</v>
      </c>
      <c r="AC46" s="40">
        <f t="shared" si="84"/>
        <v>37.851485810150862</v>
      </c>
      <c r="AD46" s="40">
        <f t="shared" si="85"/>
        <v>19.311982556199418</v>
      </c>
      <c r="AE46" s="40">
        <f>'SDZ L-H'!$G$51*'SDZ DATOS'!AC46</f>
        <v>110.06827636388503</v>
      </c>
      <c r="AF46" s="40">
        <f>'SDZ L-H'!$G$51*'SDZ DATOS'!AD46</f>
        <v>56.157283859125009</v>
      </c>
      <c r="AG46" s="41">
        <f t="shared" si="86"/>
        <v>110.06860414598228</v>
      </c>
      <c r="AH46" s="41">
        <f t="shared" si="63"/>
        <v>56.157451094888913</v>
      </c>
    </row>
    <row r="47" spans="2:34" x14ac:dyDescent="0.2">
      <c r="B47" s="11">
        <v>75</v>
      </c>
      <c r="C47">
        <v>5.4239931539911144</v>
      </c>
      <c r="D47">
        <f t="shared" si="71"/>
        <v>1.1538390525760807</v>
      </c>
      <c r="F47">
        <v>4.4268473587517265</v>
      </c>
      <c r="G47">
        <f t="shared" si="72"/>
        <v>1.4645040514659673</v>
      </c>
      <c r="I47">
        <v>5.1305735609481324</v>
      </c>
      <c r="J47">
        <f t="shared" si="73"/>
        <v>1.2812772520588454</v>
      </c>
      <c r="L47">
        <f t="shared" si="67"/>
        <v>1.1538390525760807</v>
      </c>
      <c r="M47">
        <f t="shared" si="68"/>
        <v>1.4645040514659673</v>
      </c>
      <c r="N47">
        <f t="shared" si="87"/>
        <v>1.2812772520588454</v>
      </c>
      <c r="O47">
        <f t="shared" si="74"/>
        <v>1.299873452033631</v>
      </c>
      <c r="P47">
        <f t="shared" si="69"/>
        <v>0.15616513494996245</v>
      </c>
      <c r="R47">
        <f t="shared" si="75"/>
        <v>5.4239931539911144</v>
      </c>
      <c r="S47">
        <f t="shared" si="76"/>
        <v>4.4268473587517265</v>
      </c>
      <c r="T47">
        <f t="shared" si="77"/>
        <v>5.1305735609481324</v>
      </c>
      <c r="U47">
        <f t="shared" si="88"/>
        <v>4.9938046912303244</v>
      </c>
      <c r="V47">
        <f t="shared" si="89"/>
        <v>5.2232604103740687</v>
      </c>
      <c r="W47">
        <f t="shared" si="90"/>
        <v>0.29586270860756392</v>
      </c>
      <c r="X47" s="39">
        <f t="shared" si="35"/>
        <v>0.57989090887082528</v>
      </c>
      <c r="Y47" s="39">
        <f t="shared" si="80"/>
        <v>6.6344374082733264E-4</v>
      </c>
      <c r="Z47" s="39">
        <f t="shared" si="81"/>
        <v>3.3849170450374116E-4</v>
      </c>
      <c r="AA47" s="39">
        <f t="shared" si="82"/>
        <v>0.1230941106503579</v>
      </c>
      <c r="AB47" s="39">
        <f t="shared" si="83"/>
        <v>6.2803117678754031E-2</v>
      </c>
      <c r="AC47" s="40">
        <f t="shared" si="84"/>
        <v>37.843485343578934</v>
      </c>
      <c r="AD47" s="40">
        <f>(W47^2+$W$13^2)^0.5</f>
        <v>19.307900685499458</v>
      </c>
      <c r="AE47" s="40">
        <f>'SDZ L-H'!$G$51*'SDZ DATOS'!AC47</f>
        <v>110.04501181965826</v>
      </c>
      <c r="AF47" s="40">
        <f>'SDZ L-H'!$G$51*'SDZ DATOS'!AD47</f>
        <v>56.145414193703203</v>
      </c>
      <c r="AG47" s="41">
        <f t="shared" si="86"/>
        <v>110.04508066492023</v>
      </c>
      <c r="AH47" s="41">
        <f t="shared" si="86"/>
        <v>56.145449318836867</v>
      </c>
    </row>
    <row r="48" spans="2:34" x14ac:dyDescent="0.2">
      <c r="B48" s="11">
        <v>60</v>
      </c>
      <c r="C48">
        <v>7.4457621452583442</v>
      </c>
      <c r="D48">
        <f t="shared" si="71"/>
        <v>0.83702631006537376</v>
      </c>
      <c r="F48">
        <v>5.1414709003370431</v>
      </c>
      <c r="G48">
        <f t="shared" si="72"/>
        <v>1.3148525190984455</v>
      </c>
      <c r="I48">
        <v>5.669799221140515</v>
      </c>
      <c r="J48">
        <f t="shared" si="73"/>
        <v>1.1813410038657386</v>
      </c>
      <c r="L48">
        <f t="shared" si="67"/>
        <v>0.83702631006537376</v>
      </c>
      <c r="M48">
        <f t="shared" si="68"/>
        <v>1.3148525190984455</v>
      </c>
      <c r="N48">
        <f t="shared" si="87"/>
        <v>1.1813410038657386</v>
      </c>
      <c r="O48">
        <f t="shared" si="74"/>
        <v>1.1110732776765193</v>
      </c>
      <c r="P48">
        <f t="shared" si="69"/>
        <v>0.24654134849469206</v>
      </c>
      <c r="R48">
        <f t="shared" si="75"/>
        <v>7.4457621452583442</v>
      </c>
      <c r="S48">
        <f t="shared" si="76"/>
        <v>5.1414709003370431</v>
      </c>
      <c r="T48">
        <f t="shared" si="77"/>
        <v>5.669799221140515</v>
      </c>
      <c r="U48">
        <f t="shared" si="88"/>
        <v>6.0856774222453005</v>
      </c>
      <c r="V48">
        <f t="shared" si="89"/>
        <v>5.0255204459583966</v>
      </c>
      <c r="W48">
        <f t="shared" si="90"/>
        <v>0.69693508640112944</v>
      </c>
      <c r="X48" s="39">
        <f t="shared" si="35"/>
        <v>1.3659927693462137</v>
      </c>
      <c r="Y48" s="39">
        <f t="shared" si="80"/>
        <v>1.4984958944719148E-3</v>
      </c>
      <c r="Z48" s="39">
        <f t="shared" si="81"/>
        <v>7.6453872166934445E-4</v>
      </c>
      <c r="AA48" s="39">
        <f t="shared" si="82"/>
        <v>0.22814521040545621</v>
      </c>
      <c r="AB48" s="39">
        <f t="shared" si="83"/>
        <v>0.11640061755380422</v>
      </c>
      <c r="AC48" s="40">
        <f t="shared" si="84"/>
        <v>37.863690334268647</v>
      </c>
      <c r="AD48" s="40">
        <f t="shared" si="85"/>
        <v>19.318209354218695</v>
      </c>
      <c r="AE48" s="40">
        <f>'SDZ L-H'!$G$51*'SDZ DATOS'!AC48</f>
        <v>110.10376588047161</v>
      </c>
      <c r="AF48" s="40">
        <f>'SDZ L-H'!$G$51*'SDZ DATOS'!AD48</f>
        <v>56.175390755342647</v>
      </c>
      <c r="AG48" s="41">
        <f t="shared" si="86"/>
        <v>110.10400224923131</v>
      </c>
      <c r="AH48" s="41">
        <f t="shared" si="86"/>
        <v>56.175511351648623</v>
      </c>
    </row>
    <row r="49" spans="2:34" x14ac:dyDescent="0.2">
      <c r="B49" s="11">
        <v>45</v>
      </c>
      <c r="C49">
        <v>10.755608408900599</v>
      </c>
      <c r="D49">
        <f t="shared" si="71"/>
        <v>0.46924401005868516</v>
      </c>
      <c r="F49">
        <v>10.362023886326099</v>
      </c>
      <c r="G49">
        <f t="shared" si="72"/>
        <v>0.61404415143333624</v>
      </c>
      <c r="I49">
        <v>10.083718090325606</v>
      </c>
      <c r="J49">
        <f t="shared" si="73"/>
        <v>0.60557265744583377</v>
      </c>
      <c r="L49">
        <f t="shared" si="67"/>
        <v>0.46924401005868516</v>
      </c>
      <c r="M49">
        <f t="shared" si="68"/>
        <v>0.61404415143333624</v>
      </c>
      <c r="N49">
        <f t="shared" si="87"/>
        <v>0.60557265744583377</v>
      </c>
      <c r="O49">
        <f t="shared" si="74"/>
        <v>0.56295360631261837</v>
      </c>
      <c r="P49">
        <f t="shared" si="69"/>
        <v>8.1265354703905057E-2</v>
      </c>
      <c r="R49">
        <f>C49</f>
        <v>10.755608408900599</v>
      </c>
      <c r="S49">
        <f>F49</f>
        <v>10.362023886326099</v>
      </c>
      <c r="T49">
        <f>I49</f>
        <v>10.083718090325606</v>
      </c>
      <c r="U49">
        <f>AVERAGE(R49:T49)</f>
        <v>10.400450128517434</v>
      </c>
      <c r="V49">
        <f t="shared" si="89"/>
        <v>4.4896094059836082</v>
      </c>
      <c r="W49">
        <f t="shared" si="90"/>
        <v>0.19490731311353432</v>
      </c>
      <c r="X49" s="39">
        <f t="shared" si="35"/>
        <v>0.38201833370252725</v>
      </c>
      <c r="Y49" s="39">
        <f t="shared" si="80"/>
        <v>6.1655841563914269E-4</v>
      </c>
      <c r="Z49" s="39">
        <f t="shared" si="81"/>
        <v>3.1457062022405237E-4</v>
      </c>
      <c r="AA49" s="39">
        <f t="shared" si="82"/>
        <v>5.4927119075879292E-2</v>
      </c>
      <c r="AB49" s="39">
        <f>(1/(U49/$U$13))*Z49</f>
        <v>2.8024040344836368E-2</v>
      </c>
      <c r="AC49" s="40">
        <f t="shared" si="84"/>
        <v>37.840970488225686</v>
      </c>
      <c r="AD49" s="40">
        <f t="shared" si="85"/>
        <v>19.306617596033515</v>
      </c>
      <c r="AE49" s="40">
        <f>'SDZ L-H'!$G$51*'SDZ DATOS'!AC49</f>
        <v>110.03769887571137</v>
      </c>
      <c r="AF49" s="40">
        <f>'SDZ L-H'!$G$51*'SDZ DATOS'!AD49</f>
        <v>56.141683099852742</v>
      </c>
      <c r="AG49" s="41">
        <f t="shared" si="86"/>
        <v>110.03771258459594</v>
      </c>
      <c r="AH49" s="41">
        <f t="shared" si="86"/>
        <v>56.141690094181598</v>
      </c>
    </row>
    <row r="50" spans="2:34" x14ac:dyDescent="0.2">
      <c r="B50" s="11">
        <v>30</v>
      </c>
      <c r="C50">
        <v>11.858915113238201</v>
      </c>
      <c r="D50">
        <f t="shared" si="71"/>
        <v>0.37159142608991519</v>
      </c>
      <c r="F50">
        <v>11.524314347105999</v>
      </c>
      <c r="G50">
        <f t="shared" si="72"/>
        <v>0.50773263055415341</v>
      </c>
      <c r="I50">
        <v>14.610636454477483</v>
      </c>
      <c r="J50">
        <f t="shared" si="73"/>
        <v>0.23474492249625442</v>
      </c>
      <c r="L50">
        <f t="shared" si="67"/>
        <v>0.37159142608991519</v>
      </c>
      <c r="M50">
        <f t="shared" si="68"/>
        <v>0.50773263055415341</v>
      </c>
      <c r="N50">
        <f t="shared" si="87"/>
        <v>0.23474492249625442</v>
      </c>
      <c r="O50">
        <f t="shared" si="74"/>
        <v>0.37135632638010763</v>
      </c>
      <c r="P50">
        <f t="shared" si="69"/>
        <v>0.13649400588150881</v>
      </c>
      <c r="R50">
        <f>C50</f>
        <v>11.858915113238201</v>
      </c>
      <c r="S50">
        <f>F50</f>
        <v>11.524314347105999</v>
      </c>
      <c r="T50">
        <f>I50</f>
        <v>14.610636454477483</v>
      </c>
      <c r="U50">
        <f>AVERAGE(R50:T50)</f>
        <v>12.664621971607227</v>
      </c>
      <c r="V50">
        <f t="shared" si="89"/>
        <v>4.2926460580485619</v>
      </c>
      <c r="W50">
        <f t="shared" si="90"/>
        <v>0.97778980253591097</v>
      </c>
      <c r="X50" s="39">
        <f t="shared" si="35"/>
        <v>1.9164680129703855</v>
      </c>
      <c r="Y50" s="39">
        <f t="shared" si="80"/>
        <v>2.1424122527431014E-3</v>
      </c>
      <c r="Z50" s="39">
        <f t="shared" si="81"/>
        <v>1.0930674758893376E-3</v>
      </c>
      <c r="AA50" s="39">
        <f t="shared" si="82"/>
        <v>0.15673844695396996</v>
      </c>
      <c r="AB50" s="39">
        <f t="shared" si="83"/>
        <v>7.996859538467857E-2</v>
      </c>
      <c r="AC50" s="40">
        <f t="shared" si="84"/>
        <v>37.887543587942211</v>
      </c>
      <c r="AD50" s="40">
        <f t="shared" si="85"/>
        <v>19.330379381603173</v>
      </c>
      <c r="AE50" s="40">
        <f>'SDZ L-H'!$G$51*'SDZ DATOS'!AC50</f>
        <v>110.17312871950752</v>
      </c>
      <c r="AF50" s="40">
        <f>'SDZ L-H'!$G$51*'SDZ DATOS'!AD50</f>
        <v>56.21077995893242</v>
      </c>
      <c r="AG50" s="41">
        <f t="shared" si="86"/>
        <v>110.17324021188597</v>
      </c>
      <c r="AH50" s="41">
        <f t="shared" si="86"/>
        <v>56.210836842798976</v>
      </c>
    </row>
    <row r="51" spans="2:34" x14ac:dyDescent="0.2">
      <c r="B51" s="11">
        <v>15</v>
      </c>
      <c r="C51">
        <v>12.924103928046964</v>
      </c>
      <c r="D51">
        <f t="shared" si="71"/>
        <v>0.28557725163681741</v>
      </c>
      <c r="F51">
        <v>12.152967009472301</v>
      </c>
      <c r="G51">
        <f t="shared" si="72"/>
        <v>0.45461838672271115</v>
      </c>
      <c r="I51">
        <v>15.760455876946537</v>
      </c>
      <c r="J51">
        <f t="shared" si="73"/>
        <v>0.15899070003125926</v>
      </c>
      <c r="L51">
        <f t="shared" si="67"/>
        <v>0.28557725163681741</v>
      </c>
      <c r="M51">
        <f t="shared" si="68"/>
        <v>0.45461838672271115</v>
      </c>
      <c r="N51">
        <f t="shared" si="87"/>
        <v>0.15899070003125926</v>
      </c>
      <c r="O51">
        <f t="shared" si="74"/>
        <v>0.29972877946359594</v>
      </c>
      <c r="P51">
        <f t="shared" si="69"/>
        <v>0.14832104230185578</v>
      </c>
      <c r="R51">
        <f>C51</f>
        <v>12.924103928046964</v>
      </c>
      <c r="S51">
        <f>F51</f>
        <v>12.152967009472301</v>
      </c>
      <c r="T51">
        <f>I51</f>
        <v>15.760455876946537</v>
      </c>
      <c r="U51">
        <f>AVERAGE(R51:T51)</f>
        <v>13.612508938155267</v>
      </c>
      <c r="V51">
        <f t="shared" si="89"/>
        <v>4.2204693479098729</v>
      </c>
      <c r="W51">
        <f t="shared" si="90"/>
        <v>1.0968014216642714</v>
      </c>
      <c r="X51" s="39">
        <f t="shared" si="35"/>
        <v>2.1497307864619719</v>
      </c>
      <c r="Y51" s="39">
        <f t="shared" si="80"/>
        <v>2.3964919186376323E-3</v>
      </c>
      <c r="Z51" s="39">
        <f t="shared" si="81"/>
        <v>1.2226999584885878E-3</v>
      </c>
      <c r="AA51" s="39">
        <f t="shared" si="82"/>
        <v>0.16311823653609436</v>
      </c>
      <c r="AB51" s="39">
        <f t="shared" si="83"/>
        <v>8.3223590069435888E-2</v>
      </c>
      <c r="AC51" s="40">
        <f t="shared" si="84"/>
        <v>37.900058732642421</v>
      </c>
      <c r="AD51" s="40">
        <f t="shared" si="85"/>
        <v>19.336764659511438</v>
      </c>
      <c r="AE51" s="40">
        <f>'SDZ L-H'!$G$51*'SDZ DATOS'!AC51</f>
        <v>110.20952148919973</v>
      </c>
      <c r="AF51" s="40">
        <f>'SDZ L-H'!$G$51*'SDZ DATOS'!AD51</f>
        <v>56.229347698571289</v>
      </c>
      <c r="AG51" s="41">
        <f t="shared" si="86"/>
        <v>110.20964220265606</v>
      </c>
      <c r="AH51" s="41">
        <f t="shared" si="86"/>
        <v>56.229409287069416</v>
      </c>
    </row>
    <row r="52" spans="2:34" x14ac:dyDescent="0.2">
      <c r="B52" s="11">
        <v>0</v>
      </c>
      <c r="C52">
        <v>17.195906151530949</v>
      </c>
      <c r="D52">
        <f t="shared" si="71"/>
        <v>0</v>
      </c>
      <c r="F52">
        <v>19.1478746476057</v>
      </c>
      <c r="G52">
        <f t="shared" si="72"/>
        <v>0</v>
      </c>
      <c r="I52">
        <v>18.476408650709651</v>
      </c>
      <c r="J52">
        <f t="shared" si="73"/>
        <v>0</v>
      </c>
      <c r="L52">
        <f t="shared" si="67"/>
        <v>0</v>
      </c>
      <c r="M52">
        <f t="shared" si="68"/>
        <v>0</v>
      </c>
      <c r="N52">
        <f t="shared" si="87"/>
        <v>0</v>
      </c>
      <c r="O52">
        <f t="shared" si="74"/>
        <v>0</v>
      </c>
      <c r="P52">
        <f t="shared" si="69"/>
        <v>0</v>
      </c>
      <c r="R52">
        <f t="shared" si="75"/>
        <v>17.195906151530949</v>
      </c>
      <c r="S52">
        <f t="shared" si="76"/>
        <v>19.1478746476057</v>
      </c>
      <c r="T52">
        <f t="shared" si="77"/>
        <v>18.476408650709651</v>
      </c>
      <c r="U52">
        <f t="shared" si="88"/>
        <v>18.273396483282102</v>
      </c>
      <c r="V52">
        <f t="shared" si="89"/>
        <v>3.9260122347292472</v>
      </c>
      <c r="W52">
        <f t="shared" si="90"/>
        <v>0.57255442463571571</v>
      </c>
      <c r="X52" s="39">
        <f t="shared" si="35"/>
        <v>1.1222066722860027</v>
      </c>
      <c r="Y52" s="39">
        <f t="shared" si="80"/>
        <v>1.4545367169170053E-3</v>
      </c>
      <c r="Z52" s="39">
        <f t="shared" si="81"/>
        <v>7.421105698556151E-4</v>
      </c>
      <c r="AA52" s="39">
        <f t="shared" si="82"/>
        <v>7.3751377796587955E-2</v>
      </c>
      <c r="AB52" s="39">
        <f t="shared" si="83"/>
        <v>3.7628253977851009E-2</v>
      </c>
      <c r="AC52" s="40">
        <f t="shared" si="84"/>
        <v>37.855679326869911</v>
      </c>
      <c r="AD52" s="40">
        <f t="shared" si="85"/>
        <v>19.314122105545874</v>
      </c>
      <c r="AE52" s="40">
        <f>'SDZ L-H'!$G$51*'SDZ DATOS'!AC52</f>
        <v>110.08047068459106</v>
      </c>
      <c r="AF52" s="40">
        <f>'SDZ L-H'!$G$51*'SDZ DATOS'!AD52</f>
        <v>56.163505451321974</v>
      </c>
      <c r="AG52" s="41">
        <f t="shared" si="86"/>
        <v>110.0804953904498</v>
      </c>
      <c r="AH52" s="41">
        <f t="shared" si="86"/>
        <v>56.16351805635194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H52"/>
  <sheetViews>
    <sheetView topLeftCell="Q21" zoomScale="80" zoomScaleNormal="80" workbookViewId="0">
      <selection activeCell="W43" sqref="W43:W52"/>
    </sheetView>
  </sheetViews>
  <sheetFormatPr baseColWidth="10" defaultRowHeight="16" x14ac:dyDescent="0.2"/>
  <cols>
    <col min="3" max="3" width="8.83203125" customWidth="1"/>
    <col min="6" max="6" width="8.83203125" customWidth="1"/>
    <col min="9" max="9" width="8.83203125" customWidth="1"/>
    <col min="21" max="21" width="11.5" bestFit="1" customWidth="1"/>
    <col min="24" max="24" width="10.83203125" style="39"/>
    <col min="25" max="26" width="12.83203125" customWidth="1"/>
    <col min="29" max="30" width="15" customWidth="1"/>
    <col min="31" max="32" width="16.1640625" customWidth="1"/>
    <col min="33" max="34" width="30" customWidth="1"/>
  </cols>
  <sheetData>
    <row r="1" spans="2:34" x14ac:dyDescent="0.2">
      <c r="AG1" s="86" t="s">
        <v>31</v>
      </c>
      <c r="AH1" s="87" t="s">
        <v>70</v>
      </c>
    </row>
    <row r="2" spans="2:34" x14ac:dyDescent="0.2">
      <c r="X2" s="54" t="s">
        <v>21</v>
      </c>
      <c r="Y2" s="86" t="s">
        <v>31</v>
      </c>
      <c r="Z2" s="87" t="s">
        <v>70</v>
      </c>
      <c r="AA2" s="86" t="s">
        <v>31</v>
      </c>
      <c r="AB2" s="87" t="s">
        <v>70</v>
      </c>
      <c r="AC2" s="86" t="s">
        <v>31</v>
      </c>
      <c r="AD2" s="87" t="s">
        <v>70</v>
      </c>
      <c r="AE2" s="86" t="s">
        <v>31</v>
      </c>
      <c r="AF2" s="87" t="s">
        <v>70</v>
      </c>
      <c r="AG2" s="90"/>
      <c r="AH2" s="91"/>
    </row>
    <row r="3" spans="2:34" x14ac:dyDescent="0.2">
      <c r="B3" t="s">
        <v>1</v>
      </c>
      <c r="D3" t="s">
        <v>22</v>
      </c>
      <c r="G3" t="s">
        <v>22</v>
      </c>
      <c r="J3" t="s">
        <v>22</v>
      </c>
      <c r="L3" s="37" t="s">
        <v>23</v>
      </c>
      <c r="M3" s="37" t="s">
        <v>24</v>
      </c>
      <c r="N3" s="37" t="s">
        <v>25</v>
      </c>
      <c r="O3" t="s">
        <v>26</v>
      </c>
      <c r="P3" t="s">
        <v>0</v>
      </c>
      <c r="R3" t="s">
        <v>27</v>
      </c>
      <c r="S3" t="s">
        <v>28</v>
      </c>
      <c r="T3" t="s">
        <v>29</v>
      </c>
      <c r="U3" t="s">
        <v>26</v>
      </c>
      <c r="V3" t="s">
        <v>22</v>
      </c>
      <c r="W3" s="38" t="s">
        <v>0</v>
      </c>
      <c r="X3" s="54" t="s">
        <v>31</v>
      </c>
      <c r="Y3" s="92"/>
      <c r="Z3" s="93"/>
      <c r="AA3" s="94"/>
      <c r="AB3" s="95"/>
      <c r="AC3" s="88"/>
      <c r="AD3" s="89"/>
      <c r="AE3" s="88"/>
      <c r="AF3" s="89"/>
      <c r="AG3" s="88"/>
      <c r="AH3" s="89"/>
    </row>
    <row r="4" spans="2:34" x14ac:dyDescent="0.2">
      <c r="B4" s="11">
        <v>1440</v>
      </c>
      <c r="C4">
        <v>45.812766550240582</v>
      </c>
      <c r="D4">
        <f>LN($C$13/C4)</f>
        <v>2.8275035812748448</v>
      </c>
      <c r="F4">
        <v>49.633504772543205</v>
      </c>
      <c r="G4">
        <f>LN($F$13/F4)</f>
        <v>2.8376894225603557</v>
      </c>
      <c r="I4">
        <v>46.821291127410248</v>
      </c>
      <c r="J4">
        <f>LN($I$13/I4)</f>
        <v>2.7973543751334522</v>
      </c>
      <c r="L4">
        <f>D4</f>
        <v>2.8275035812748448</v>
      </c>
      <c r="M4">
        <f t="shared" ref="M4:M13" si="0">G4</f>
        <v>2.8376894225603557</v>
      </c>
      <c r="N4">
        <f>J4</f>
        <v>2.7973543751334522</v>
      </c>
      <c r="O4">
        <f>AVERAGE(L4:N4)</f>
        <v>2.8208491263228841</v>
      </c>
      <c r="P4">
        <f t="shared" ref="P4:P13" si="1">STDEV(L4:N4)</f>
        <v>2.0974754843940215E-2</v>
      </c>
      <c r="R4">
        <f>C4</f>
        <v>45.812766550240582</v>
      </c>
      <c r="S4">
        <f>F4</f>
        <v>49.633504772543205</v>
      </c>
      <c r="T4">
        <f>I4</f>
        <v>46.821291127410248</v>
      </c>
      <c r="U4">
        <f>AVERAGE(R4:T4)</f>
        <v>47.422520816731343</v>
      </c>
      <c r="V4">
        <f>LN(($U$13)/(U4))</f>
        <v>2.7887909230132233</v>
      </c>
      <c r="W4">
        <f>STDEV(R4:T4)/SQRT(3)</f>
        <v>1.1431853152969715</v>
      </c>
      <c r="X4" s="39">
        <f>1.96*W4</f>
        <v>2.2406432179820643</v>
      </c>
      <c r="Y4" s="39">
        <f>(U4/$U$13)*SQRT(((X4/U4)^2)+(($X$13/$U$13)^2))</f>
        <v>2.9490721503029594E-3</v>
      </c>
      <c r="Z4" s="39">
        <f>(U4/$U$13)*SQRT(((W4/U4)^2)+(($W$13/$U$13)^2))</f>
        <v>1.5046286481137548E-3</v>
      </c>
      <c r="AA4" s="39">
        <f>(1/(U4/$U$13))*Y4</f>
        <v>4.795588465277327E-2</v>
      </c>
      <c r="AB4" s="39">
        <f>(1/(U4/$U$13))*Z4</f>
        <v>2.4467288088149627E-2</v>
      </c>
      <c r="AC4" s="40">
        <f>(X4^2+$X$13^2)^0.5</f>
        <v>6.713381314877287</v>
      </c>
      <c r="AD4" s="40">
        <f>(W4^2+$W$13^2)^0.5</f>
        <v>3.4251945484067794</v>
      </c>
      <c r="AE4" s="40">
        <f>'CIP L-H'!$G$40*'CIP DATOS'!AC4</f>
        <v>18.667269396300842</v>
      </c>
      <c r="AF4" s="40">
        <f>'CIP L-H'!$G$40*'CIP DATOS'!AD4</f>
        <v>9.5241170389290026</v>
      </c>
      <c r="AG4" s="41">
        <f>(AA4^2+AE4^2)^0.5</f>
        <v>18.667330995108617</v>
      </c>
      <c r="AH4" s="41">
        <f>(AB4^2+AF4^2)^0.5</f>
        <v>9.5241484668921519</v>
      </c>
    </row>
    <row r="5" spans="2:34" x14ac:dyDescent="0.2">
      <c r="B5" s="11">
        <v>150</v>
      </c>
      <c r="C5">
        <v>57.536587030626116</v>
      </c>
      <c r="D5">
        <f t="shared" ref="D5:D13" si="2">LN($C$13/C5)</f>
        <v>2.5996453375535555</v>
      </c>
      <c r="F5">
        <v>62.570890391660448</v>
      </c>
      <c r="G5">
        <f t="shared" ref="G5:G13" si="3">LN($F$13/F5)</f>
        <v>2.6060553674529925</v>
      </c>
      <c r="I5">
        <v>59.608870793576145</v>
      </c>
      <c r="J5">
        <f t="shared" ref="J5:J13" si="4">LN($I$13/I5)</f>
        <v>2.5558880114094342</v>
      </c>
      <c r="L5">
        <f t="shared" ref="L5:L13" si="5">D5</f>
        <v>2.5996453375535555</v>
      </c>
      <c r="M5">
        <f t="shared" si="0"/>
        <v>2.6060553674529925</v>
      </c>
      <c r="N5">
        <f>J5</f>
        <v>2.5558880114094342</v>
      </c>
      <c r="O5">
        <f>AVERAGE(L5:N5)</f>
        <v>2.5871962388053276</v>
      </c>
      <c r="P5">
        <f t="shared" si="1"/>
        <v>2.7302489773510338E-2</v>
      </c>
      <c r="R5">
        <f t="shared" ref="R5:R13" si="6">C5</f>
        <v>57.536587030626116</v>
      </c>
      <c r="S5">
        <f t="shared" ref="S5:S13" si="7">F5</f>
        <v>62.570890391660448</v>
      </c>
      <c r="T5">
        <f t="shared" ref="T5:T13" si="8">I5</f>
        <v>59.608870793576145</v>
      </c>
      <c r="U5">
        <f t="shared" ref="U5:U10" si="9">AVERAGE(R5:T5)</f>
        <v>59.905449405287563</v>
      </c>
      <c r="V5">
        <f t="shared" ref="V5:V13" si="10">LN(($U$13)/(U5))</f>
        <v>2.5551206855650843</v>
      </c>
      <c r="W5">
        <f>STDEV(R5:T5)/SQRT(3)</f>
        <v>1.4608241666292243</v>
      </c>
      <c r="X5" s="39">
        <f t="shared" ref="X5:X13" si="11">1.96*W5</f>
        <v>2.8632153665932796</v>
      </c>
      <c r="Y5" s="39">
        <f t="shared" ref="Y5:Y13" si="12">(U5/$U$13)*SQRT(((X5/U5)^2)+(($X$13/$U$13)^2))</f>
        <v>3.7672281519608268E-3</v>
      </c>
      <c r="Z5" s="39">
        <f t="shared" ref="Z5:Z52" si="13">(U5/$U$13)*SQRT(((W5/U5)^2)+(($W$13/$U$13)^2))</f>
        <v>1.9220551795718504E-3</v>
      </c>
      <c r="AA5" s="39">
        <f t="shared" ref="AA5:AA13" si="14">(1/(U5/$U$13))*Y5</f>
        <v>4.8494974712417517E-2</v>
      </c>
      <c r="AB5" s="39">
        <f t="shared" ref="AB5:AB52" si="15">(1/(U5/$U$13))*Z5</f>
        <v>2.4742334036947713E-2</v>
      </c>
      <c r="AC5" s="40">
        <f t="shared" ref="AC5:AC13" si="16">(X5^2+$X$13^2)^0.5</f>
        <v>6.946006686157908</v>
      </c>
      <c r="AD5" s="40">
        <f t="shared" ref="AD5:AD52" si="17">(W5^2+$W$13^2)^0.5</f>
        <v>3.5438809623254635</v>
      </c>
      <c r="AE5" s="40">
        <f>'CIP L-H'!$G$40*'CIP DATOS'!AC5</f>
        <v>19.314108935191122</v>
      </c>
      <c r="AF5" s="40">
        <f>'CIP L-H'!$G$40*'CIP DATOS'!AD5</f>
        <v>9.8541372118322066</v>
      </c>
      <c r="AG5" s="41">
        <f t="shared" ref="AG5:AH13" si="18">(AA5^2+AE5^2)^0.5</f>
        <v>19.314169817079943</v>
      </c>
      <c r="AH5" s="41">
        <f t="shared" si="18"/>
        <v>9.8541682740203811</v>
      </c>
    </row>
    <row r="6" spans="2:34" x14ac:dyDescent="0.2">
      <c r="B6" s="11">
        <v>120</v>
      </c>
      <c r="C6">
        <v>67.791747740403409</v>
      </c>
      <c r="D6">
        <f>LN($C$13/C6)</f>
        <v>2.4356259063958801</v>
      </c>
      <c r="F6">
        <v>78.109999930257445</v>
      </c>
      <c r="G6">
        <f t="shared" si="3"/>
        <v>2.3842374389612839</v>
      </c>
      <c r="I6">
        <v>85.146889473597511</v>
      </c>
      <c r="J6">
        <f t="shared" si="4"/>
        <v>2.1993145367458928</v>
      </c>
      <c r="L6">
        <f t="shared" si="5"/>
        <v>2.4356259063958801</v>
      </c>
      <c r="M6">
        <f t="shared" si="0"/>
        <v>2.3842374389612839</v>
      </c>
      <c r="N6">
        <f t="shared" ref="N6:N13" si="19">J6</f>
        <v>2.1993145367458928</v>
      </c>
      <c r="O6">
        <f t="shared" ref="O6:O13" si="20">AVERAGE(L6:N6)</f>
        <v>2.3397259607010188</v>
      </c>
      <c r="P6">
        <f t="shared" si="1"/>
        <v>0.12428483265929419</v>
      </c>
      <c r="R6">
        <f t="shared" si="6"/>
        <v>67.791747740403409</v>
      </c>
      <c r="S6">
        <f t="shared" si="7"/>
        <v>78.109999930257445</v>
      </c>
      <c r="T6">
        <f t="shared" si="8"/>
        <v>85.146889473597511</v>
      </c>
      <c r="U6">
        <f t="shared" si="9"/>
        <v>77.01621238141945</v>
      </c>
      <c r="V6">
        <f t="shared" si="10"/>
        <v>2.303872211495944</v>
      </c>
      <c r="W6">
        <f t="shared" ref="W6:W10" si="21">STDEV(R6:T6)/SQRT(3)</f>
        <v>5.0397590731538173</v>
      </c>
      <c r="X6" s="39">
        <f t="shared" si="11"/>
        <v>9.877927783381482</v>
      </c>
      <c r="Y6" s="39">
        <f t="shared" si="12"/>
        <v>1.2835472958631274E-2</v>
      </c>
      <c r="Z6" s="39">
        <f t="shared" si="13"/>
        <v>6.5487106931792207E-3</v>
      </c>
      <c r="AA6" s="39">
        <f t="shared" si="14"/>
        <v>0.12852004370017411</v>
      </c>
      <c r="AB6" s="39">
        <f t="shared" si="15"/>
        <v>6.5571450867435765E-2</v>
      </c>
      <c r="AC6" s="40">
        <f t="shared" si="16"/>
        <v>11.731260117410843</v>
      </c>
      <c r="AD6" s="40">
        <f t="shared" si="17"/>
        <v>5.9853367945973686</v>
      </c>
      <c r="AE6" s="40">
        <f>'CIP L-H'!$G$40*'CIP DATOS'!AC6</f>
        <v>32.620014073160235</v>
      </c>
      <c r="AF6" s="40">
        <f>'CIP L-H'!$G$40*'CIP DATOS'!AD6</f>
        <v>16.642864323040936</v>
      </c>
      <c r="AG6" s="41">
        <f t="shared" si="18"/>
        <v>32.620267251124787</v>
      </c>
      <c r="AH6" s="41">
        <f t="shared" si="18"/>
        <v>16.642993495471831</v>
      </c>
    </row>
    <row r="7" spans="2:34" x14ac:dyDescent="0.2">
      <c r="B7" s="11">
        <v>90</v>
      </c>
      <c r="C7">
        <v>83.257483657869443</v>
      </c>
      <c r="D7">
        <f t="shared" si="2"/>
        <v>2.2301283605825066</v>
      </c>
      <c r="F7">
        <v>146.72904362696877</v>
      </c>
      <c r="G7">
        <f t="shared" si="3"/>
        <v>1.7537678824031402</v>
      </c>
      <c r="I7">
        <v>158.75808242468966</v>
      </c>
      <c r="J7">
        <f t="shared" si="4"/>
        <v>1.5763108638355183</v>
      </c>
      <c r="L7">
        <f t="shared" si="5"/>
        <v>2.2301283605825066</v>
      </c>
      <c r="M7">
        <f t="shared" si="0"/>
        <v>1.7537678824031402</v>
      </c>
      <c r="N7">
        <f t="shared" si="19"/>
        <v>1.5763108638355183</v>
      </c>
      <c r="O7">
        <f t="shared" si="20"/>
        <v>1.8534023689403885</v>
      </c>
      <c r="P7">
        <f t="shared" si="1"/>
        <v>0.33810442609315189</v>
      </c>
      <c r="R7" s="55">
        <f t="shared" si="6"/>
        <v>83.257483657869443</v>
      </c>
      <c r="S7">
        <f t="shared" si="7"/>
        <v>146.72904362696877</v>
      </c>
      <c r="T7">
        <f t="shared" si="8"/>
        <v>158.75808242468966</v>
      </c>
      <c r="U7">
        <f>AVERAGE(S7:T7)</f>
        <v>152.74356302582922</v>
      </c>
      <c r="V7">
        <f t="shared" si="10"/>
        <v>1.6191277050150505</v>
      </c>
      <c r="W7">
        <f>STDEV(S7:T7)/SQRT(2)</f>
        <v>6.0145193988604424</v>
      </c>
      <c r="X7" s="39">
        <f t="shared" si="11"/>
        <v>11.788458021766466</v>
      </c>
      <c r="Y7" s="39">
        <f t="shared" si="12"/>
        <v>1.5372950089513308E-2</v>
      </c>
      <c r="Z7" s="39">
        <f t="shared" si="13"/>
        <v>7.8433418824047502E-3</v>
      </c>
      <c r="AA7" s="39">
        <f t="shared" si="14"/>
        <v>7.7613174115329517E-2</v>
      </c>
      <c r="AB7" s="39">
        <f t="shared" si="15"/>
        <v>3.9598558222106901E-2</v>
      </c>
      <c r="AC7" s="40">
        <f t="shared" si="16"/>
        <v>13.379714091848324</v>
      </c>
      <c r="AD7" s="40">
        <f t="shared" si="17"/>
        <v>6.8263847407389413</v>
      </c>
      <c r="AE7" s="40">
        <f>'CIP L-H'!$G$40*'CIP DATOS'!AC7</f>
        <v>37.203715338576849</v>
      </c>
      <c r="AF7" s="40">
        <f>'CIP L-H'!$G$40*'CIP DATOS'!AD7</f>
        <v>18.981487417641251</v>
      </c>
      <c r="AG7" s="41">
        <f t="shared" si="18"/>
        <v>37.203796295521435</v>
      </c>
      <c r="AH7" s="41">
        <f t="shared" si="18"/>
        <v>18.981528722204814</v>
      </c>
    </row>
    <row r="8" spans="2:34" x14ac:dyDescent="0.2">
      <c r="B8" s="11">
        <v>75</v>
      </c>
      <c r="C8">
        <v>148.19383867770165</v>
      </c>
      <c r="D8">
        <f t="shared" si="2"/>
        <v>1.6535452415678116</v>
      </c>
      <c r="F8">
        <v>172.24375948407257</v>
      </c>
      <c r="G8">
        <f t="shared" si="3"/>
        <v>1.5934448478634653</v>
      </c>
      <c r="I8">
        <v>198.95984532759857</v>
      </c>
      <c r="J8">
        <f t="shared" si="4"/>
        <v>1.3505893911333955</v>
      </c>
      <c r="L8">
        <f t="shared" si="5"/>
        <v>1.6535452415678116</v>
      </c>
      <c r="M8">
        <f t="shared" si="0"/>
        <v>1.5934448478634653</v>
      </c>
      <c r="N8">
        <f t="shared" si="19"/>
        <v>1.3505893911333955</v>
      </c>
      <c r="O8">
        <f t="shared" si="20"/>
        <v>1.5325264935215575</v>
      </c>
      <c r="P8">
        <f t="shared" si="1"/>
        <v>0.16040213916873039</v>
      </c>
      <c r="R8">
        <f t="shared" si="6"/>
        <v>148.19383867770165</v>
      </c>
      <c r="S8">
        <f t="shared" si="7"/>
        <v>172.24375948407257</v>
      </c>
      <c r="T8">
        <f t="shared" si="8"/>
        <v>198.95984532759857</v>
      </c>
      <c r="U8">
        <f t="shared" si="9"/>
        <v>173.13248116312425</v>
      </c>
      <c r="V8">
        <f t="shared" si="10"/>
        <v>1.493831073092496</v>
      </c>
      <c r="W8">
        <f t="shared" si="21"/>
        <v>14.661619140479852</v>
      </c>
      <c r="X8" s="39">
        <f t="shared" si="11"/>
        <v>28.736773515340509</v>
      </c>
      <c r="Y8" s="39">
        <f t="shared" si="12"/>
        <v>3.7310152966666545E-2</v>
      </c>
      <c r="Z8" s="39">
        <f t="shared" si="13"/>
        <v>1.9035792329931914E-2</v>
      </c>
      <c r="AA8" s="39">
        <f t="shared" si="14"/>
        <v>0.16618415820202964</v>
      </c>
      <c r="AB8" s="39">
        <f t="shared" si="15"/>
        <v>8.4787835817362073E-2</v>
      </c>
      <c r="AC8" s="40">
        <f t="shared" si="16"/>
        <v>29.425348914169735</v>
      </c>
      <c r="AD8" s="40">
        <f t="shared" si="17"/>
        <v>15.012933119474358</v>
      </c>
      <c r="AE8" s="40">
        <f>'CIP L-H'!$G$40*'CIP DATOS'!AC8</f>
        <v>81.820306265590887</v>
      </c>
      <c r="AF8" s="40">
        <f>'CIP L-H'!$G$40*'CIP DATOS'!AD8</f>
        <v>41.745054217138218</v>
      </c>
      <c r="AG8" s="41">
        <f t="shared" si="18"/>
        <v>81.820475032656276</v>
      </c>
      <c r="AH8" s="41">
        <f t="shared" si="18"/>
        <v>41.745140322783826</v>
      </c>
    </row>
    <row r="9" spans="2:34" x14ac:dyDescent="0.2">
      <c r="B9" s="11">
        <v>60</v>
      </c>
      <c r="C9">
        <v>312.01946600987549</v>
      </c>
      <c r="D9">
        <f t="shared" si="2"/>
        <v>0.90900080227054258</v>
      </c>
      <c r="F9">
        <v>310.50243551177954</v>
      </c>
      <c r="G9">
        <f t="shared" si="3"/>
        <v>1.0041637825095835</v>
      </c>
      <c r="I9">
        <v>319.32444187279845</v>
      </c>
      <c r="J9">
        <f t="shared" si="4"/>
        <v>0.87748476813076171</v>
      </c>
      <c r="L9">
        <f t="shared" si="5"/>
        <v>0.90900080227054258</v>
      </c>
      <c r="M9">
        <f t="shared" si="0"/>
        <v>1.0041637825095835</v>
      </c>
      <c r="N9">
        <f t="shared" si="19"/>
        <v>0.87748476813076171</v>
      </c>
      <c r="O9">
        <f t="shared" si="20"/>
        <v>0.93021645097029593</v>
      </c>
      <c r="P9">
        <f t="shared" si="1"/>
        <v>6.5950519204256028E-2</v>
      </c>
      <c r="R9">
        <f t="shared" si="6"/>
        <v>312.01946600987549</v>
      </c>
      <c r="S9">
        <f t="shared" si="7"/>
        <v>310.50243551177954</v>
      </c>
      <c r="T9">
        <f t="shared" si="8"/>
        <v>319.32444187279845</v>
      </c>
      <c r="U9">
        <f t="shared" si="9"/>
        <v>313.94878113148451</v>
      </c>
      <c r="V9">
        <f t="shared" si="10"/>
        <v>0.89865830640753996</v>
      </c>
      <c r="W9">
        <f t="shared" si="21"/>
        <v>2.7232726444063822</v>
      </c>
      <c r="X9" s="39">
        <f t="shared" si="11"/>
        <v>5.3376143830365086</v>
      </c>
      <c r="Y9" s="39">
        <f t="shared" si="12"/>
        <v>7.6857347431080469E-3</v>
      </c>
      <c r="Z9" s="39">
        <f t="shared" si="13"/>
        <v>3.9212932362796158E-3</v>
      </c>
      <c r="AA9" s="39">
        <f t="shared" si="14"/>
        <v>1.8878510908954659E-2</v>
      </c>
      <c r="AB9" s="39">
        <f t="shared" si="15"/>
        <v>9.6318933208952347E-3</v>
      </c>
      <c r="AC9" s="40">
        <f t="shared" si="16"/>
        <v>8.2788365094772036</v>
      </c>
      <c r="AD9" s="40">
        <f t="shared" si="17"/>
        <v>4.2238961783046953</v>
      </c>
      <c r="AE9" s="40">
        <f>'CIP L-H'!$G$40*'CIP DATOS'!AC9</f>
        <v>23.020183743751307</v>
      </c>
      <c r="AF9" s="40">
        <f>'CIP L-H'!$G$40*'CIP DATOS'!AD9</f>
        <v>11.744991705995563</v>
      </c>
      <c r="AG9" s="41">
        <f t="shared" si="18"/>
        <v>23.020191484743261</v>
      </c>
      <c r="AH9" s="41">
        <f t="shared" si="18"/>
        <v>11.744995655481253</v>
      </c>
    </row>
    <row r="10" spans="2:34" x14ac:dyDescent="0.2">
      <c r="B10" s="11">
        <v>45</v>
      </c>
      <c r="C10">
        <v>458.01911995536864</v>
      </c>
      <c r="D10">
        <f t="shared" si="2"/>
        <v>0.52515544932081581</v>
      </c>
      <c r="F10">
        <v>382.43327479564317</v>
      </c>
      <c r="G10">
        <f t="shared" si="3"/>
        <v>0.79580133462002867</v>
      </c>
      <c r="I10">
        <v>294.99567988975082</v>
      </c>
      <c r="J10">
        <f t="shared" si="4"/>
        <v>0.95673170143266562</v>
      </c>
      <c r="L10">
        <f t="shared" si="5"/>
        <v>0.52515544932081581</v>
      </c>
      <c r="M10">
        <f t="shared" si="0"/>
        <v>0.79580133462002867</v>
      </c>
      <c r="N10">
        <f t="shared" si="19"/>
        <v>0.95673170143266562</v>
      </c>
      <c r="O10">
        <f t="shared" si="20"/>
        <v>0.75922949512450344</v>
      </c>
      <c r="P10">
        <f t="shared" si="1"/>
        <v>0.21810006861482761</v>
      </c>
      <c r="R10">
        <f t="shared" si="6"/>
        <v>458.01911995536864</v>
      </c>
      <c r="S10">
        <f t="shared" si="7"/>
        <v>382.43327479564317</v>
      </c>
      <c r="T10">
        <f t="shared" si="8"/>
        <v>294.99567988975082</v>
      </c>
      <c r="U10">
        <f t="shared" si="9"/>
        <v>378.48269154692088</v>
      </c>
      <c r="V10">
        <f t="shared" si="10"/>
        <v>0.71171781883337115</v>
      </c>
      <c r="W10">
        <f t="shared" si="21"/>
        <v>47.102249888623085</v>
      </c>
      <c r="X10" s="39">
        <f t="shared" si="11"/>
        <v>92.320409781701244</v>
      </c>
      <c r="Y10" s="39">
        <f t="shared" si="12"/>
        <v>0.11978494214664435</v>
      </c>
      <c r="Z10" s="39">
        <f t="shared" si="13"/>
        <v>6.1114766401349156E-2</v>
      </c>
      <c r="AA10" s="39">
        <f t="shared" si="14"/>
        <v>0.24406041693144248</v>
      </c>
      <c r="AB10" s="39">
        <f t="shared" si="15"/>
        <v>0.12452062088338901</v>
      </c>
      <c r="AC10" s="40">
        <f t="shared" si="16"/>
        <v>92.537057814207017</v>
      </c>
      <c r="AD10" s="40">
        <f t="shared" si="17"/>
        <v>47.212784599085218</v>
      </c>
      <c r="AE10" s="40">
        <f>'CIP L-H'!$G$40*'CIP DATOS'!AC10</f>
        <v>257.30911240373115</v>
      </c>
      <c r="AF10" s="40">
        <f>'CIP L-H'!$G$40*'CIP DATOS'!AD10</f>
        <v>131.28015938965876</v>
      </c>
      <c r="AG10" s="41">
        <f t="shared" si="18"/>
        <v>257.30922815064963</v>
      </c>
      <c r="AH10" s="41">
        <f t="shared" si="18"/>
        <v>131.280218444209</v>
      </c>
    </row>
    <row r="11" spans="2:34" x14ac:dyDescent="0.2">
      <c r="B11" s="11">
        <v>30</v>
      </c>
      <c r="C11">
        <v>415.52250057806646</v>
      </c>
      <c r="D11">
        <f t="shared" si="2"/>
        <v>0.62252961334599199</v>
      </c>
      <c r="F11">
        <v>387.60129202261129</v>
      </c>
      <c r="G11">
        <f t="shared" si="3"/>
        <v>0.78237831428788818</v>
      </c>
      <c r="I11">
        <v>613.40371532630718</v>
      </c>
      <c r="J11">
        <f t="shared" si="4"/>
        <v>0.22466910462304696</v>
      </c>
      <c r="L11">
        <f t="shared" si="5"/>
        <v>0.62252961334599199</v>
      </c>
      <c r="M11">
        <f t="shared" si="0"/>
        <v>0.78237831428788818</v>
      </c>
      <c r="N11">
        <f t="shared" si="19"/>
        <v>0.22466910462304696</v>
      </c>
      <c r="O11">
        <f t="shared" si="20"/>
        <v>0.54319234408564232</v>
      </c>
      <c r="P11">
        <f t="shared" si="1"/>
        <v>0.28719452006699642</v>
      </c>
      <c r="R11">
        <f t="shared" si="6"/>
        <v>415.52250057806646</v>
      </c>
      <c r="S11">
        <f t="shared" si="7"/>
        <v>387.60129202261129</v>
      </c>
      <c r="T11" s="55">
        <f t="shared" si="8"/>
        <v>613.40371532630718</v>
      </c>
      <c r="U11">
        <f>AVERAGE(R11:S11)</f>
        <v>401.56189630033884</v>
      </c>
      <c r="V11">
        <f t="shared" si="10"/>
        <v>0.6525264774491254</v>
      </c>
      <c r="W11">
        <f>STDEV(R11:S11)/SQRT(3)</f>
        <v>11.398785660449558</v>
      </c>
      <c r="X11" s="39">
        <f t="shared" si="11"/>
        <v>22.341619894481134</v>
      </c>
      <c r="Y11" s="39">
        <f t="shared" si="12"/>
        <v>2.9285131396504155E-2</v>
      </c>
      <c r="Z11" s="39">
        <f t="shared" si="13"/>
        <v>1.4941393569644978E-2</v>
      </c>
      <c r="AA11" s="39">
        <f t="shared" si="14"/>
        <v>5.6238771523601523E-2</v>
      </c>
      <c r="AB11" s="39">
        <f t="shared" si="15"/>
        <v>2.8693250777347717E-2</v>
      </c>
      <c r="AC11" s="40">
        <f t="shared" si="16"/>
        <v>23.220615542188575</v>
      </c>
      <c r="AD11" s="40">
        <f t="shared" si="17"/>
        <v>11.847252827647234</v>
      </c>
      <c r="AE11" s="40">
        <f>'CIP L-H'!$G$40*'CIP DATOS'!AC11</f>
        <v>64.567386469375265</v>
      </c>
      <c r="AF11" s="40">
        <f>'CIP L-H'!$G$40*'CIP DATOS'!AD11</f>
        <v>32.942544117028199</v>
      </c>
      <c r="AG11" s="41">
        <f t="shared" si="18"/>
        <v>64.567410961607294</v>
      </c>
      <c r="AH11" s="41">
        <f t="shared" si="18"/>
        <v>32.942556613064951</v>
      </c>
    </row>
    <row r="12" spans="2:34" x14ac:dyDescent="0.2">
      <c r="B12" s="11">
        <v>15</v>
      </c>
      <c r="C12">
        <v>540.17925075148639</v>
      </c>
      <c r="D12">
        <f t="shared" si="2"/>
        <v>0.36016534887850105</v>
      </c>
      <c r="F12">
        <v>620.16206723617813</v>
      </c>
      <c r="G12">
        <f t="shared" si="3"/>
        <v>0.31237468504215243</v>
      </c>
      <c r="I12">
        <v>526.30975269219073</v>
      </c>
      <c r="J12">
        <f t="shared" si="4"/>
        <v>0.37780249036460695</v>
      </c>
      <c r="L12">
        <f t="shared" si="5"/>
        <v>0.36016534887850105</v>
      </c>
      <c r="M12">
        <f t="shared" si="0"/>
        <v>0.31237468504215243</v>
      </c>
      <c r="N12">
        <f t="shared" si="19"/>
        <v>0.37780249036460695</v>
      </c>
      <c r="O12">
        <f t="shared" si="20"/>
        <v>0.35011417476175349</v>
      </c>
      <c r="P12">
        <f t="shared" si="1"/>
        <v>3.3852163936329595E-2</v>
      </c>
      <c r="R12">
        <f t="shared" si="6"/>
        <v>540.17925075148639</v>
      </c>
      <c r="S12" s="98">
        <f t="shared" si="7"/>
        <v>620.16206723617813</v>
      </c>
      <c r="T12">
        <f t="shared" si="8"/>
        <v>526.30975269219073</v>
      </c>
      <c r="U12">
        <f t="shared" ref="U12" si="22">AVERAGE(R12:T12)</f>
        <v>562.21702355995183</v>
      </c>
      <c r="V12">
        <f t="shared" si="10"/>
        <v>0.31600022332500188</v>
      </c>
      <c r="W12">
        <f t="shared" ref="W12" si="23">STDEV(R12:T12)/SQRT(3)</f>
        <v>29.247859232680256</v>
      </c>
      <c r="X12" s="39">
        <f t="shared" si="11"/>
        <v>57.325804096053297</v>
      </c>
      <c r="Y12" s="39">
        <f t="shared" si="12"/>
        <v>7.4578059138601147E-2</v>
      </c>
      <c r="Z12" s="39">
        <f t="shared" si="13"/>
        <v>3.805003017275569E-2</v>
      </c>
      <c r="AA12" s="39">
        <f t="shared" si="14"/>
        <v>0.10229354516507722</v>
      </c>
      <c r="AB12" s="39">
        <f t="shared" si="15"/>
        <v>5.2190584267896543E-2</v>
      </c>
      <c r="AC12" s="40">
        <f t="shared" si="16"/>
        <v>57.67405674918087</v>
      </c>
      <c r="AD12" s="40">
        <f t="shared" si="17"/>
        <v>29.425539157745344</v>
      </c>
      <c r="AE12" s="40">
        <f>'CIP L-H'!$G$40*'CIP DATOS'!AC12</f>
        <v>160.36883710577393</v>
      </c>
      <c r="AF12" s="40">
        <f>'CIP L-H'!$G$40*'CIP DATOS'!AD12</f>
        <v>81.820835258047936</v>
      </c>
      <c r="AG12" s="41">
        <f t="shared" si="18"/>
        <v>160.36886973046745</v>
      </c>
      <c r="AH12" s="41">
        <f t="shared" si="18"/>
        <v>81.820851903299726</v>
      </c>
    </row>
    <row r="13" spans="2:34" x14ac:dyDescent="0.2">
      <c r="B13" s="11">
        <v>0</v>
      </c>
      <c r="C13">
        <v>774.38284198639667</v>
      </c>
      <c r="D13">
        <f t="shared" si="2"/>
        <v>0</v>
      </c>
      <c r="F13">
        <v>847.5548252227768</v>
      </c>
      <c r="G13">
        <f t="shared" si="3"/>
        <v>0</v>
      </c>
      <c r="I13">
        <v>767.92526193522428</v>
      </c>
      <c r="J13">
        <f t="shared" si="4"/>
        <v>0</v>
      </c>
      <c r="L13">
        <f t="shared" si="5"/>
        <v>0</v>
      </c>
      <c r="M13">
        <f t="shared" si="0"/>
        <v>0</v>
      </c>
      <c r="N13">
        <f t="shared" si="19"/>
        <v>0</v>
      </c>
      <c r="O13">
        <f t="shared" si="20"/>
        <v>0</v>
      </c>
      <c r="P13">
        <f t="shared" si="1"/>
        <v>0</v>
      </c>
      <c r="R13">
        <f t="shared" si="6"/>
        <v>774.38284198639667</v>
      </c>
      <c r="S13" s="55">
        <f t="shared" si="7"/>
        <v>847.5548252227768</v>
      </c>
      <c r="T13">
        <f t="shared" si="8"/>
        <v>767.92526193522428</v>
      </c>
      <c r="U13">
        <f>AVERAGE(R13,T13)</f>
        <v>771.15405196081042</v>
      </c>
      <c r="V13">
        <f t="shared" si="10"/>
        <v>0</v>
      </c>
      <c r="W13">
        <f>STDEV(R13,T13)/SQRT(2)</f>
        <v>3.2287900255861923</v>
      </c>
      <c r="X13" s="39">
        <f t="shared" si="11"/>
        <v>6.3284284501489365</v>
      </c>
      <c r="Y13" s="39">
        <f t="shared" si="12"/>
        <v>1.1605656898192884E-2</v>
      </c>
      <c r="Z13" s="39">
        <f t="shared" si="13"/>
        <v>5.9212535194861655E-3</v>
      </c>
      <c r="AA13" s="39">
        <f t="shared" si="14"/>
        <v>1.1605656898192884E-2</v>
      </c>
      <c r="AB13" s="39">
        <f t="shared" si="15"/>
        <v>5.9212535194861655E-3</v>
      </c>
      <c r="AC13" s="40">
        <f t="shared" si="16"/>
        <v>8.9497493427083725</v>
      </c>
      <c r="AD13" s="40">
        <f t="shared" si="17"/>
        <v>4.5661986442389662</v>
      </c>
      <c r="AE13" s="40">
        <f>'CIP L-H'!$G$40*'CIP DATOS'!AC13</f>
        <v>24.88572809643204</v>
      </c>
      <c r="AF13" s="40">
        <f>'CIP L-H'!$G$40*'CIP DATOS'!AD13</f>
        <v>12.696800049200021</v>
      </c>
      <c r="AG13" s="41">
        <f t="shared" si="18"/>
        <v>24.885730802627016</v>
      </c>
      <c r="AH13" s="41">
        <f t="shared" si="18"/>
        <v>12.696801429911744</v>
      </c>
    </row>
    <row r="14" spans="2:34" x14ac:dyDescent="0.2">
      <c r="Z14" s="39"/>
      <c r="AB14" s="39"/>
      <c r="AC14" s="42"/>
      <c r="AD14" s="40"/>
      <c r="AE14" s="40"/>
      <c r="AF14" s="40"/>
      <c r="AG14" s="42"/>
      <c r="AH14" s="42"/>
    </row>
    <row r="15" spans="2:34" x14ac:dyDescent="0.2">
      <c r="Z15" s="39"/>
      <c r="AB15" s="39"/>
      <c r="AC15" s="42"/>
      <c r="AD15" s="40"/>
      <c r="AE15" s="40"/>
      <c r="AF15" s="40"/>
      <c r="AG15" s="42"/>
      <c r="AH15" s="42"/>
    </row>
    <row r="16" spans="2:34" x14ac:dyDescent="0.2">
      <c r="B16" t="s">
        <v>1</v>
      </c>
      <c r="D16" t="s">
        <v>22</v>
      </c>
      <c r="G16" t="s">
        <v>22</v>
      </c>
      <c r="J16" t="s">
        <v>22</v>
      </c>
      <c r="L16" s="37" t="s">
        <v>23</v>
      </c>
      <c r="M16" s="37" t="s">
        <v>24</v>
      </c>
      <c r="N16" s="37" t="s">
        <v>25</v>
      </c>
      <c r="O16" t="s">
        <v>26</v>
      </c>
      <c r="P16" t="s">
        <v>0</v>
      </c>
      <c r="R16" t="s">
        <v>27</v>
      </c>
      <c r="S16" t="s">
        <v>28</v>
      </c>
      <c r="T16" t="s">
        <v>29</v>
      </c>
      <c r="U16" t="s">
        <v>26</v>
      </c>
      <c r="V16" t="s">
        <v>22</v>
      </c>
      <c r="X16" s="54" t="s">
        <v>31</v>
      </c>
      <c r="Z16" s="39"/>
      <c r="AB16" s="39"/>
      <c r="AC16" s="42"/>
      <c r="AD16" s="40"/>
      <c r="AE16" s="40"/>
      <c r="AF16" s="40"/>
      <c r="AG16" s="42"/>
      <c r="AH16" s="42"/>
    </row>
    <row r="17" spans="2:34" x14ac:dyDescent="0.2">
      <c r="B17" s="11">
        <v>1440</v>
      </c>
      <c r="C17">
        <v>12.039774254232736</v>
      </c>
      <c r="D17">
        <f>LN($C$26/C17)</f>
        <v>3.0122615755052018</v>
      </c>
      <c r="F17">
        <v>14.699187898278852</v>
      </c>
      <c r="G17">
        <f>LN($F$26/F17)</f>
        <v>3.1708666056818426</v>
      </c>
      <c r="I17">
        <v>19.844018321692804</v>
      </c>
      <c r="J17">
        <f>LN($I$26/I17)</f>
        <v>2.7245795030534206</v>
      </c>
      <c r="L17">
        <f t="shared" ref="L17:L26" si="24">D17</f>
        <v>3.0122615755052018</v>
      </c>
      <c r="M17">
        <f t="shared" ref="M17:M26" si="25">G17</f>
        <v>3.1708666056818426</v>
      </c>
      <c r="N17">
        <f>J17</f>
        <v>2.7245795030534206</v>
      </c>
      <c r="O17">
        <f>AVERAGE(L17:N17)</f>
        <v>2.9692358947468214</v>
      </c>
      <c r="P17">
        <f t="shared" ref="P17:P26" si="26">STDEV(L17:N17)</f>
        <v>0.22623317925684436</v>
      </c>
      <c r="R17">
        <f>C17</f>
        <v>12.039774254232736</v>
      </c>
      <c r="S17">
        <f>F17</f>
        <v>14.699187898278852</v>
      </c>
      <c r="T17" s="55">
        <f>I17</f>
        <v>19.844018321692804</v>
      </c>
      <c r="U17">
        <f>AVERAGE(R17:S17)</f>
        <v>13.369481076255795</v>
      </c>
      <c r="V17">
        <f t="shared" ref="V17:V26" si="27">LN(($U$13)/(U17))</f>
        <v>4.054913583780734</v>
      </c>
      <c r="W17">
        <f>STDEV(R17:S17)/SQRT(3)</f>
        <v>1.0857010738180997</v>
      </c>
      <c r="X17" s="39">
        <f>1.96*W17</f>
        <v>2.1279741046834753</v>
      </c>
      <c r="Y17" s="39">
        <f>(U17/$U$26)*SQRT(((X17/U17)^2)+(($X$26/$U$26)^2))</f>
        <v>1.1409705387308126E-2</v>
      </c>
      <c r="Z17" s="39">
        <f t="shared" si="13"/>
        <v>1.4097613559378721E-3</v>
      </c>
      <c r="AA17" s="39">
        <f>(1/(U17/$U$26))*Y17</f>
        <v>0.25536546403906374</v>
      </c>
      <c r="AB17" s="39">
        <f t="shared" si="15"/>
        <v>8.1315286339723625E-2</v>
      </c>
      <c r="AC17" s="40">
        <f>(X17^2+$X$26^2)^0.5</f>
        <v>59.79180091472778</v>
      </c>
      <c r="AD17" s="40">
        <f t="shared" si="17"/>
        <v>3.4064397618356117</v>
      </c>
      <c r="AE17" s="40">
        <f>'CIP L-H'!$G$40*'CIP DATOS'!AC17</f>
        <v>166.25744956446178</v>
      </c>
      <c r="AF17" s="40">
        <f>'CIP L-H'!$G$40*'CIP DATOS'!AD17</f>
        <v>9.4719673639778321</v>
      </c>
      <c r="AG17" s="41">
        <f>(AA17^2+AE17^2)^0.5</f>
        <v>166.25764568043112</v>
      </c>
      <c r="AH17" s="41">
        <f>(AB17^2+AF17^2)^0.5</f>
        <v>9.4723163967455015</v>
      </c>
    </row>
    <row r="18" spans="2:34" x14ac:dyDescent="0.2">
      <c r="B18" s="11">
        <v>150</v>
      </c>
      <c r="C18">
        <v>14.501239212875868</v>
      </c>
      <c r="D18">
        <f t="shared" ref="D18:D26" si="28">LN($C$26/C18)</f>
        <v>2.8262431568299213</v>
      </c>
      <c r="F18">
        <v>22.010502712266561</v>
      </c>
      <c r="G18">
        <f t="shared" ref="G18:G26" si="29">LN($F$26/F18)</f>
        <v>2.7671391174722166</v>
      </c>
      <c r="I18">
        <v>16.536681934744006</v>
      </c>
      <c r="J18">
        <f t="shared" ref="J18:J26" si="30">LN($I$26/I18)</f>
        <v>2.9069010598473755</v>
      </c>
      <c r="L18">
        <f t="shared" si="24"/>
        <v>2.8262431568299213</v>
      </c>
      <c r="M18">
        <f t="shared" si="25"/>
        <v>2.7671391174722166</v>
      </c>
      <c r="N18">
        <f>J18</f>
        <v>2.9069010598473755</v>
      </c>
      <c r="O18">
        <f t="shared" ref="O18:O26" si="31">AVERAGE(L18:N18)</f>
        <v>2.8334277780498383</v>
      </c>
      <c r="P18">
        <f t="shared" si="26"/>
        <v>7.0157424558449685E-2</v>
      </c>
      <c r="R18">
        <f t="shared" ref="R18:R26" si="32">C18</f>
        <v>14.501239212875868</v>
      </c>
      <c r="S18" s="55">
        <f t="shared" ref="S18:S26" si="33">F18</f>
        <v>22.010502712266561</v>
      </c>
      <c r="T18">
        <f t="shared" ref="T18:T26" si="34">I18</f>
        <v>16.536681934744006</v>
      </c>
      <c r="U18">
        <f>AVERAGE(R18,T18)</f>
        <v>15.518960573809938</v>
      </c>
      <c r="V18">
        <f t="shared" si="27"/>
        <v>3.9058256224197763</v>
      </c>
      <c r="W18">
        <f>STDEV(R18,T18)/SQRT(2)</f>
        <v>1.0177213609340692</v>
      </c>
      <c r="X18" s="39">
        <f t="shared" ref="X18:X52" si="35">1.96*W18</f>
        <v>1.9947338674307755</v>
      </c>
      <c r="Y18" s="39">
        <f t="shared" ref="Y18:Y26" si="36">(U18/$U$26)*SQRT(((X18/U18)^2)+(($X$26/$U$26)^2))</f>
        <v>1.2316731238879858E-2</v>
      </c>
      <c r="Z18" s="39">
        <f t="shared" si="13"/>
        <v>1.3224251512290233E-3</v>
      </c>
      <c r="AA18" s="39">
        <f>(1/(U18/$U$26))*Y18</f>
        <v>0.23748441694950376</v>
      </c>
      <c r="AB18" s="39">
        <f t="shared" si="15"/>
        <v>6.5712745962263078E-2</v>
      </c>
      <c r="AC18" s="40">
        <f t="shared" ref="AC18:AC26" si="37">(X18^2+$X$26^2)^0.5</f>
        <v>59.787207210557298</v>
      </c>
      <c r="AD18" s="40">
        <f t="shared" si="17"/>
        <v>3.3853865064164208</v>
      </c>
      <c r="AE18" s="40">
        <f>'CIP L-H'!$G$40*'CIP DATOS'!AC18</f>
        <v>166.24467628237704</v>
      </c>
      <c r="AF18" s="40">
        <f>'CIP L-H'!$G$40*'CIP DATOS'!AD18</f>
        <v>9.4134265524037541</v>
      </c>
      <c r="AG18" s="41">
        <f t="shared" ref="AG18:AH26" si="38">(AA18^2+AE18^2)^0.5</f>
        <v>166.24484590831869</v>
      </c>
      <c r="AH18" s="41">
        <f t="shared" si="38"/>
        <v>9.4136559116255096</v>
      </c>
    </row>
    <row r="19" spans="2:34" x14ac:dyDescent="0.2">
      <c r="B19" s="11">
        <v>120</v>
      </c>
      <c r="C19">
        <v>26.086177550837597</v>
      </c>
      <c r="D19">
        <f t="shared" si="28"/>
        <v>2.23907168727172</v>
      </c>
      <c r="F19">
        <v>28.058606066245915</v>
      </c>
      <c r="G19">
        <f t="shared" si="29"/>
        <v>2.5243634563829147</v>
      </c>
      <c r="I19">
        <v>19.844018321692804</v>
      </c>
      <c r="J19">
        <f t="shared" si="30"/>
        <v>2.7245795030534206</v>
      </c>
      <c r="L19">
        <f t="shared" si="24"/>
        <v>2.23907168727172</v>
      </c>
      <c r="M19">
        <f t="shared" si="25"/>
        <v>2.5243634563829147</v>
      </c>
      <c r="N19">
        <f t="shared" ref="N19:N26" si="39">J19</f>
        <v>2.7245795030534206</v>
      </c>
      <c r="O19">
        <f t="shared" si="31"/>
        <v>2.4960048822360181</v>
      </c>
      <c r="P19">
        <f t="shared" si="26"/>
        <v>0.24399306617609684</v>
      </c>
      <c r="R19">
        <f t="shared" si="32"/>
        <v>26.086177550837597</v>
      </c>
      <c r="S19">
        <f t="shared" si="33"/>
        <v>28.058606066245915</v>
      </c>
      <c r="T19" s="55">
        <f>I19</f>
        <v>19.844018321692804</v>
      </c>
      <c r="U19">
        <f>AVERAGE(R19:S19)</f>
        <v>27.072391808541756</v>
      </c>
      <c r="V19">
        <f t="shared" si="27"/>
        <v>3.349373705442714</v>
      </c>
      <c r="W19">
        <f>STDEV(R19:S19)/SQRT(3)</f>
        <v>0.80524056947762102</v>
      </c>
      <c r="X19" s="39">
        <f t="shared" si="35"/>
        <v>1.5782715161761371</v>
      </c>
      <c r="Y19" s="39">
        <f t="shared" si="36"/>
        <v>1.8821271390602429E-2</v>
      </c>
      <c r="Z19" s="39">
        <f t="shared" si="13"/>
        <v>1.0544967624242238E-3</v>
      </c>
      <c r="AA19" s="39">
        <f t="shared" ref="AA19:AA26" si="40">(1/(U19/$U$26))*Y19</f>
        <v>0.20802935036835848</v>
      </c>
      <c r="AB19" s="39">
        <f t="shared" si="15"/>
        <v>3.0037222306542773E-2</v>
      </c>
      <c r="AC19" s="40">
        <f t="shared" si="37"/>
        <v>59.774761595635091</v>
      </c>
      <c r="AD19" s="40">
        <f t="shared" si="17"/>
        <v>3.3276864942565623</v>
      </c>
      <c r="AE19" s="40">
        <f>'CIP L-H'!$G$40*'CIP DATOS'!AC19</f>
        <v>166.21006992893774</v>
      </c>
      <c r="AF19" s="40">
        <f>'CIP L-H'!$G$40*'CIP DATOS'!AD19</f>
        <v>9.2529855435233266</v>
      </c>
      <c r="AG19" s="41">
        <f t="shared" si="38"/>
        <v>166.21020011417164</v>
      </c>
      <c r="AH19" s="41">
        <f t="shared" si="38"/>
        <v>9.2530342971036035</v>
      </c>
    </row>
    <row r="20" spans="2:34" x14ac:dyDescent="0.2">
      <c r="B20" s="11">
        <v>90</v>
      </c>
      <c r="C20">
        <v>28.76168294066709</v>
      </c>
      <c r="D20">
        <f t="shared" si="28"/>
        <v>2.1414332177078039</v>
      </c>
      <c r="F20">
        <v>35.71443309659945</v>
      </c>
      <c r="G20">
        <f t="shared" si="29"/>
        <v>2.2831039574222238</v>
      </c>
      <c r="I20">
        <v>38.56354227182301</v>
      </c>
      <c r="J20">
        <f t="shared" si="30"/>
        <v>2.0601747913591297</v>
      </c>
      <c r="L20">
        <f t="shared" si="24"/>
        <v>2.1414332177078039</v>
      </c>
      <c r="M20">
        <f t="shared" si="25"/>
        <v>2.2831039574222238</v>
      </c>
      <c r="N20">
        <f t="shared" si="39"/>
        <v>2.0601747913591297</v>
      </c>
      <c r="O20">
        <f t="shared" si="31"/>
        <v>2.1615706554963858</v>
      </c>
      <c r="P20">
        <f t="shared" si="26"/>
        <v>0.11282061234948781</v>
      </c>
      <c r="R20">
        <f t="shared" si="32"/>
        <v>28.76168294066709</v>
      </c>
      <c r="S20">
        <f t="shared" si="33"/>
        <v>35.71443309659945</v>
      </c>
      <c r="T20">
        <f t="shared" si="34"/>
        <v>38.56354227182301</v>
      </c>
      <c r="U20">
        <f t="shared" ref="U20:U23" si="41">AVERAGE(R20:T20)</f>
        <v>34.346552769696515</v>
      </c>
      <c r="V20">
        <f t="shared" si="27"/>
        <v>3.1113865040122852</v>
      </c>
      <c r="W20">
        <f t="shared" ref="W20:W26" si="42">STDEV(R20:T20)/SQRT(3)</f>
        <v>2.9110384188743925</v>
      </c>
      <c r="X20" s="39">
        <f t="shared" si="35"/>
        <v>5.7056353009938094</v>
      </c>
      <c r="Y20" s="39">
        <f t="shared" si="36"/>
        <v>2.981581511800703E-2</v>
      </c>
      <c r="Z20" s="39">
        <f t="shared" si="13"/>
        <v>3.7795150671924753E-3</v>
      </c>
      <c r="AA20" s="39">
        <f t="shared" si="40"/>
        <v>0.25975613539406639</v>
      </c>
      <c r="AB20" s="39">
        <f t="shared" si="15"/>
        <v>8.4858249911004532E-2</v>
      </c>
      <c r="AC20" s="40">
        <f t="shared" si="37"/>
        <v>60.025706634942544</v>
      </c>
      <c r="AD20" s="40">
        <f>(W20^2+$W$13^2)^0.5</f>
        <v>4.3473244306685466</v>
      </c>
      <c r="AE20" s="40">
        <f>'CIP L-H'!$G$40*'CIP DATOS'!AC20</f>
        <v>166.90784924947721</v>
      </c>
      <c r="AF20" s="40">
        <f>'CIP L-H'!$G$40*'CIP DATOS'!AD20</f>
        <v>12.088197064059264</v>
      </c>
      <c r="AG20" s="41">
        <f t="shared" si="38"/>
        <v>166.90805137660701</v>
      </c>
      <c r="AH20" s="41">
        <f t="shared" si="38"/>
        <v>12.088494909711009</v>
      </c>
    </row>
    <row r="21" spans="2:34" x14ac:dyDescent="0.2">
      <c r="B21" s="11">
        <v>75</v>
      </c>
      <c r="C21">
        <v>29.858640150497166</v>
      </c>
      <c r="D21">
        <f t="shared" si="28"/>
        <v>2.1040030153283116</v>
      </c>
      <c r="F21">
        <v>49.762875697298313</v>
      </c>
      <c r="G21">
        <f t="shared" si="29"/>
        <v>1.9513896148199388</v>
      </c>
      <c r="I21">
        <v>52.917382191180806</v>
      </c>
      <c r="J21">
        <f t="shared" si="30"/>
        <v>1.7437502500416946</v>
      </c>
      <c r="L21">
        <f t="shared" si="24"/>
        <v>2.1040030153283116</v>
      </c>
      <c r="M21">
        <f t="shared" si="25"/>
        <v>1.9513896148199388</v>
      </c>
      <c r="N21">
        <f t="shared" si="39"/>
        <v>1.7437502500416946</v>
      </c>
      <c r="O21">
        <f t="shared" si="31"/>
        <v>1.9330476267299816</v>
      </c>
      <c r="P21">
        <f t="shared" si="26"/>
        <v>0.18082542719286654</v>
      </c>
      <c r="R21" s="55">
        <f t="shared" si="32"/>
        <v>29.858640150497166</v>
      </c>
      <c r="S21">
        <f t="shared" si="33"/>
        <v>49.762875697298313</v>
      </c>
      <c r="T21">
        <f t="shared" si="34"/>
        <v>52.917382191180806</v>
      </c>
      <c r="U21">
        <f>AVERAGE(S21:T21)</f>
        <v>51.340128944239559</v>
      </c>
      <c r="V21">
        <f t="shared" si="27"/>
        <v>2.7094154745806143</v>
      </c>
      <c r="W21">
        <f>STDEV(S21:T21)/SQRT(2)</f>
        <v>1.5772532469412468</v>
      </c>
      <c r="X21" s="39">
        <f t="shared" si="35"/>
        <v>3.0914163640048438</v>
      </c>
      <c r="Y21" s="39">
        <f t="shared" si="36"/>
        <v>3.5786218993177653E-2</v>
      </c>
      <c r="Z21" s="39">
        <f t="shared" si="13"/>
        <v>2.0642229632660703E-3</v>
      </c>
      <c r="AA21" s="39">
        <f t="shared" si="40"/>
        <v>0.20857446718345485</v>
      </c>
      <c r="AB21" s="39">
        <f t="shared" si="15"/>
        <v>3.1005646752505625E-2</v>
      </c>
      <c r="AC21" s="40">
        <f t="shared" si="37"/>
        <v>59.8338368982959</v>
      </c>
      <c r="AD21" s="40">
        <f t="shared" si="17"/>
        <v>3.5934402505553908</v>
      </c>
      <c r="AE21" s="40">
        <f>'CIP L-H'!$G$40*'CIP DATOS'!AC21</f>
        <v>166.37433507904822</v>
      </c>
      <c r="AF21" s="40">
        <f>'CIP L-H'!$G$40*'CIP DATOS'!AD21</f>
        <v>9.9919420736574711</v>
      </c>
      <c r="AG21" s="41">
        <f t="shared" si="38"/>
        <v>166.37446581823718</v>
      </c>
      <c r="AH21" s="41">
        <f t="shared" si="38"/>
        <v>9.9919901798118733</v>
      </c>
    </row>
    <row r="22" spans="2:34" x14ac:dyDescent="0.2">
      <c r="B22" s="11">
        <v>60</v>
      </c>
      <c r="C22">
        <v>37.457075457612966</v>
      </c>
      <c r="D22">
        <f t="shared" si="28"/>
        <v>1.8772816426662169</v>
      </c>
      <c r="F22">
        <v>71.77337840956487</v>
      </c>
      <c r="G22">
        <f t="shared" si="29"/>
        <v>1.585145219865056</v>
      </c>
      <c r="I22">
        <v>58.109900318690421</v>
      </c>
      <c r="J22">
        <f t="shared" si="30"/>
        <v>1.6501460700824699</v>
      </c>
      <c r="L22">
        <f t="shared" si="24"/>
        <v>1.8772816426662169</v>
      </c>
      <c r="M22">
        <f t="shared" si="25"/>
        <v>1.585145219865056</v>
      </c>
      <c r="N22">
        <f t="shared" si="39"/>
        <v>1.6501460700824699</v>
      </c>
      <c r="O22">
        <f t="shared" si="31"/>
        <v>1.7041909775379143</v>
      </c>
      <c r="P22">
        <f t="shared" si="26"/>
        <v>0.15338370642987254</v>
      </c>
      <c r="R22" s="55">
        <f t="shared" si="32"/>
        <v>37.457075457612966</v>
      </c>
      <c r="S22">
        <f t="shared" si="33"/>
        <v>71.77337840956487</v>
      </c>
      <c r="T22">
        <f t="shared" si="34"/>
        <v>58.109900318690421</v>
      </c>
      <c r="U22">
        <f>AVERAGE(S22:T22)</f>
        <v>64.941639364127639</v>
      </c>
      <c r="V22">
        <f t="shared" si="27"/>
        <v>2.4743991509499788</v>
      </c>
      <c r="W22">
        <f>STDEV(S22:T22)/SQRT(2)</f>
        <v>6.8317390454372759</v>
      </c>
      <c r="X22" s="39">
        <f t="shared" si="35"/>
        <v>13.390208529057061</v>
      </c>
      <c r="Y22" s="39">
        <f t="shared" si="36"/>
        <v>6.2296159901932387E-2</v>
      </c>
      <c r="Z22" s="39">
        <f t="shared" si="13"/>
        <v>8.8661246728751197E-3</v>
      </c>
      <c r="AA22" s="39">
        <f t="shared" si="40"/>
        <v>0.28703860551602967</v>
      </c>
      <c r="AB22" s="39">
        <f t="shared" si="15"/>
        <v>0.10528141934239586</v>
      </c>
      <c r="AC22" s="40">
        <f t="shared" si="37"/>
        <v>61.235846260894206</v>
      </c>
      <c r="AD22" s="40">
        <f>(W22^2+$W$13^2)^0.5</f>
        <v>7.5563048783302218</v>
      </c>
      <c r="AE22" s="40">
        <f>'CIP L-H'!$G$40*'CIP DATOS'!AC22</f>
        <v>170.27277094023796</v>
      </c>
      <c r="AF22" s="40">
        <f>'CIP L-H'!$G$40*'CIP DATOS'!AD22</f>
        <v>21.011107843939122</v>
      </c>
      <c r="AG22" s="41">
        <f t="shared" si="38"/>
        <v>170.27301287881119</v>
      </c>
      <c r="AH22" s="41">
        <f t="shared" si="38"/>
        <v>21.011371611746313</v>
      </c>
    </row>
    <row r="23" spans="2:34" x14ac:dyDescent="0.2">
      <c r="B23" s="11">
        <v>45</v>
      </c>
      <c r="C23">
        <v>80.26516169488491</v>
      </c>
      <c r="D23">
        <f t="shared" si="28"/>
        <v>1.1151415906193203</v>
      </c>
      <c r="F23">
        <v>86.128054091477836</v>
      </c>
      <c r="G23">
        <f t="shared" si="29"/>
        <v>1.4028236630711013</v>
      </c>
      <c r="I23">
        <v>85.329278783279037</v>
      </c>
      <c r="J23">
        <f t="shared" si="30"/>
        <v>1.2659644803539043</v>
      </c>
      <c r="L23">
        <f t="shared" si="24"/>
        <v>1.1151415906193203</v>
      </c>
      <c r="M23">
        <f t="shared" si="25"/>
        <v>1.4028236630711013</v>
      </c>
      <c r="N23">
        <f t="shared" si="39"/>
        <v>1.2659644803539043</v>
      </c>
      <c r="O23">
        <f t="shared" si="31"/>
        <v>1.2613099113481088</v>
      </c>
      <c r="P23">
        <f t="shared" si="26"/>
        <v>0.14389750679567118</v>
      </c>
      <c r="R23">
        <f t="shared" si="32"/>
        <v>80.26516169488491</v>
      </c>
      <c r="S23">
        <f t="shared" si="33"/>
        <v>86.128054091477836</v>
      </c>
      <c r="T23">
        <f t="shared" si="34"/>
        <v>85.329278783279037</v>
      </c>
      <c r="U23">
        <f t="shared" si="41"/>
        <v>83.907498189880599</v>
      </c>
      <c r="V23">
        <f t="shared" si="27"/>
        <v>2.2181731815564287</v>
      </c>
      <c r="W23">
        <f t="shared" si="42"/>
        <v>1.8357080246533495</v>
      </c>
      <c r="X23" s="39">
        <f t="shared" si="35"/>
        <v>3.597987728320565</v>
      </c>
      <c r="Y23" s="39">
        <f t="shared" si="36"/>
        <v>5.7273164004806851E-2</v>
      </c>
      <c r="Z23" s="39">
        <f t="shared" si="13"/>
        <v>2.4236703407774889E-3</v>
      </c>
      <c r="AA23" s="39">
        <f t="shared" si="40"/>
        <v>0.20424558917316815</v>
      </c>
      <c r="AB23" s="39">
        <f t="shared" si="15"/>
        <v>2.2274805520696675E-2</v>
      </c>
      <c r="AC23" s="40">
        <f t="shared" si="37"/>
        <v>59.862147460055127</v>
      </c>
      <c r="AD23" s="40">
        <f t="shared" si="17"/>
        <v>3.7141498328825651</v>
      </c>
      <c r="AE23" s="40">
        <f>'CIP L-H'!$G$40*'CIP DATOS'!AC23</f>
        <v>166.45305560129071</v>
      </c>
      <c r="AF23" s="40">
        <f>'CIP L-H'!$G$40*'CIP DATOS'!AD23</f>
        <v>10.3275878810873</v>
      </c>
      <c r="AG23" s="41">
        <f t="shared" si="38"/>
        <v>166.45318091063046</v>
      </c>
      <c r="AH23" s="41">
        <f t="shared" si="38"/>
        <v>10.327611902494315</v>
      </c>
    </row>
    <row r="24" spans="2:34" x14ac:dyDescent="0.2">
      <c r="B24" s="11">
        <v>30</v>
      </c>
      <c r="C24">
        <v>80.26516169488491</v>
      </c>
      <c r="D24">
        <f t="shared" si="28"/>
        <v>1.1151415906193203</v>
      </c>
      <c r="F24">
        <v>146.41769195551234</v>
      </c>
      <c r="G24">
        <f t="shared" si="29"/>
        <v>0.8721954120089308</v>
      </c>
      <c r="I24">
        <v>76.234103719169582</v>
      </c>
      <c r="J24">
        <f t="shared" si="30"/>
        <v>1.3786732028388218</v>
      </c>
      <c r="L24">
        <f t="shared" si="24"/>
        <v>1.1151415906193203</v>
      </c>
      <c r="M24">
        <f t="shared" si="25"/>
        <v>0.8721954120089308</v>
      </c>
      <c r="N24">
        <f t="shared" si="39"/>
        <v>1.3786732028388218</v>
      </c>
      <c r="O24">
        <f t="shared" si="31"/>
        <v>1.1220034018223577</v>
      </c>
      <c r="P24">
        <f t="shared" si="26"/>
        <v>0.25330860919187326</v>
      </c>
      <c r="R24">
        <f t="shared" si="32"/>
        <v>80.26516169488491</v>
      </c>
      <c r="S24" s="55">
        <f t="shared" si="33"/>
        <v>146.41769195551234</v>
      </c>
      <c r="T24">
        <f t="shared" si="34"/>
        <v>76.234103719169582</v>
      </c>
      <c r="U24">
        <f>AVERAGE(R24,T24)</f>
        <v>78.249632707027246</v>
      </c>
      <c r="V24">
        <f t="shared" si="27"/>
        <v>2.2879840260257076</v>
      </c>
      <c r="W24">
        <f>STDEV(R24,T24)/SQRT(2)</f>
        <v>2.0155289878576639</v>
      </c>
      <c r="X24" s="39">
        <f t="shared" si="35"/>
        <v>3.9504368162010213</v>
      </c>
      <c r="Y24" s="39">
        <f t="shared" si="36"/>
        <v>5.3863858468298664E-2</v>
      </c>
      <c r="Z24" s="39">
        <f>(U24/$U$13)*SQRT(((W24/U24)^2)+(($W$13/$U$13)^2))</f>
        <v>2.6479581279142735E-3</v>
      </c>
      <c r="AA24" s="39">
        <f t="shared" si="40"/>
        <v>0.20597638666230417</v>
      </c>
      <c r="AB24" s="39">
        <f t="shared" si="15"/>
        <v>2.6095760058184564E-2</v>
      </c>
      <c r="AC24" s="40">
        <f t="shared" si="37"/>
        <v>59.884364686243728</v>
      </c>
      <c r="AD24" s="40">
        <f t="shared" si="17"/>
        <v>3.8062372666741919</v>
      </c>
      <c r="AE24" s="40">
        <f>'CIP L-H'!$G$40*'CIP DATOS'!AC24</f>
        <v>166.51483295714894</v>
      </c>
      <c r="AF24" s="40">
        <f>'CIP L-H'!$G$40*'CIP DATOS'!AD24</f>
        <v>10.583646766166993</v>
      </c>
      <c r="AG24" s="41">
        <f t="shared" si="38"/>
        <v>166.5149603519728</v>
      </c>
      <c r="AH24" s="41">
        <f t="shared" si="38"/>
        <v>10.583678937859466</v>
      </c>
    </row>
    <row r="25" spans="2:34" x14ac:dyDescent="0.2">
      <c r="B25" s="11">
        <v>15</v>
      </c>
      <c r="C25">
        <v>141.80178566096336</v>
      </c>
      <c r="D25">
        <f t="shared" si="28"/>
        <v>0.54604705872935377</v>
      </c>
      <c r="F25">
        <v>104.31064328856762</v>
      </c>
      <c r="G25">
        <f t="shared" si="29"/>
        <v>1.2112854511722224</v>
      </c>
      <c r="I25">
        <v>110.79576896278485</v>
      </c>
      <c r="J25">
        <f t="shared" si="30"/>
        <v>1.0047935334504547</v>
      </c>
      <c r="L25">
        <f t="shared" si="24"/>
        <v>0.54604705872935377</v>
      </c>
      <c r="M25">
        <f t="shared" si="25"/>
        <v>1.2112854511722224</v>
      </c>
      <c r="N25">
        <f t="shared" si="39"/>
        <v>1.0047935334504547</v>
      </c>
      <c r="O25">
        <f t="shared" si="31"/>
        <v>0.92070868111734361</v>
      </c>
      <c r="P25">
        <f t="shared" si="26"/>
        <v>0.34049702860510278</v>
      </c>
      <c r="R25" s="98">
        <f t="shared" si="32"/>
        <v>141.80178566096336</v>
      </c>
      <c r="S25">
        <f t="shared" si="33"/>
        <v>104.31064328856762</v>
      </c>
      <c r="T25">
        <f t="shared" si="34"/>
        <v>110.79576896278485</v>
      </c>
      <c r="U25">
        <f>AVERAGE(R25:T25)</f>
        <v>118.96939930410527</v>
      </c>
      <c r="V25">
        <f t="shared" si="27"/>
        <v>1.8690218502569123</v>
      </c>
      <c r="W25">
        <f t="shared" ref="W25" si="43">STDEV(R25:T25)/SQRT(3)</f>
        <v>11.568673415942838</v>
      </c>
      <c r="X25" s="39">
        <f t="shared" si="35"/>
        <v>22.674599895247962</v>
      </c>
      <c r="Y25" s="39">
        <f t="shared" si="36"/>
        <v>0.10975351175065835</v>
      </c>
      <c r="Z25" s="39">
        <f t="shared" si="13"/>
        <v>1.5015666919883123E-2</v>
      </c>
      <c r="AA25" s="39">
        <f t="shared" si="40"/>
        <v>0.27604853014105085</v>
      </c>
      <c r="AB25" s="39">
        <f t="shared" si="15"/>
        <v>9.7330846889147934E-2</v>
      </c>
      <c r="AC25" s="40">
        <f t="shared" si="37"/>
        <v>63.91141262126677</v>
      </c>
      <c r="AD25" s="40">
        <f t="shared" si="17"/>
        <v>12.010798875764568</v>
      </c>
      <c r="AE25" s="40">
        <f>'CIP L-H'!$G$40*'CIP DATOS'!AC25</f>
        <v>177.71246722652998</v>
      </c>
      <c r="AF25" s="40">
        <f>'CIP L-H'!$G$40*'CIP DATOS'!AD25</f>
        <v>33.397301264837026</v>
      </c>
      <c r="AG25" s="41">
        <f t="shared" si="38"/>
        <v>177.71268162551451</v>
      </c>
      <c r="AH25" s="41">
        <f t="shared" si="38"/>
        <v>33.397443091770377</v>
      </c>
    </row>
    <row r="26" spans="2:34" x14ac:dyDescent="0.2">
      <c r="B26" s="11">
        <v>0</v>
      </c>
      <c r="C26">
        <v>244.80874316939901</v>
      </c>
      <c r="D26">
        <f t="shared" si="28"/>
        <v>0</v>
      </c>
      <c r="F26">
        <v>350.2540866386766</v>
      </c>
      <c r="G26">
        <f t="shared" si="29"/>
        <v>0</v>
      </c>
      <c r="I26">
        <v>302.6212794058153</v>
      </c>
      <c r="J26">
        <f t="shared" si="30"/>
        <v>0</v>
      </c>
      <c r="L26">
        <f t="shared" si="24"/>
        <v>0</v>
      </c>
      <c r="M26">
        <f t="shared" si="25"/>
        <v>0</v>
      </c>
      <c r="N26">
        <f t="shared" si="39"/>
        <v>0</v>
      </c>
      <c r="O26">
        <f t="shared" si="31"/>
        <v>0</v>
      </c>
      <c r="P26">
        <f t="shared" si="26"/>
        <v>0</v>
      </c>
      <c r="R26">
        <f t="shared" si="32"/>
        <v>244.80874316939901</v>
      </c>
      <c r="S26">
        <f t="shared" si="33"/>
        <v>350.2540866386766</v>
      </c>
      <c r="T26">
        <f t="shared" si="34"/>
        <v>302.6212794058153</v>
      </c>
      <c r="U26">
        <f>AVERAGE(R26:T26)</f>
        <v>299.2280364046303</v>
      </c>
      <c r="V26">
        <f t="shared" si="27"/>
        <v>0.94668221532379226</v>
      </c>
      <c r="W26">
        <f t="shared" si="42"/>
        <v>30.486694848667547</v>
      </c>
      <c r="X26" s="39">
        <f t="shared" si="35"/>
        <v>59.753921903388388</v>
      </c>
      <c r="Y26" s="39">
        <f t="shared" si="36"/>
        <v>0.28240938842536534</v>
      </c>
      <c r="Z26" s="39">
        <f t="shared" si="13"/>
        <v>3.956722661679675E-2</v>
      </c>
      <c r="AA26" s="39">
        <f t="shared" si="40"/>
        <v>0.28240938842536534</v>
      </c>
      <c r="AB26" s="39">
        <f t="shared" si="15"/>
        <v>0.10197048210126304</v>
      </c>
      <c r="AC26" s="40">
        <f t="shared" si="37"/>
        <v>84.504806760754605</v>
      </c>
      <c r="AD26" s="40">
        <f t="shared" si="17"/>
        <v>30.657195694079672</v>
      </c>
      <c r="AE26" s="40">
        <f>'CIP L-H'!$G$40*'CIP DATOS'!AC26</f>
        <v>234.974585696416</v>
      </c>
      <c r="AF26" s="40">
        <f>'CIP L-H'!$G$40*'CIP DATOS'!AD26</f>
        <v>85.245587002227381</v>
      </c>
      <c r="AG26" s="41">
        <f t="shared" si="38"/>
        <v>234.97475540633087</v>
      </c>
      <c r="AH26" s="41">
        <f t="shared" si="38"/>
        <v>85.245647990578021</v>
      </c>
    </row>
    <row r="27" spans="2:34" x14ac:dyDescent="0.2">
      <c r="Z27" s="39"/>
      <c r="AB27" s="39"/>
      <c r="AD27" s="40"/>
      <c r="AE27" s="40"/>
      <c r="AF27" s="40"/>
    </row>
    <row r="28" spans="2:34" x14ac:dyDescent="0.2">
      <c r="Z28" s="39"/>
      <c r="AB28" s="39"/>
      <c r="AD28" s="40"/>
      <c r="AE28" s="40"/>
      <c r="AF28" s="40"/>
    </row>
    <row r="29" spans="2:34" x14ac:dyDescent="0.2">
      <c r="B29" t="s">
        <v>1</v>
      </c>
      <c r="D29" t="s">
        <v>22</v>
      </c>
      <c r="G29" t="s">
        <v>22</v>
      </c>
      <c r="J29" t="s">
        <v>22</v>
      </c>
      <c r="L29" s="37" t="s">
        <v>23</v>
      </c>
      <c r="M29" s="37" t="s">
        <v>24</v>
      </c>
      <c r="N29" s="37" t="s">
        <v>25</v>
      </c>
      <c r="O29" t="s">
        <v>26</v>
      </c>
      <c r="P29" t="s">
        <v>0</v>
      </c>
      <c r="R29" t="s">
        <v>27</v>
      </c>
      <c r="S29" t="s">
        <v>28</v>
      </c>
      <c r="T29" t="s">
        <v>29</v>
      </c>
      <c r="U29" t="s">
        <v>26</v>
      </c>
      <c r="V29" t="s">
        <v>22</v>
      </c>
      <c r="X29" s="54" t="s">
        <v>31</v>
      </c>
      <c r="Z29" s="39"/>
      <c r="AB29" s="39"/>
      <c r="AD29" s="40"/>
      <c r="AE29" s="40"/>
      <c r="AF29" s="40"/>
    </row>
    <row r="30" spans="2:34" x14ac:dyDescent="0.2">
      <c r="B30" s="11">
        <v>1440</v>
      </c>
      <c r="C30">
        <v>0</v>
      </c>
      <c r="D30" t="e">
        <f>LN($C$39/C30)</f>
        <v>#DIV/0!</v>
      </c>
      <c r="F30">
        <v>0</v>
      </c>
      <c r="G30" t="e">
        <f>LN($F$39/F30)</f>
        <v>#DIV/0!</v>
      </c>
      <c r="I30">
        <v>0</v>
      </c>
      <c r="J30" t="e">
        <f>LN($I$39/I30)</f>
        <v>#DIV/0!</v>
      </c>
      <c r="L30" t="e">
        <f>D30</f>
        <v>#DIV/0!</v>
      </c>
      <c r="M30" t="e">
        <f>G30</f>
        <v>#DIV/0!</v>
      </c>
      <c r="N30" t="e">
        <f>J30</f>
        <v>#DIV/0!</v>
      </c>
      <c r="O30" t="e">
        <f>AVERAGE(L30:N30)</f>
        <v>#DIV/0!</v>
      </c>
      <c r="P30" t="e">
        <f>STDEV(L30:N30)</f>
        <v>#DIV/0!</v>
      </c>
      <c r="R30">
        <f>C30</f>
        <v>0</v>
      </c>
      <c r="S30">
        <f>F30</f>
        <v>0</v>
      </c>
      <c r="T30">
        <f>I30</f>
        <v>0</v>
      </c>
      <c r="U30">
        <f>AVERAGE(R30:T30)</f>
        <v>0</v>
      </c>
      <c r="V30" t="e">
        <f>LN(($U$13)/(U30))</f>
        <v>#DIV/0!</v>
      </c>
      <c r="W30">
        <f>STDEV(R30:T30)/SQRT(3)</f>
        <v>0</v>
      </c>
      <c r="X30" s="39">
        <f t="shared" si="35"/>
        <v>0</v>
      </c>
      <c r="Y30" s="39" t="e">
        <f>(U30/$U$39)*SQRT(((X30/U30)^2)+(($X$39/$U$39)^2))</f>
        <v>#DIV/0!</v>
      </c>
      <c r="Z30" s="39" t="e">
        <f t="shared" si="13"/>
        <v>#DIV/0!</v>
      </c>
      <c r="AA30" s="39" t="e">
        <f>(1/(U30/$U$39))*Y30</f>
        <v>#DIV/0!</v>
      </c>
      <c r="AB30" s="39" t="e">
        <f t="shared" si="15"/>
        <v>#DIV/0!</v>
      </c>
      <c r="AC30" s="40">
        <f>(X30^2+$X$39^2)^0.5</f>
        <v>4.0660071723469198</v>
      </c>
      <c r="AD30" s="40">
        <f t="shared" si="17"/>
        <v>3.2287900255861923</v>
      </c>
      <c r="AE30" s="40"/>
      <c r="AF30" s="40"/>
      <c r="AG30" s="41"/>
      <c r="AH30" s="41"/>
    </row>
    <row r="31" spans="2:34" x14ac:dyDescent="0.2">
      <c r="B31" s="11">
        <v>150</v>
      </c>
      <c r="C31">
        <v>0</v>
      </c>
      <c r="D31" t="e">
        <f t="shared" ref="D31:D39" si="44">LN($C$39/C31)</f>
        <v>#DIV/0!</v>
      </c>
      <c r="F31">
        <v>0</v>
      </c>
      <c r="G31" t="e">
        <f t="shared" ref="G31:G39" si="45">LN($F$39/F31)</f>
        <v>#DIV/0!</v>
      </c>
      <c r="I31">
        <v>0</v>
      </c>
      <c r="J31" t="e">
        <f t="shared" ref="J31:J39" si="46">LN($I$39/I31)</f>
        <v>#DIV/0!</v>
      </c>
      <c r="L31" t="e">
        <f>D31</f>
        <v>#DIV/0!</v>
      </c>
      <c r="M31" t="e">
        <f>G31</f>
        <v>#DIV/0!</v>
      </c>
      <c r="N31" t="e">
        <f>J31</f>
        <v>#DIV/0!</v>
      </c>
      <c r="O31" t="e">
        <f>AVERAGE(L31:N31)</f>
        <v>#DIV/0!</v>
      </c>
      <c r="P31" t="e">
        <f>STDEV(L31:N31)</f>
        <v>#DIV/0!</v>
      </c>
      <c r="R31">
        <f t="shared" ref="R31:R39" si="47">C31</f>
        <v>0</v>
      </c>
      <c r="S31">
        <f t="shared" ref="S31:S39" si="48">F31</f>
        <v>0</v>
      </c>
      <c r="T31">
        <f t="shared" ref="T31:T39" si="49">I31</f>
        <v>0</v>
      </c>
      <c r="U31">
        <f t="shared" ref="U31:U39" si="50">AVERAGE(R31:T31)</f>
        <v>0</v>
      </c>
      <c r="V31" t="e">
        <f t="shared" ref="V31:V39" si="51">LN(($U$13)/(U31))</f>
        <v>#DIV/0!</v>
      </c>
      <c r="W31">
        <f t="shared" ref="W31:W39" si="52">STDEV(R31:T31)/SQRT(3)</f>
        <v>0</v>
      </c>
      <c r="X31" s="39">
        <f t="shared" si="35"/>
        <v>0</v>
      </c>
      <c r="Y31" s="39" t="e">
        <f t="shared" ref="Y31:Y39" si="53">(U31/$U$39)*SQRT(((X31/U31)^2)+(($X$39/$U$39)^2))</f>
        <v>#DIV/0!</v>
      </c>
      <c r="Z31" s="39" t="e">
        <f t="shared" si="13"/>
        <v>#DIV/0!</v>
      </c>
      <c r="AA31" s="39" t="e">
        <f t="shared" ref="AA31:AA39" si="54">(1/(U31/$U$39))*Y31</f>
        <v>#DIV/0!</v>
      </c>
      <c r="AB31" s="39" t="e">
        <f t="shared" si="15"/>
        <v>#DIV/0!</v>
      </c>
      <c r="AC31" s="40">
        <f t="shared" ref="AC31:AC39" si="55">(X31^2+$X$39^2)^0.5</f>
        <v>4.0660071723469198</v>
      </c>
      <c r="AD31" s="40">
        <f t="shared" si="17"/>
        <v>3.2287900255861923</v>
      </c>
      <c r="AE31" s="40"/>
      <c r="AF31" s="40"/>
      <c r="AG31" s="41"/>
      <c r="AH31" s="41"/>
    </row>
    <row r="32" spans="2:34" x14ac:dyDescent="0.2">
      <c r="B32" s="11">
        <v>120</v>
      </c>
      <c r="C32">
        <v>0</v>
      </c>
      <c r="D32" t="e">
        <f t="shared" si="44"/>
        <v>#DIV/0!</v>
      </c>
      <c r="F32">
        <v>0</v>
      </c>
      <c r="G32" t="e">
        <f t="shared" si="45"/>
        <v>#DIV/0!</v>
      </c>
      <c r="I32">
        <v>0</v>
      </c>
      <c r="J32" t="e">
        <f t="shared" si="46"/>
        <v>#DIV/0!</v>
      </c>
      <c r="L32" t="e">
        <f>D32</f>
        <v>#DIV/0!</v>
      </c>
      <c r="M32" t="e">
        <f>G32</f>
        <v>#DIV/0!</v>
      </c>
      <c r="N32" t="e">
        <f>J32</f>
        <v>#DIV/0!</v>
      </c>
      <c r="O32" t="e">
        <f>AVERAGE(L32:N32)</f>
        <v>#DIV/0!</v>
      </c>
      <c r="P32" t="e">
        <f>STDEV(L32:N32)</f>
        <v>#DIV/0!</v>
      </c>
      <c r="R32">
        <f t="shared" si="47"/>
        <v>0</v>
      </c>
      <c r="S32">
        <f t="shared" si="48"/>
        <v>0</v>
      </c>
      <c r="T32">
        <f t="shared" si="49"/>
        <v>0</v>
      </c>
      <c r="U32">
        <f t="shared" si="50"/>
        <v>0</v>
      </c>
      <c r="V32" t="e">
        <f t="shared" si="51"/>
        <v>#DIV/0!</v>
      </c>
      <c r="W32">
        <f t="shared" si="52"/>
        <v>0</v>
      </c>
      <c r="X32" s="39">
        <f t="shared" si="35"/>
        <v>0</v>
      </c>
      <c r="Y32" s="39" t="e">
        <f t="shared" si="53"/>
        <v>#DIV/0!</v>
      </c>
      <c r="Z32" s="39" t="e">
        <f t="shared" si="13"/>
        <v>#DIV/0!</v>
      </c>
      <c r="AA32" s="39" t="e">
        <f t="shared" si="54"/>
        <v>#DIV/0!</v>
      </c>
      <c r="AB32" s="39" t="e">
        <f t="shared" si="15"/>
        <v>#DIV/0!</v>
      </c>
      <c r="AC32" s="40">
        <f t="shared" si="55"/>
        <v>4.0660071723469198</v>
      </c>
      <c r="AD32" s="40">
        <f t="shared" si="17"/>
        <v>3.2287900255861923</v>
      </c>
      <c r="AE32" s="40"/>
      <c r="AF32" s="40"/>
      <c r="AG32" s="41"/>
      <c r="AH32" s="41"/>
    </row>
    <row r="33" spans="2:34" x14ac:dyDescent="0.2">
      <c r="B33" s="11">
        <v>90</v>
      </c>
      <c r="C33">
        <v>0</v>
      </c>
      <c r="D33" t="e">
        <f t="shared" si="44"/>
        <v>#DIV/0!</v>
      </c>
      <c r="F33">
        <v>0</v>
      </c>
      <c r="G33" t="e">
        <f t="shared" si="45"/>
        <v>#DIV/0!</v>
      </c>
      <c r="I33">
        <v>0</v>
      </c>
      <c r="J33" t="e">
        <f t="shared" si="46"/>
        <v>#DIV/0!</v>
      </c>
      <c r="L33" t="e">
        <f>D33</f>
        <v>#DIV/0!</v>
      </c>
      <c r="M33" t="e">
        <f>G33</f>
        <v>#DIV/0!</v>
      </c>
      <c r="N33" t="e">
        <f>J33</f>
        <v>#DIV/0!</v>
      </c>
      <c r="O33" t="e">
        <f>AVERAGE(L33:N33)</f>
        <v>#DIV/0!</v>
      </c>
      <c r="P33" t="e">
        <f>STDEV(L33:N33)</f>
        <v>#DIV/0!</v>
      </c>
      <c r="R33">
        <f t="shared" si="47"/>
        <v>0</v>
      </c>
      <c r="S33">
        <f t="shared" si="48"/>
        <v>0</v>
      </c>
      <c r="T33">
        <f t="shared" si="49"/>
        <v>0</v>
      </c>
      <c r="U33">
        <f t="shared" si="50"/>
        <v>0</v>
      </c>
      <c r="V33" t="e">
        <f t="shared" si="51"/>
        <v>#DIV/0!</v>
      </c>
      <c r="W33">
        <f t="shared" si="52"/>
        <v>0</v>
      </c>
      <c r="X33" s="39">
        <f t="shared" si="35"/>
        <v>0</v>
      </c>
      <c r="Y33" s="39" t="e">
        <f t="shared" si="53"/>
        <v>#DIV/0!</v>
      </c>
      <c r="Z33" s="39" t="e">
        <f t="shared" si="13"/>
        <v>#DIV/0!</v>
      </c>
      <c r="AA33" s="39" t="e">
        <f t="shared" si="54"/>
        <v>#DIV/0!</v>
      </c>
      <c r="AB33" s="39" t="e">
        <f t="shared" si="15"/>
        <v>#DIV/0!</v>
      </c>
      <c r="AC33" s="40">
        <f t="shared" si="55"/>
        <v>4.0660071723469198</v>
      </c>
      <c r="AD33" s="40">
        <f t="shared" si="17"/>
        <v>3.2287900255861923</v>
      </c>
      <c r="AE33" s="40"/>
      <c r="AF33" s="40"/>
      <c r="AG33" s="41"/>
      <c r="AH33" s="41"/>
    </row>
    <row r="34" spans="2:34" x14ac:dyDescent="0.2">
      <c r="B34" s="11">
        <v>75</v>
      </c>
      <c r="C34">
        <v>1.8969688801530418</v>
      </c>
      <c r="D34">
        <f t="shared" si="44"/>
        <v>3.6834401596344928</v>
      </c>
      <c r="F34">
        <v>0.35142227017535899</v>
      </c>
      <c r="G34">
        <f t="shared" si="45"/>
        <v>5.271269235689358</v>
      </c>
      <c r="I34">
        <v>1.1409068446125348</v>
      </c>
      <c r="J34">
        <f>LN($I$39/I34)</f>
        <v>4.1275936507383628</v>
      </c>
      <c r="L34">
        <f t="shared" ref="L34:L39" si="56">D34</f>
        <v>3.6834401596344928</v>
      </c>
      <c r="M34">
        <f t="shared" ref="M34:M39" si="57">G34</f>
        <v>5.271269235689358</v>
      </c>
      <c r="N34">
        <f t="shared" ref="N34:N39" si="58">J34</f>
        <v>4.1275936507383628</v>
      </c>
      <c r="O34">
        <f t="shared" ref="O34:O39" si="59">AVERAGE(L34:N34)</f>
        <v>4.3607676820207386</v>
      </c>
      <c r="P34">
        <f t="shared" ref="P34:P39" si="60">STDEV(L34:N34)</f>
        <v>0.81919343890174301</v>
      </c>
      <c r="R34">
        <f t="shared" si="47"/>
        <v>1.8969688801530418</v>
      </c>
      <c r="S34" s="55">
        <f t="shared" si="48"/>
        <v>0.35142227017535899</v>
      </c>
      <c r="T34">
        <f t="shared" si="49"/>
        <v>1.1409068446125348</v>
      </c>
      <c r="U34">
        <f t="shared" ref="U34:U38" si="61">AVERAGE(R34,T34)</f>
        <v>1.5189378623827883</v>
      </c>
      <c r="V34">
        <f t="shared" si="51"/>
        <v>6.2298768457418952</v>
      </c>
      <c r="W34">
        <f t="shared" ref="W34:W38" si="62">STDEV(R34,T34)/SQRT(2)</f>
        <v>0.37803101777025394</v>
      </c>
      <c r="X34" s="39">
        <f t="shared" si="35"/>
        <v>0.74094079482969766</v>
      </c>
      <c r="Y34" s="39">
        <f t="shared" si="53"/>
        <v>1.0425859484299973E-2</v>
      </c>
      <c r="Z34" s="39">
        <f t="shared" si="13"/>
        <v>4.902840215267718E-4</v>
      </c>
      <c r="AA34" s="39">
        <f t="shared" si="54"/>
        <v>0.49110103704840363</v>
      </c>
      <c r="AB34" s="39">
        <f t="shared" si="15"/>
        <v>0.24891374372543623</v>
      </c>
      <c r="AC34" s="40">
        <f t="shared" si="55"/>
        <v>4.1329659552214384</v>
      </c>
      <c r="AD34" s="40">
        <f>(W34^2+$W$13^2)^0.5</f>
        <v>3.2508448870595625</v>
      </c>
      <c r="AE34" s="40">
        <f>'CIP L-H'!$G$40*'CIP DATOS'!AC34</f>
        <v>11.492150568132695</v>
      </c>
      <c r="AF34" s="40">
        <f>'CIP L-H'!$G$40*'CIP DATOS'!AD34</f>
        <v>9.0393192976909393</v>
      </c>
      <c r="AG34" s="41">
        <f t="shared" ref="AG34:AH39" si="63">(AA34^2+AE34^2)^0.5</f>
        <v>11.502639041073255</v>
      </c>
      <c r="AH34" s="41">
        <f t="shared" si="63"/>
        <v>9.0427457897158217</v>
      </c>
    </row>
    <row r="35" spans="2:34" x14ac:dyDescent="0.2">
      <c r="B35" s="11">
        <v>60</v>
      </c>
      <c r="C35">
        <v>9.5289877017498998</v>
      </c>
      <c r="D35">
        <f t="shared" si="44"/>
        <v>2.069358955931381</v>
      </c>
      <c r="F35">
        <v>1.9487962255178999</v>
      </c>
      <c r="G35">
        <f t="shared" si="45"/>
        <v>3.5582906443144173</v>
      </c>
      <c r="I35">
        <v>8.6470629520475359</v>
      </c>
      <c r="J35">
        <f t="shared" si="46"/>
        <v>2.1021973544802592</v>
      </c>
      <c r="L35">
        <f t="shared" si="56"/>
        <v>2.069358955931381</v>
      </c>
      <c r="M35">
        <f t="shared" si="57"/>
        <v>3.5582906443144173</v>
      </c>
      <c r="N35">
        <f t="shared" si="58"/>
        <v>2.1021973544802592</v>
      </c>
      <c r="O35">
        <f t="shared" si="59"/>
        <v>2.5766156515753522</v>
      </c>
      <c r="P35">
        <f t="shared" si="60"/>
        <v>0.85031402060165329</v>
      </c>
      <c r="R35">
        <f t="shared" si="47"/>
        <v>9.5289877017498998</v>
      </c>
      <c r="S35" s="55">
        <f t="shared" si="48"/>
        <v>1.9487962255178999</v>
      </c>
      <c r="T35">
        <f t="shared" si="49"/>
        <v>8.6470629520475359</v>
      </c>
      <c r="U35">
        <f t="shared" si="61"/>
        <v>9.0880253268987179</v>
      </c>
      <c r="V35">
        <f t="shared" si="51"/>
        <v>4.4409305127694827</v>
      </c>
      <c r="W35">
        <f t="shared" si="62"/>
        <v>0.44096237485118189</v>
      </c>
      <c r="X35" s="39">
        <f>1.96*W35</f>
        <v>0.86428625470831655</v>
      </c>
      <c r="Y35" s="39">
        <f t="shared" si="53"/>
        <v>1.4072164212201673E-2</v>
      </c>
      <c r="Z35" s="39">
        <f t="shared" si="13"/>
        <v>5.7394637378659552E-4</v>
      </c>
      <c r="AA35" s="39">
        <f t="shared" si="54"/>
        <v>0.11078739670877495</v>
      </c>
      <c r="AB35" s="39">
        <f t="shared" si="15"/>
        <v>4.8701566713699324E-2</v>
      </c>
      <c r="AC35" s="40">
        <f t="shared" si="55"/>
        <v>4.1568503768663989</v>
      </c>
      <c r="AD35" s="40">
        <f t="shared" si="17"/>
        <v>3.2587624714543524</v>
      </c>
      <c r="AE35" s="40">
        <f>'CIP L-H'!$G$40*'CIP DATOS'!AC35</f>
        <v>11.558563737936304</v>
      </c>
      <c r="AF35" s="40">
        <f>'CIP L-H'!$G$40*'CIP DATOS'!AD35</f>
        <v>9.0613349815815543</v>
      </c>
      <c r="AG35" s="41">
        <f t="shared" si="63"/>
        <v>11.55909466745582</v>
      </c>
      <c r="AH35" s="41">
        <f t="shared" si="63"/>
        <v>9.0614658577425509</v>
      </c>
    </row>
    <row r="36" spans="2:34" x14ac:dyDescent="0.2">
      <c r="B36" s="11">
        <v>45</v>
      </c>
      <c r="C36">
        <v>12.010557054402936</v>
      </c>
      <c r="D36">
        <f t="shared" si="44"/>
        <v>1.8379114281193467</v>
      </c>
      <c r="F36">
        <v>5.1435441362029808</v>
      </c>
      <c r="G36">
        <f t="shared" si="45"/>
        <v>2.5877601435032656</v>
      </c>
      <c r="I36">
        <v>11.326027758068108</v>
      </c>
      <c r="J36">
        <f t="shared" si="46"/>
        <v>1.832313656134597</v>
      </c>
      <c r="L36">
        <f t="shared" si="56"/>
        <v>1.8379114281193467</v>
      </c>
      <c r="M36">
        <f t="shared" si="57"/>
        <v>2.5877601435032656</v>
      </c>
      <c r="N36">
        <f t="shared" si="58"/>
        <v>1.832313656134597</v>
      </c>
      <c r="O36">
        <f t="shared" si="59"/>
        <v>2.0859950759190693</v>
      </c>
      <c r="P36">
        <f t="shared" si="60"/>
        <v>0.43455030899612734</v>
      </c>
      <c r="R36">
        <f t="shared" si="47"/>
        <v>12.010557054402936</v>
      </c>
      <c r="S36" s="55">
        <f t="shared" si="48"/>
        <v>5.1435441362029808</v>
      </c>
      <c r="T36">
        <f t="shared" si="49"/>
        <v>11.326027758068108</v>
      </c>
      <c r="U36">
        <f t="shared" si="61"/>
        <v>11.668292406235523</v>
      </c>
      <c r="V36">
        <f t="shared" si="51"/>
        <v>4.1910130493760249</v>
      </c>
      <c r="W36">
        <f t="shared" si="62"/>
        <v>0.34226464816741403</v>
      </c>
      <c r="X36" s="39">
        <f t="shared" si="35"/>
        <v>0.67083871040813148</v>
      </c>
      <c r="Y36" s="39">
        <f t="shared" si="53"/>
        <v>1.3183414951366356E-2</v>
      </c>
      <c r="Z36" s="39">
        <f t="shared" si="13"/>
        <v>4.4833299951037211E-4</v>
      </c>
      <c r="AA36" s="39">
        <f t="shared" si="54"/>
        <v>8.083875374220699E-2</v>
      </c>
      <c r="AB36" s="39">
        <f>(1/(U36/$U$13))*Z36</f>
        <v>2.9630197561333626E-2</v>
      </c>
      <c r="AC36" s="40">
        <f t="shared" si="55"/>
        <v>4.1209754792959687</v>
      </c>
      <c r="AD36" s="40">
        <f t="shared" si="17"/>
        <v>3.2468800591814366</v>
      </c>
      <c r="AE36" s="40">
        <f>'CIP L-H'!$G$40*'CIP DATOS'!AC36</f>
        <v>11.45880977698851</v>
      </c>
      <c r="AF36" s="40">
        <f>'CIP L-H'!$G$40*'CIP DATOS'!AD36</f>
        <v>9.0282946728946509</v>
      </c>
      <c r="AG36" s="41">
        <f t="shared" si="63"/>
        <v>11.459094921036044</v>
      </c>
      <c r="AH36" s="41">
        <f t="shared" si="63"/>
        <v>9.0283432948257705</v>
      </c>
    </row>
    <row r="37" spans="2:34" x14ac:dyDescent="0.2">
      <c r="B37" s="11">
        <v>30</v>
      </c>
      <c r="C37">
        <v>19.143875881091635</v>
      </c>
      <c r="D37">
        <f t="shared" si="44"/>
        <v>1.3717145785351688</v>
      </c>
      <c r="F37">
        <v>9.9303414223794615</v>
      </c>
      <c r="G37">
        <f t="shared" si="45"/>
        <v>1.9299076456378677</v>
      </c>
      <c r="I37">
        <v>19.707721554802291</v>
      </c>
      <c r="J37">
        <f t="shared" si="46"/>
        <v>1.2784065586049507</v>
      </c>
      <c r="L37">
        <f t="shared" si="56"/>
        <v>1.3717145785351688</v>
      </c>
      <c r="M37">
        <f t="shared" si="57"/>
        <v>1.9299076456378677</v>
      </c>
      <c r="N37">
        <f t="shared" si="58"/>
        <v>1.2784065586049507</v>
      </c>
      <c r="O37">
        <f t="shared" si="59"/>
        <v>1.5266762609259956</v>
      </c>
      <c r="P37">
        <f t="shared" si="60"/>
        <v>0.35231130958048279</v>
      </c>
      <c r="R37">
        <f t="shared" si="47"/>
        <v>19.143875881091635</v>
      </c>
      <c r="S37" s="55">
        <f t="shared" si="48"/>
        <v>9.9303414223794615</v>
      </c>
      <c r="T37">
        <f t="shared" si="49"/>
        <v>19.707721554802291</v>
      </c>
      <c r="U37">
        <f t="shared" si="61"/>
        <v>19.425798717946961</v>
      </c>
      <c r="V37">
        <f t="shared" si="51"/>
        <v>3.6812861481456314</v>
      </c>
      <c r="W37">
        <f t="shared" si="62"/>
        <v>0.28192283685532787</v>
      </c>
      <c r="X37" s="39">
        <f t="shared" si="35"/>
        <v>0.55256876023644264</v>
      </c>
      <c r="Y37" s="39">
        <f t="shared" si="53"/>
        <v>1.7254317563973023E-2</v>
      </c>
      <c r="Z37" s="39">
        <f t="shared" si="13"/>
        <v>3.8049592980234082E-4</v>
      </c>
      <c r="AA37" s="39">
        <f t="shared" si="54"/>
        <v>6.3550342306335855E-2</v>
      </c>
      <c r="AB37" s="39">
        <f t="shared" si="15"/>
        <v>1.5104705977962577E-2</v>
      </c>
      <c r="AC37" s="40">
        <f t="shared" si="55"/>
        <v>4.1033823317314502</v>
      </c>
      <c r="AD37" s="40">
        <f t="shared" si="17"/>
        <v>3.2410747469420449</v>
      </c>
      <c r="AE37" s="40">
        <f>'CIP L-H'!$G$40*'CIP DATOS'!AC37</f>
        <v>11.409890162607608</v>
      </c>
      <c r="AF37" s="40">
        <f>'CIP L-H'!$G$40*'CIP DATOS'!AD37</f>
        <v>9.0121523859576325</v>
      </c>
      <c r="AG37" s="41">
        <f t="shared" si="63"/>
        <v>11.410067141291375</v>
      </c>
      <c r="AH37" s="41">
        <f t="shared" si="63"/>
        <v>9.0121650439760881</v>
      </c>
    </row>
    <row r="38" spans="2:34" x14ac:dyDescent="0.2">
      <c r="B38" s="11">
        <v>15</v>
      </c>
      <c r="C38">
        <v>44.806643561652592</v>
      </c>
      <c r="D38">
        <f t="shared" si="44"/>
        <v>0.52134102347033195</v>
      </c>
      <c r="F38">
        <v>21.744252967100341</v>
      </c>
      <c r="G38">
        <f t="shared" si="45"/>
        <v>1.1461530148005035</v>
      </c>
      <c r="I38">
        <v>38.476722288087927</v>
      </c>
      <c r="J38">
        <f t="shared" si="46"/>
        <v>0.60936363210431888</v>
      </c>
      <c r="L38">
        <f t="shared" si="56"/>
        <v>0.52134102347033195</v>
      </c>
      <c r="M38">
        <f t="shared" si="57"/>
        <v>1.1461530148005035</v>
      </c>
      <c r="N38">
        <f t="shared" si="58"/>
        <v>0.60936363210431888</v>
      </c>
      <c r="O38">
        <f t="shared" si="59"/>
        <v>0.75895255679171802</v>
      </c>
      <c r="P38">
        <f t="shared" si="60"/>
        <v>0.3382013319301726</v>
      </c>
      <c r="R38">
        <f t="shared" si="47"/>
        <v>44.806643561652592</v>
      </c>
      <c r="S38" s="55">
        <f t="shared" si="48"/>
        <v>21.744252967100341</v>
      </c>
      <c r="T38">
        <f t="shared" si="49"/>
        <v>38.476722288087927</v>
      </c>
      <c r="U38">
        <f t="shared" si="61"/>
        <v>41.64168292487026</v>
      </c>
      <c r="V38">
        <f t="shared" si="51"/>
        <v>2.9187865026018187</v>
      </c>
      <c r="W38">
        <f t="shared" si="62"/>
        <v>3.164960636782332</v>
      </c>
      <c r="X38" s="39">
        <f t="shared" si="35"/>
        <v>6.2033228480933706</v>
      </c>
      <c r="Y38" s="39">
        <f t="shared" si="53"/>
        <v>9.279577779681733E-2</v>
      </c>
      <c r="Z38" s="39">
        <f t="shared" si="13"/>
        <v>4.1104100537148061E-3</v>
      </c>
      <c r="AA38" s="39">
        <f t="shared" si="54"/>
        <v>0.15944060551240929</v>
      </c>
      <c r="AB38" s="39">
        <f t="shared" si="15"/>
        <v>7.6119867053920251E-2</v>
      </c>
      <c r="AC38" s="40">
        <f t="shared" si="55"/>
        <v>7.4171172758190798</v>
      </c>
      <c r="AD38" s="40">
        <f t="shared" si="17"/>
        <v>4.5212897343243235</v>
      </c>
      <c r="AE38" s="40">
        <f>'CIP L-H'!$G$40*'CIP DATOS'!AC38</f>
        <v>20.624081939877509</v>
      </c>
      <c r="AF38" s="40">
        <f>'CIP L-H'!$G$40*'CIP DATOS'!AD38</f>
        <v>12.571926057935285</v>
      </c>
      <c r="AG38" s="41">
        <f t="shared" si="63"/>
        <v>20.624698232203734</v>
      </c>
      <c r="AH38" s="41">
        <f t="shared" si="63"/>
        <v>12.572156499199036</v>
      </c>
    </row>
    <row r="39" spans="2:34" x14ac:dyDescent="0.2">
      <c r="B39" s="11">
        <v>0</v>
      </c>
      <c r="C39">
        <v>75.467148750994113</v>
      </c>
      <c r="D39">
        <f t="shared" si="44"/>
        <v>0</v>
      </c>
      <c r="F39">
        <v>68.408870782507094</v>
      </c>
      <c r="G39">
        <f t="shared" si="45"/>
        <v>0</v>
      </c>
      <c r="I39">
        <v>70.768718548260438</v>
      </c>
      <c r="J39">
        <f t="shared" si="46"/>
        <v>0</v>
      </c>
      <c r="L39">
        <f t="shared" si="56"/>
        <v>0</v>
      </c>
      <c r="M39">
        <f t="shared" si="57"/>
        <v>0</v>
      </c>
      <c r="N39">
        <f t="shared" si="58"/>
        <v>0</v>
      </c>
      <c r="O39">
        <f t="shared" si="59"/>
        <v>0</v>
      </c>
      <c r="P39">
        <f t="shared" si="60"/>
        <v>0</v>
      </c>
      <c r="R39">
        <f t="shared" si="47"/>
        <v>75.467148750994113</v>
      </c>
      <c r="S39">
        <f t="shared" si="48"/>
        <v>68.408870782507094</v>
      </c>
      <c r="T39">
        <f t="shared" si="49"/>
        <v>70.768718548260438</v>
      </c>
      <c r="U39">
        <f t="shared" si="50"/>
        <v>71.548246027253882</v>
      </c>
      <c r="V39">
        <f t="shared" si="51"/>
        <v>2.377516169837798</v>
      </c>
      <c r="W39">
        <f t="shared" si="52"/>
        <v>2.0744934552790406</v>
      </c>
      <c r="X39" s="39">
        <f t="shared" si="35"/>
        <v>4.0660071723469198</v>
      </c>
      <c r="Y39" s="39">
        <f t="shared" si="53"/>
        <v>8.0368182410075401E-2</v>
      </c>
      <c r="Z39" s="39">
        <f t="shared" si="13"/>
        <v>2.7180194210930115E-3</v>
      </c>
      <c r="AA39" s="39">
        <f t="shared" si="54"/>
        <v>8.0368182410075401E-2</v>
      </c>
      <c r="AB39" s="39">
        <f t="shared" si="15"/>
        <v>2.9295081378873315E-2</v>
      </c>
      <c r="AC39" s="40">
        <f t="shared" si="55"/>
        <v>5.7502024878392923</v>
      </c>
      <c r="AD39" s="40">
        <f t="shared" si="17"/>
        <v>3.8377868785695299</v>
      </c>
      <c r="AE39" s="40">
        <f>'CIP L-H'!$G$40*'CIP DATOS'!AC39</f>
        <v>15.989048422722798</v>
      </c>
      <c r="AF39" s="40">
        <f>'CIP L-H'!$G$40*'CIP DATOS'!AD39</f>
        <v>10.671373811150103</v>
      </c>
      <c r="AG39" s="41">
        <f t="shared" si="63"/>
        <v>15.989250404847574</v>
      </c>
      <c r="AH39" s="41">
        <f t="shared" si="63"/>
        <v>10.671414021538723</v>
      </c>
    </row>
    <row r="40" spans="2:34" x14ac:dyDescent="0.2">
      <c r="Z40" s="39"/>
      <c r="AB40" s="39"/>
      <c r="AD40" s="40"/>
      <c r="AE40" s="40"/>
      <c r="AF40" s="40"/>
    </row>
    <row r="41" spans="2:34" x14ac:dyDescent="0.2">
      <c r="Z41" s="39"/>
      <c r="AB41" s="39"/>
      <c r="AD41" s="40"/>
      <c r="AE41" s="40"/>
      <c r="AF41" s="40"/>
    </row>
    <row r="42" spans="2:34" x14ac:dyDescent="0.2">
      <c r="B42" t="s">
        <v>1</v>
      </c>
      <c r="D42" t="s">
        <v>22</v>
      </c>
      <c r="G42" t="s">
        <v>22</v>
      </c>
      <c r="J42" t="s">
        <v>22</v>
      </c>
      <c r="L42" s="37" t="s">
        <v>23</v>
      </c>
      <c r="M42" s="37" t="s">
        <v>24</v>
      </c>
      <c r="N42" s="37" t="s">
        <v>25</v>
      </c>
      <c r="O42" t="s">
        <v>26</v>
      </c>
      <c r="P42" t="s">
        <v>0</v>
      </c>
      <c r="R42" t="s">
        <v>27</v>
      </c>
      <c r="S42" t="s">
        <v>28</v>
      </c>
      <c r="T42" t="s">
        <v>29</v>
      </c>
      <c r="U42" t="s">
        <v>26</v>
      </c>
      <c r="V42" t="s">
        <v>22</v>
      </c>
      <c r="X42" s="54" t="s">
        <v>31</v>
      </c>
      <c r="Z42" s="39"/>
      <c r="AB42" s="39"/>
      <c r="AD42" s="40"/>
      <c r="AE42" s="40"/>
      <c r="AF42" s="40"/>
    </row>
    <row r="43" spans="2:34" x14ac:dyDescent="0.2">
      <c r="B43" s="11">
        <v>1440</v>
      </c>
      <c r="C43">
        <v>0</v>
      </c>
      <c r="D43" t="e">
        <f>LN($C$52/C43)</f>
        <v>#DIV/0!</v>
      </c>
      <c r="F43">
        <v>0</v>
      </c>
      <c r="G43" t="e">
        <f>LN($F$52/F43)</f>
        <v>#DIV/0!</v>
      </c>
      <c r="I43">
        <v>0</v>
      </c>
      <c r="J43" t="e">
        <f>LN($I$52/I43)</f>
        <v>#DIV/0!</v>
      </c>
      <c r="L43" t="e">
        <f t="shared" ref="L43:L52" si="64">D43</f>
        <v>#DIV/0!</v>
      </c>
      <c r="M43" t="e">
        <f t="shared" ref="M43:M52" si="65">G43</f>
        <v>#DIV/0!</v>
      </c>
      <c r="N43" t="e">
        <f t="shared" ref="N43:N49" si="66">J43</f>
        <v>#DIV/0!</v>
      </c>
      <c r="O43" t="e">
        <f t="shared" ref="O43:O49" si="67">AVERAGE(L43:N43)</f>
        <v>#DIV/0!</v>
      </c>
      <c r="P43" t="e">
        <f t="shared" ref="P43:P49" si="68">STDEV(L43:N43)</f>
        <v>#DIV/0!</v>
      </c>
      <c r="R43">
        <f>C43</f>
        <v>0</v>
      </c>
      <c r="S43">
        <f>F43</f>
        <v>0</v>
      </c>
      <c r="T43">
        <f>I43</f>
        <v>0</v>
      </c>
      <c r="U43">
        <f>AVERAGE(R43:T43)</f>
        <v>0</v>
      </c>
      <c r="V43" t="e">
        <f>LN(($U$13)/(U43))</f>
        <v>#DIV/0!</v>
      </c>
      <c r="W43">
        <f>STDEV(R43:T43)/SQRT(3)</f>
        <v>0</v>
      </c>
      <c r="X43" s="39">
        <f t="shared" si="35"/>
        <v>0</v>
      </c>
      <c r="Y43" s="39" t="e">
        <f>(U43/$U$52)*SQRT(((X43/U43)^2)+(($X$52/$U$52)^2))</f>
        <v>#DIV/0!</v>
      </c>
      <c r="Z43" s="39" t="e">
        <f t="shared" si="13"/>
        <v>#DIV/0!</v>
      </c>
      <c r="AA43" s="39" t="e">
        <f>(1/(U43/$U$52))*Y43</f>
        <v>#DIV/0!</v>
      </c>
      <c r="AB43" s="39" t="e">
        <f t="shared" si="15"/>
        <v>#DIV/0!</v>
      </c>
      <c r="AC43" s="40">
        <f>(X43^2+$X$52^2)^0.5</f>
        <v>1.0428567925905949</v>
      </c>
      <c r="AD43" s="40">
        <f t="shared" si="17"/>
        <v>3.2287900255861923</v>
      </c>
      <c r="AE43" s="40"/>
      <c r="AF43" s="40"/>
      <c r="AG43" s="41"/>
      <c r="AH43" s="41"/>
    </row>
    <row r="44" spans="2:34" x14ac:dyDescent="0.2">
      <c r="B44" s="11">
        <v>150</v>
      </c>
      <c r="C44">
        <v>0</v>
      </c>
      <c r="D44" t="e">
        <f t="shared" ref="D44:D52" si="69">LN($C$52/C44)</f>
        <v>#DIV/0!</v>
      </c>
      <c r="F44">
        <v>0</v>
      </c>
      <c r="G44" t="e">
        <f t="shared" ref="G44:G52" si="70">LN($F$52/F44)</f>
        <v>#DIV/0!</v>
      </c>
      <c r="I44">
        <v>0</v>
      </c>
      <c r="J44" t="e">
        <f t="shared" ref="J44:J52" si="71">LN($I$52/I44)</f>
        <v>#DIV/0!</v>
      </c>
      <c r="L44" t="e">
        <f t="shared" si="64"/>
        <v>#DIV/0!</v>
      </c>
      <c r="M44" t="e">
        <f t="shared" si="65"/>
        <v>#DIV/0!</v>
      </c>
      <c r="N44" t="e">
        <f t="shared" si="66"/>
        <v>#DIV/0!</v>
      </c>
      <c r="O44" t="e">
        <f t="shared" si="67"/>
        <v>#DIV/0!</v>
      </c>
      <c r="P44" t="e">
        <f t="shared" si="68"/>
        <v>#DIV/0!</v>
      </c>
      <c r="R44">
        <f t="shared" ref="R44:R52" si="72">C44</f>
        <v>0</v>
      </c>
      <c r="S44">
        <f t="shared" ref="S44:S52" si="73">F44</f>
        <v>0</v>
      </c>
      <c r="T44">
        <f t="shared" ref="T44:T52" si="74">I44</f>
        <v>0</v>
      </c>
      <c r="U44">
        <f t="shared" ref="U44:U52" si="75">AVERAGE(R44:T44)</f>
        <v>0</v>
      </c>
      <c r="V44" t="e">
        <f t="shared" ref="V44:V52" si="76">LN(($U$13)/(U44))</f>
        <v>#DIV/0!</v>
      </c>
      <c r="W44">
        <f t="shared" ref="W44:W52" si="77">STDEV(R44:T44)/SQRT(3)</f>
        <v>0</v>
      </c>
      <c r="X44" s="39">
        <f t="shared" si="35"/>
        <v>0</v>
      </c>
      <c r="Y44" s="39" t="e">
        <f t="shared" ref="Y44:Y52" si="78">(U44/$U$52)*SQRT(((X44/U44)^2)+(($X$52/$U$52)^2))</f>
        <v>#DIV/0!</v>
      </c>
      <c r="Z44" s="39" t="e">
        <f t="shared" si="13"/>
        <v>#DIV/0!</v>
      </c>
      <c r="AA44" s="39" t="e">
        <f t="shared" ref="AA44:AA52" si="79">(1/(U44/$U$52))*Y44</f>
        <v>#DIV/0!</v>
      </c>
      <c r="AB44" s="39" t="e">
        <f t="shared" si="15"/>
        <v>#DIV/0!</v>
      </c>
      <c r="AC44" s="40">
        <f t="shared" ref="AC44:AC52" si="80">(X44^2+$X$52^2)^0.5</f>
        <v>1.0428567925905949</v>
      </c>
      <c r="AD44" s="40">
        <f t="shared" si="17"/>
        <v>3.2287900255861923</v>
      </c>
      <c r="AE44" s="40"/>
      <c r="AF44" s="40"/>
      <c r="AG44" s="41"/>
      <c r="AH44" s="41"/>
    </row>
    <row r="45" spans="2:34" x14ac:dyDescent="0.2">
      <c r="B45" s="11">
        <v>120</v>
      </c>
      <c r="C45">
        <v>0</v>
      </c>
      <c r="D45" t="e">
        <f t="shared" si="69"/>
        <v>#DIV/0!</v>
      </c>
      <c r="F45">
        <v>0</v>
      </c>
      <c r="G45" t="e">
        <f t="shared" si="70"/>
        <v>#DIV/0!</v>
      </c>
      <c r="I45">
        <v>0</v>
      </c>
      <c r="J45" t="e">
        <f t="shared" si="71"/>
        <v>#DIV/0!</v>
      </c>
      <c r="L45" t="e">
        <f t="shared" si="64"/>
        <v>#DIV/0!</v>
      </c>
      <c r="M45" t="e">
        <f t="shared" si="65"/>
        <v>#DIV/0!</v>
      </c>
      <c r="N45" t="e">
        <f t="shared" si="66"/>
        <v>#DIV/0!</v>
      </c>
      <c r="O45" t="e">
        <f t="shared" si="67"/>
        <v>#DIV/0!</v>
      </c>
      <c r="P45" t="e">
        <f t="shared" si="68"/>
        <v>#DIV/0!</v>
      </c>
      <c r="R45">
        <f t="shared" si="72"/>
        <v>0</v>
      </c>
      <c r="S45">
        <f t="shared" si="73"/>
        <v>0</v>
      </c>
      <c r="T45">
        <f t="shared" si="74"/>
        <v>0</v>
      </c>
      <c r="U45">
        <f t="shared" si="75"/>
        <v>0</v>
      </c>
      <c r="V45" t="e">
        <f t="shared" si="76"/>
        <v>#DIV/0!</v>
      </c>
      <c r="W45">
        <f t="shared" si="77"/>
        <v>0</v>
      </c>
      <c r="X45" s="39">
        <f t="shared" si="35"/>
        <v>0</v>
      </c>
      <c r="Y45" s="39" t="e">
        <f t="shared" si="78"/>
        <v>#DIV/0!</v>
      </c>
      <c r="Z45" s="39" t="e">
        <f t="shared" si="13"/>
        <v>#DIV/0!</v>
      </c>
      <c r="AA45" s="39" t="e">
        <f t="shared" si="79"/>
        <v>#DIV/0!</v>
      </c>
      <c r="AB45" s="39" t="e">
        <f t="shared" si="15"/>
        <v>#DIV/0!</v>
      </c>
      <c r="AC45" s="40">
        <f t="shared" si="80"/>
        <v>1.0428567925905949</v>
      </c>
      <c r="AD45" s="40">
        <f t="shared" si="17"/>
        <v>3.2287900255861923</v>
      </c>
      <c r="AE45" s="40"/>
      <c r="AF45" s="40"/>
      <c r="AG45" s="41"/>
      <c r="AH45" s="41"/>
    </row>
    <row r="46" spans="2:34" x14ac:dyDescent="0.2">
      <c r="B46" s="11">
        <v>90</v>
      </c>
      <c r="C46">
        <v>0</v>
      </c>
      <c r="D46" t="e">
        <f t="shared" si="69"/>
        <v>#DIV/0!</v>
      </c>
      <c r="F46">
        <v>0</v>
      </c>
      <c r="G46" t="e">
        <f t="shared" si="70"/>
        <v>#DIV/0!</v>
      </c>
      <c r="I46">
        <v>0</v>
      </c>
      <c r="J46" t="e">
        <f t="shared" si="71"/>
        <v>#DIV/0!</v>
      </c>
      <c r="L46" t="e">
        <f t="shared" si="64"/>
        <v>#DIV/0!</v>
      </c>
      <c r="M46" t="e">
        <f t="shared" si="65"/>
        <v>#DIV/0!</v>
      </c>
      <c r="N46" t="e">
        <f t="shared" si="66"/>
        <v>#DIV/0!</v>
      </c>
      <c r="O46" t="e">
        <f t="shared" si="67"/>
        <v>#DIV/0!</v>
      </c>
      <c r="P46" t="e">
        <f t="shared" si="68"/>
        <v>#DIV/0!</v>
      </c>
      <c r="R46">
        <f t="shared" si="72"/>
        <v>0</v>
      </c>
      <c r="S46">
        <f t="shared" si="73"/>
        <v>0</v>
      </c>
      <c r="T46">
        <f t="shared" si="74"/>
        <v>0</v>
      </c>
      <c r="U46">
        <f t="shared" si="75"/>
        <v>0</v>
      </c>
      <c r="V46" t="e">
        <f t="shared" si="76"/>
        <v>#DIV/0!</v>
      </c>
      <c r="W46">
        <f t="shared" si="77"/>
        <v>0</v>
      </c>
      <c r="X46" s="39">
        <f t="shared" si="35"/>
        <v>0</v>
      </c>
      <c r="Y46" s="39" t="e">
        <f t="shared" si="78"/>
        <v>#DIV/0!</v>
      </c>
      <c r="Z46" s="39" t="e">
        <f t="shared" si="13"/>
        <v>#DIV/0!</v>
      </c>
      <c r="AA46" s="39" t="e">
        <f t="shared" si="79"/>
        <v>#DIV/0!</v>
      </c>
      <c r="AB46" s="39" t="e">
        <f t="shared" si="15"/>
        <v>#DIV/0!</v>
      </c>
      <c r="AC46" s="40">
        <f t="shared" si="80"/>
        <v>1.0428567925905949</v>
      </c>
      <c r="AD46" s="40">
        <f t="shared" si="17"/>
        <v>3.2287900255861923</v>
      </c>
      <c r="AE46" s="40"/>
      <c r="AF46" s="40"/>
      <c r="AG46" s="41"/>
      <c r="AH46" s="41"/>
    </row>
    <row r="47" spans="2:34" x14ac:dyDescent="0.2">
      <c r="B47" s="11">
        <v>75</v>
      </c>
      <c r="C47">
        <v>0</v>
      </c>
      <c r="D47" t="e">
        <f t="shared" si="69"/>
        <v>#DIV/0!</v>
      </c>
      <c r="F47">
        <v>0</v>
      </c>
      <c r="G47" t="e">
        <f t="shared" si="70"/>
        <v>#DIV/0!</v>
      </c>
      <c r="I47">
        <v>0</v>
      </c>
      <c r="J47" t="e">
        <f t="shared" si="71"/>
        <v>#DIV/0!</v>
      </c>
      <c r="L47" t="e">
        <f t="shared" si="64"/>
        <v>#DIV/0!</v>
      </c>
      <c r="M47" t="e">
        <f t="shared" si="65"/>
        <v>#DIV/0!</v>
      </c>
      <c r="N47" t="e">
        <f t="shared" si="66"/>
        <v>#DIV/0!</v>
      </c>
      <c r="O47" t="e">
        <f t="shared" si="67"/>
        <v>#DIV/0!</v>
      </c>
      <c r="P47" t="e">
        <f t="shared" si="68"/>
        <v>#DIV/0!</v>
      </c>
      <c r="R47">
        <f t="shared" si="72"/>
        <v>0</v>
      </c>
      <c r="S47">
        <f t="shared" si="73"/>
        <v>0</v>
      </c>
      <c r="T47">
        <f t="shared" si="74"/>
        <v>0</v>
      </c>
      <c r="U47">
        <f t="shared" si="75"/>
        <v>0</v>
      </c>
      <c r="V47" t="e">
        <f t="shared" si="76"/>
        <v>#DIV/0!</v>
      </c>
      <c r="W47">
        <f t="shared" si="77"/>
        <v>0</v>
      </c>
      <c r="X47" s="39">
        <f t="shared" si="35"/>
        <v>0</v>
      </c>
      <c r="Y47" s="39" t="e">
        <f t="shared" si="78"/>
        <v>#DIV/0!</v>
      </c>
      <c r="Z47" s="39" t="e">
        <f t="shared" si="13"/>
        <v>#DIV/0!</v>
      </c>
      <c r="AA47" s="39" t="e">
        <f t="shared" si="79"/>
        <v>#DIV/0!</v>
      </c>
      <c r="AB47" s="39" t="e">
        <f t="shared" si="15"/>
        <v>#DIV/0!</v>
      </c>
      <c r="AC47" s="40">
        <f t="shared" si="80"/>
        <v>1.0428567925905949</v>
      </c>
      <c r="AD47" s="40">
        <f t="shared" si="17"/>
        <v>3.2287900255861923</v>
      </c>
      <c r="AE47" s="40"/>
      <c r="AF47" s="40"/>
      <c r="AG47" s="41"/>
      <c r="AH47" s="41"/>
    </row>
    <row r="48" spans="2:34" x14ac:dyDescent="0.2">
      <c r="B48" s="11">
        <v>60</v>
      </c>
      <c r="C48">
        <v>0</v>
      </c>
      <c r="D48" t="e">
        <f t="shared" si="69"/>
        <v>#DIV/0!</v>
      </c>
      <c r="F48">
        <v>0</v>
      </c>
      <c r="G48" t="e">
        <f t="shared" si="70"/>
        <v>#DIV/0!</v>
      </c>
      <c r="I48">
        <v>0</v>
      </c>
      <c r="J48" t="e">
        <f t="shared" si="71"/>
        <v>#DIV/0!</v>
      </c>
      <c r="L48" t="e">
        <f t="shared" si="64"/>
        <v>#DIV/0!</v>
      </c>
      <c r="M48" t="e">
        <f t="shared" si="65"/>
        <v>#DIV/0!</v>
      </c>
      <c r="N48" t="e">
        <f t="shared" si="66"/>
        <v>#DIV/0!</v>
      </c>
      <c r="O48" t="e">
        <f t="shared" si="67"/>
        <v>#DIV/0!</v>
      </c>
      <c r="P48" t="e">
        <f t="shared" si="68"/>
        <v>#DIV/0!</v>
      </c>
      <c r="R48">
        <f t="shared" si="72"/>
        <v>0</v>
      </c>
      <c r="S48">
        <f t="shared" si="73"/>
        <v>0</v>
      </c>
      <c r="T48">
        <f t="shared" si="74"/>
        <v>0</v>
      </c>
      <c r="U48">
        <f t="shared" si="75"/>
        <v>0</v>
      </c>
      <c r="V48" t="e">
        <f t="shared" si="76"/>
        <v>#DIV/0!</v>
      </c>
      <c r="W48">
        <f t="shared" si="77"/>
        <v>0</v>
      </c>
      <c r="X48" s="39">
        <f t="shared" si="35"/>
        <v>0</v>
      </c>
      <c r="Y48" s="39" t="e">
        <f t="shared" si="78"/>
        <v>#DIV/0!</v>
      </c>
      <c r="Z48" s="39" t="e">
        <f t="shared" si="13"/>
        <v>#DIV/0!</v>
      </c>
      <c r="AA48" s="39" t="e">
        <f t="shared" si="79"/>
        <v>#DIV/0!</v>
      </c>
      <c r="AB48" s="39" t="e">
        <f t="shared" si="15"/>
        <v>#DIV/0!</v>
      </c>
      <c r="AC48" s="40">
        <f t="shared" si="80"/>
        <v>1.0428567925905949</v>
      </c>
      <c r="AD48" s="40">
        <f t="shared" si="17"/>
        <v>3.2287900255861923</v>
      </c>
      <c r="AE48" s="40"/>
      <c r="AF48" s="40"/>
      <c r="AG48" s="41"/>
      <c r="AH48" s="41"/>
    </row>
    <row r="49" spans="2:34" x14ac:dyDescent="0.2">
      <c r="B49" s="11">
        <v>45</v>
      </c>
      <c r="C49">
        <v>0</v>
      </c>
      <c r="D49" t="e">
        <f t="shared" si="69"/>
        <v>#DIV/0!</v>
      </c>
      <c r="F49">
        <v>0.36190373317183933</v>
      </c>
      <c r="G49">
        <f t="shared" si="70"/>
        <v>3.1147457920806731</v>
      </c>
      <c r="I49">
        <v>0</v>
      </c>
      <c r="J49" t="e">
        <f t="shared" si="71"/>
        <v>#DIV/0!</v>
      </c>
      <c r="L49" t="e">
        <f t="shared" si="64"/>
        <v>#DIV/0!</v>
      </c>
      <c r="M49">
        <f t="shared" si="65"/>
        <v>3.1147457920806731</v>
      </c>
      <c r="N49" t="e">
        <f t="shared" si="66"/>
        <v>#DIV/0!</v>
      </c>
      <c r="O49" t="e">
        <f t="shared" si="67"/>
        <v>#DIV/0!</v>
      </c>
      <c r="P49" t="e">
        <f t="shared" si="68"/>
        <v>#DIV/0!</v>
      </c>
      <c r="R49">
        <f t="shared" si="72"/>
        <v>0</v>
      </c>
      <c r="S49" s="97">
        <f t="shared" si="73"/>
        <v>0.36190373317183933</v>
      </c>
      <c r="T49">
        <f t="shared" si="74"/>
        <v>0</v>
      </c>
      <c r="U49">
        <f t="shared" si="75"/>
        <v>0.12063457772394644</v>
      </c>
      <c r="V49">
        <f t="shared" si="76"/>
        <v>8.7628774832498308</v>
      </c>
      <c r="W49">
        <f t="shared" si="77"/>
        <v>0.12063457772394644</v>
      </c>
      <c r="X49" s="39">
        <f t="shared" si="35"/>
        <v>0.23644377233893502</v>
      </c>
      <c r="Y49" s="39">
        <f t="shared" si="78"/>
        <v>2.9210144249956306E-2</v>
      </c>
      <c r="Z49" s="39">
        <f t="shared" si="13"/>
        <v>1.5643519581092877E-4</v>
      </c>
      <c r="AA49" s="39">
        <f t="shared" si="79"/>
        <v>1.9642115716212656</v>
      </c>
      <c r="AB49" s="39">
        <f t="shared" si="15"/>
        <v>1.0000087652723955</v>
      </c>
      <c r="AC49" s="40">
        <f t="shared" si="80"/>
        <v>1.0693249961214828</v>
      </c>
      <c r="AD49" s="40">
        <f t="shared" si="17"/>
        <v>3.2310428240225355</v>
      </c>
      <c r="AE49" s="40">
        <f>'CIP L-H'!$G$40*'CIP DATOS'!AC49</f>
        <v>2.9733716645235639</v>
      </c>
      <c r="AF49" s="40">
        <f>'CIP L-H'!$G$40*'CIP DATOS'!AD49</f>
        <v>8.9842575593541731</v>
      </c>
      <c r="AG49" s="41">
        <f t="shared" ref="AG49:AH52" si="81">(AA49^2+AE49^2)^0.5</f>
        <v>3.563574912006553</v>
      </c>
      <c r="AH49" s="41">
        <f t="shared" si="81"/>
        <v>9.0397401192420475</v>
      </c>
    </row>
    <row r="50" spans="2:34" x14ac:dyDescent="0.2">
      <c r="B50" s="11">
        <v>30</v>
      </c>
      <c r="C50">
        <v>0.42214378294930327</v>
      </c>
      <c r="D50">
        <f t="shared" si="69"/>
        <v>2.8324034889923233</v>
      </c>
      <c r="F50">
        <v>0.98198497230813586</v>
      </c>
      <c r="G50">
        <f t="shared" si="70"/>
        <v>2.1165480329873025</v>
      </c>
      <c r="I50">
        <v>0.86005779119927295</v>
      </c>
      <c r="J50">
        <f t="shared" si="71"/>
        <v>2.3493590364416388</v>
      </c>
      <c r="L50">
        <f t="shared" si="64"/>
        <v>2.8324034889923233</v>
      </c>
      <c r="M50">
        <f t="shared" si="65"/>
        <v>2.1165480329873025</v>
      </c>
      <c r="N50">
        <f>J50</f>
        <v>2.3493590364416388</v>
      </c>
      <c r="O50">
        <f>AVERAGE(L50:N50)</f>
        <v>2.4327701861404214</v>
      </c>
      <c r="P50">
        <f>STDEV(L50:N50)</f>
        <v>0.36514425011711965</v>
      </c>
      <c r="R50" s="55">
        <f t="shared" si="72"/>
        <v>0.42214378294930327</v>
      </c>
      <c r="S50">
        <f t="shared" si="73"/>
        <v>0.98198497230813586</v>
      </c>
      <c r="T50">
        <f t="shared" si="74"/>
        <v>0.86005779119927295</v>
      </c>
      <c r="U50">
        <f t="shared" si="75"/>
        <v>0.75472884881890401</v>
      </c>
      <c r="V50">
        <f t="shared" si="76"/>
        <v>6.9292848964718159</v>
      </c>
      <c r="W50">
        <f t="shared" si="77"/>
        <v>0.16997664437887106</v>
      </c>
      <c r="X50" s="39">
        <f t="shared" si="35"/>
        <v>0.33315422298258729</v>
      </c>
      <c r="Y50" s="39">
        <f t="shared" si="78"/>
        <v>4.2775725641894871E-2</v>
      </c>
      <c r="Z50" s="39">
        <f t="shared" si="13"/>
        <v>2.2045661978689466E-4</v>
      </c>
      <c r="AA50" s="39">
        <f t="shared" si="79"/>
        <v>0.459761717677177</v>
      </c>
      <c r="AB50" s="39">
        <f t="shared" si="15"/>
        <v>0.22525442865513184</v>
      </c>
      <c r="AC50" s="40">
        <f t="shared" si="80"/>
        <v>1.0947794417797014</v>
      </c>
      <c r="AD50" s="40">
        <f t="shared" si="17"/>
        <v>3.2332610610588168</v>
      </c>
      <c r="AE50" s="40">
        <f>'CIP L-H'!$G$40*'CIP DATOS'!AC50</f>
        <v>3.044150452759899</v>
      </c>
      <c r="AF50" s="40">
        <f>'CIP L-H'!$G$40*'CIP DATOS'!AD50</f>
        <v>8.9904256029076279</v>
      </c>
      <c r="AG50" s="41">
        <f t="shared" si="81"/>
        <v>3.0786738729653984</v>
      </c>
      <c r="AH50" s="41">
        <f t="shared" si="81"/>
        <v>8.993247026466344</v>
      </c>
    </row>
    <row r="51" spans="2:34" x14ac:dyDescent="0.2">
      <c r="B51" s="11">
        <v>15</v>
      </c>
      <c r="C51">
        <v>0.91078810912330799</v>
      </c>
      <c r="D51">
        <f t="shared" si="69"/>
        <v>2.0634391842023301</v>
      </c>
      <c r="F51">
        <v>2.6475297560978741</v>
      </c>
      <c r="G51">
        <f t="shared" si="70"/>
        <v>1.1247417213444248</v>
      </c>
      <c r="I51">
        <v>2.3143644773341783</v>
      </c>
      <c r="J51">
        <f t="shared" si="71"/>
        <v>1.3594682174983166</v>
      </c>
      <c r="L51">
        <f t="shared" si="64"/>
        <v>2.0634391842023301</v>
      </c>
      <c r="M51">
        <f t="shared" si="65"/>
        <v>1.1247417213444248</v>
      </c>
      <c r="N51">
        <f>J51</f>
        <v>1.3594682174983166</v>
      </c>
      <c r="O51">
        <f>AVERAGE(L51:N51)</f>
        <v>1.5158830410150239</v>
      </c>
      <c r="P51">
        <f>STDEV(L51:N51)</f>
        <v>0.48850530135894016</v>
      </c>
      <c r="R51" s="55">
        <f t="shared" si="72"/>
        <v>0.91078810912330799</v>
      </c>
      <c r="S51">
        <f t="shared" si="73"/>
        <v>2.6475297560978741</v>
      </c>
      <c r="T51">
        <f t="shared" si="74"/>
        <v>2.3143644773341783</v>
      </c>
      <c r="U51">
        <f t="shared" si="75"/>
        <v>1.9575607808517868</v>
      </c>
      <c r="V51">
        <f t="shared" si="76"/>
        <v>5.9761889629507046</v>
      </c>
      <c r="W51">
        <f t="shared" si="77"/>
        <v>0.53214958594102291</v>
      </c>
      <c r="X51" s="39">
        <f t="shared" si="35"/>
        <v>1.0430131884444049</v>
      </c>
      <c r="Y51" s="39">
        <f t="shared" si="78"/>
        <v>0.13226676500325249</v>
      </c>
      <c r="Z51" s="39">
        <f t="shared" si="13"/>
        <v>6.9015095028700712E-4</v>
      </c>
      <c r="AA51" s="39">
        <f t="shared" si="79"/>
        <v>0.54810258214391216</v>
      </c>
      <c r="AB51" s="39">
        <f>(1/(U51/$U$13))*Z51</f>
        <v>0.27187544161303107</v>
      </c>
      <c r="AC51" s="40">
        <f t="shared" si="80"/>
        <v>1.4749328124091983</v>
      </c>
      <c r="AD51" s="40">
        <f t="shared" si="17"/>
        <v>3.2723490356534537</v>
      </c>
      <c r="AE51" s="40">
        <f>'CIP L-H'!$G$40*'CIP DATOS'!AC51</f>
        <v>4.1012072544831204</v>
      </c>
      <c r="AF51" s="40">
        <f>'CIP L-H'!$G$40*'CIP DATOS'!AD51</f>
        <v>9.099113865601252</v>
      </c>
      <c r="AG51" s="41">
        <f t="shared" si="81"/>
        <v>4.1376705263684057</v>
      </c>
      <c r="AH51" s="41">
        <f t="shared" si="81"/>
        <v>9.103174687708087</v>
      </c>
    </row>
    <row r="52" spans="2:34" x14ac:dyDescent="0.2">
      <c r="B52" s="11">
        <v>0</v>
      </c>
      <c r="C52">
        <v>7.1706347831278023</v>
      </c>
      <c r="D52">
        <f t="shared" si="69"/>
        <v>0</v>
      </c>
      <c r="F52">
        <v>8.1528597811278125</v>
      </c>
      <c r="G52">
        <f t="shared" si="70"/>
        <v>0</v>
      </c>
      <c r="I52">
        <v>9.0124174540537449</v>
      </c>
      <c r="J52">
        <f t="shared" si="71"/>
        <v>0</v>
      </c>
      <c r="L52">
        <f t="shared" si="64"/>
        <v>0</v>
      </c>
      <c r="M52">
        <f t="shared" si="65"/>
        <v>0</v>
      </c>
      <c r="N52">
        <f>J52</f>
        <v>0</v>
      </c>
      <c r="O52">
        <f>AVERAGE(L52:N52)</f>
        <v>0</v>
      </c>
      <c r="P52">
        <f>STDEV(L52:N52)</f>
        <v>0</v>
      </c>
      <c r="R52">
        <f t="shared" si="72"/>
        <v>7.1706347831278023</v>
      </c>
      <c r="S52">
        <f t="shared" si="73"/>
        <v>8.1528597811278125</v>
      </c>
      <c r="T52">
        <f t="shared" si="74"/>
        <v>9.0124174540537449</v>
      </c>
      <c r="U52">
        <f t="shared" si="75"/>
        <v>8.111970672769786</v>
      </c>
      <c r="V52">
        <f t="shared" si="76"/>
        <v>4.5545473300424746</v>
      </c>
      <c r="W52">
        <f t="shared" si="77"/>
        <v>0.53206979213805861</v>
      </c>
      <c r="X52" s="39">
        <f t="shared" si="35"/>
        <v>1.0428567925905949</v>
      </c>
      <c r="Y52" s="39">
        <f t="shared" si="78"/>
        <v>0.18180813013109123</v>
      </c>
      <c r="Z52" s="39">
        <f t="shared" si="13"/>
        <v>6.9136995914547165E-4</v>
      </c>
      <c r="AA52" s="39">
        <f t="shared" si="79"/>
        <v>0.18180813013109123</v>
      </c>
      <c r="AB52" s="39">
        <f t="shared" si="15"/>
        <v>6.5724195378158143E-2</v>
      </c>
      <c r="AC52" s="40">
        <f t="shared" si="80"/>
        <v>1.4748222196945253</v>
      </c>
      <c r="AD52" s="40">
        <f t="shared" si="17"/>
        <v>3.2723360605278184</v>
      </c>
      <c r="AE52" s="40">
        <f>'CIP L-H'!$G$40*'CIP DATOS'!AC52</f>
        <v>4.1008997397001457</v>
      </c>
      <c r="AF52" s="40">
        <f>'CIP L-H'!$G$40*'CIP DATOS'!AD52</f>
        <v>9.0990777868870651</v>
      </c>
      <c r="AG52" s="41">
        <f t="shared" si="81"/>
        <v>4.1049278764984996</v>
      </c>
      <c r="AH52" s="41">
        <f t="shared" si="81"/>
        <v>9.0993151523441433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H52"/>
  <sheetViews>
    <sheetView topLeftCell="AC1" zoomScale="80" zoomScaleNormal="80" workbookViewId="0">
      <selection activeCell="W43" sqref="W43:W52"/>
    </sheetView>
  </sheetViews>
  <sheetFormatPr baseColWidth="10" defaultRowHeight="16" x14ac:dyDescent="0.2"/>
  <cols>
    <col min="3" max="3" width="9.83203125" customWidth="1"/>
    <col min="6" max="6" width="9.83203125" customWidth="1"/>
    <col min="9" max="9" width="9.83203125" customWidth="1"/>
    <col min="21" max="21" width="12.83203125" style="44" bestFit="1" customWidth="1"/>
    <col min="24" max="24" width="11.5" style="46"/>
    <col min="25" max="26" width="12.83203125" customWidth="1"/>
    <col min="29" max="30" width="15" customWidth="1"/>
    <col min="31" max="32" width="16.1640625" customWidth="1"/>
    <col min="33" max="34" width="30" customWidth="1"/>
  </cols>
  <sheetData>
    <row r="1" spans="2:34" x14ac:dyDescent="0.2">
      <c r="AG1" s="86" t="s">
        <v>31</v>
      </c>
      <c r="AH1" s="87" t="s">
        <v>70</v>
      </c>
    </row>
    <row r="2" spans="2:34" x14ac:dyDescent="0.2">
      <c r="X2" s="45" t="s">
        <v>21</v>
      </c>
      <c r="Y2" s="86" t="s">
        <v>31</v>
      </c>
      <c r="Z2" s="87" t="s">
        <v>70</v>
      </c>
      <c r="AA2" s="86" t="s">
        <v>31</v>
      </c>
      <c r="AB2" s="87" t="s">
        <v>70</v>
      </c>
      <c r="AC2" s="86" t="s">
        <v>31</v>
      </c>
      <c r="AD2" s="87" t="s">
        <v>70</v>
      </c>
      <c r="AE2" s="86" t="s">
        <v>31</v>
      </c>
      <c r="AF2" s="87" t="s">
        <v>70</v>
      </c>
      <c r="AG2" s="90"/>
      <c r="AH2" s="91"/>
    </row>
    <row r="3" spans="2:34" x14ac:dyDescent="0.2">
      <c r="B3" t="s">
        <v>1</v>
      </c>
      <c r="D3" t="s">
        <v>22</v>
      </c>
      <c r="G3" t="s">
        <v>22</v>
      </c>
      <c r="J3" t="s">
        <v>22</v>
      </c>
      <c r="L3" s="37" t="s">
        <v>23</v>
      </c>
      <c r="M3" s="37" t="s">
        <v>24</v>
      </c>
      <c r="N3" s="37" t="s">
        <v>25</v>
      </c>
      <c r="O3" t="s">
        <v>26</v>
      </c>
      <c r="P3" t="s">
        <v>0</v>
      </c>
      <c r="R3" t="s">
        <v>27</v>
      </c>
      <c r="S3" t="s">
        <v>28</v>
      </c>
      <c r="T3" t="s">
        <v>29</v>
      </c>
      <c r="U3" s="44" t="s">
        <v>26</v>
      </c>
      <c r="V3" t="s">
        <v>22</v>
      </c>
      <c r="W3" s="38" t="s">
        <v>30</v>
      </c>
      <c r="X3" s="45" t="s">
        <v>31</v>
      </c>
      <c r="Y3" s="92"/>
      <c r="Z3" s="93"/>
      <c r="AA3" s="94"/>
      <c r="AB3" s="95"/>
      <c r="AC3" s="88"/>
      <c r="AD3" s="89"/>
      <c r="AE3" s="88"/>
      <c r="AF3" s="89"/>
      <c r="AG3" s="88"/>
      <c r="AH3" s="89"/>
    </row>
    <row r="4" spans="2:34" x14ac:dyDescent="0.2">
      <c r="B4" s="11">
        <v>1440</v>
      </c>
      <c r="C4">
        <v>110.91040965996342</v>
      </c>
      <c r="D4">
        <f>LN($C$13/C4)</f>
        <v>1.7676619176489945</v>
      </c>
      <c r="F4">
        <v>181.3671651002349</v>
      </c>
      <c r="G4">
        <f>LN($F$13/F4)</f>
        <v>1.436304781694552</v>
      </c>
      <c r="I4">
        <v>179.25541173319155</v>
      </c>
      <c r="J4">
        <f>LN($I$13/I4)</f>
        <v>1.3862943611198906</v>
      </c>
      <c r="L4">
        <f>D4</f>
        <v>1.7676619176489945</v>
      </c>
      <c r="M4">
        <f t="shared" ref="M4:M13" si="0">G4</f>
        <v>1.436304781694552</v>
      </c>
      <c r="N4">
        <f>J4</f>
        <v>1.3862943611198906</v>
      </c>
      <c r="O4">
        <f>AVERAGE(L4:N4)</f>
        <v>1.5300870201544789</v>
      </c>
      <c r="P4">
        <f t="shared" ref="P4:P13" si="1">STDEV(L4:N4)</f>
        <v>0.20725982360592879</v>
      </c>
      <c r="R4" s="55">
        <f>C4</f>
        <v>110.91040965996342</v>
      </c>
      <c r="S4">
        <f>F4</f>
        <v>181.3671651002349</v>
      </c>
      <c r="T4">
        <f>I4</f>
        <v>179.25541173319155</v>
      </c>
      <c r="U4" s="44">
        <f>AVERAGE(S4:T4)</f>
        <v>180.31128841671324</v>
      </c>
      <c r="V4">
        <f>LN(($U$13)/(U4))</f>
        <v>1.3702571486454622</v>
      </c>
      <c r="W4" s="38">
        <f>STDEV(S4:T4)/(2)^0.5</f>
        <v>1.0558766835216744</v>
      </c>
      <c r="X4" s="46">
        <f>1.96*W4</f>
        <v>2.0695182997024819</v>
      </c>
      <c r="Y4" s="39">
        <f>(U4/$U$13)*SQRT(((X4/U4)^2)+(($X$13/$U$13)^2))</f>
        <v>2.3219522271769887E-2</v>
      </c>
      <c r="Z4" s="39">
        <f>(U4/$U$13)*SQRT(((W4/U4)^2)+(($W$13/$U$13)^2))</f>
        <v>1.1846695036617292E-2</v>
      </c>
      <c r="AA4" s="39">
        <f>(1/(U4/$U$13))*Y4</f>
        <v>9.140046360442397E-2</v>
      </c>
      <c r="AB4" s="39">
        <f>(1/(U4/$U$13))*Z4</f>
        <v>4.6632889594093875E-2</v>
      </c>
      <c r="AC4" s="40">
        <f>(X4^2+$X$13^2)^0.5</f>
        <v>64.393113979367044</v>
      </c>
      <c r="AD4" s="40">
        <f>(W4^2+$W$13^2)^0.5</f>
        <v>32.853629581309725</v>
      </c>
      <c r="AE4" s="40">
        <f>'TET L-H'!$G$34*'TET DATOS'!AC4</f>
        <v>243.49440983087376</v>
      </c>
      <c r="AF4" s="40">
        <f>'TET L-H'!$G$34*'TET DATOS'!AD4</f>
        <v>124.23184175044584</v>
      </c>
      <c r="AG4" s="41">
        <f>(AA4^2+AE4^2)^0.5</f>
        <v>243.49442698536296</v>
      </c>
      <c r="AH4" s="41">
        <f>(AB4^2+AF4^2)^0.5</f>
        <v>124.23185050273625</v>
      </c>
    </row>
    <row r="5" spans="2:34" x14ac:dyDescent="0.2">
      <c r="B5" s="11">
        <v>150</v>
      </c>
      <c r="C5">
        <v>174.28778660851395</v>
      </c>
      <c r="D5">
        <f>LN($C$13/C5)</f>
        <v>1.3156767939059373</v>
      </c>
      <c r="F5">
        <v>193.27229183501922</v>
      </c>
      <c r="G5">
        <f t="shared" ref="G5:G13" si="2">LN($F$13/F5)</f>
        <v>1.3727282615931735</v>
      </c>
      <c r="I5">
        <v>173.13449523498474</v>
      </c>
      <c r="J5">
        <f t="shared" ref="J5:J13" si="3">LN($I$13/I5)</f>
        <v>1.4210373095637649</v>
      </c>
      <c r="L5">
        <f t="shared" ref="L5:L13" si="4">D5</f>
        <v>1.3156767939059373</v>
      </c>
      <c r="M5">
        <f t="shared" si="0"/>
        <v>1.3727282615931735</v>
      </c>
      <c r="N5">
        <f>J5</f>
        <v>1.4210373095637649</v>
      </c>
      <c r="O5">
        <f>AVERAGE(L5:N5)</f>
        <v>1.3698141216876252</v>
      </c>
      <c r="P5">
        <f t="shared" si="1"/>
        <v>5.2740674279560258E-2</v>
      </c>
      <c r="R5">
        <f t="shared" ref="R5:R13" si="5">C5</f>
        <v>174.28778660851395</v>
      </c>
      <c r="S5">
        <f t="shared" ref="S5:S13" si="6">F5</f>
        <v>193.27229183501922</v>
      </c>
      <c r="T5">
        <f t="shared" ref="T5:T13" si="7">I5</f>
        <v>173.13449523498474</v>
      </c>
      <c r="U5" s="44">
        <f t="shared" ref="U5:U13" si="8">AVERAGE(R5:T5)</f>
        <v>180.23152455950594</v>
      </c>
      <c r="V5">
        <f t="shared" ref="V5:V13" si="9">LN(($U$13)/(U5))</f>
        <v>1.3706996140372982</v>
      </c>
      <c r="W5" s="38">
        <f t="shared" ref="W5:W13" si="10">STDEV(R5:T5)/(3)^0.5</f>
        <v>6.5288776115204046</v>
      </c>
      <c r="X5" s="46">
        <f t="shared" ref="X5:X13" si="11">1.96*W5</f>
        <v>12.796600118579994</v>
      </c>
      <c r="Y5" s="39">
        <f>(U5/$U$13)*SQRT(((X5/U5)^2)+(($X$13/$U$13)^2))</f>
        <v>2.9244271516530217E-2</v>
      </c>
      <c r="Z5" s="39">
        <f t="shared" ref="Z5:Z13" si="12">(U5/$U$13)*SQRT(((W5/U5)^2)+(($W$13/$U$13)^2))</f>
        <v>1.4920546692107255E-2</v>
      </c>
      <c r="AA5" s="39">
        <f t="shared" ref="AA5:AA13" si="13">(1/(U5/$U$13))*Y5</f>
        <v>0.11516700852866597</v>
      </c>
      <c r="AB5" s="39">
        <f t="shared" ref="AB5:AB13" si="14">(1/(U5/$U$13))*Z5</f>
        <v>5.8758677820747951E-2</v>
      </c>
      <c r="AC5" s="40">
        <f t="shared" ref="AC5:AC13" si="15">(X5^2+$X$13^2)^0.5</f>
        <v>65.619686044370823</v>
      </c>
      <c r="AD5" s="40">
        <f t="shared" ref="AD5:AD13" si="16">(W5^2+$W$13^2)^0.5</f>
        <v>33.479431655291236</v>
      </c>
      <c r="AE5" s="40">
        <f>'TET L-H'!$G$34*'TET DATOS'!AC5</f>
        <v>248.13253683897017</v>
      </c>
      <c r="AF5" s="40">
        <f>'TET L-H'!$G$34*'TET DATOS'!AD5</f>
        <v>126.59823308110722</v>
      </c>
      <c r="AG5" s="41">
        <f t="shared" ref="AG5:AG13" si="17">(AA5^2+AE5^2)^0.5</f>
        <v>248.13256356549164</v>
      </c>
      <c r="AH5" s="41">
        <f t="shared" ref="AH5:AH52" si="18">(AB5^2+AF5^2)^0.5</f>
        <v>126.59824671708756</v>
      </c>
    </row>
    <row r="6" spans="2:34" x14ac:dyDescent="0.2">
      <c r="B6" s="11">
        <v>120</v>
      </c>
      <c r="C6">
        <v>183.79439315079676</v>
      </c>
      <c r="D6">
        <f>LN($C$13/C6)</f>
        <v>1.2625669685919876</v>
      </c>
      <c r="F6">
        <v>279.02640784651521</v>
      </c>
      <c r="G6">
        <f t="shared" si="2"/>
        <v>1.0055218656020977</v>
      </c>
      <c r="I6">
        <v>244.83665992826158</v>
      </c>
      <c r="J6">
        <f t="shared" si="3"/>
        <v>1.0745147370890493</v>
      </c>
      <c r="L6">
        <f t="shared" si="4"/>
        <v>1.2625669685919876</v>
      </c>
      <c r="M6">
        <f t="shared" si="0"/>
        <v>1.0055218656020977</v>
      </c>
      <c r="N6">
        <f t="shared" ref="N6:N13" si="19">J6</f>
        <v>1.0745147370890493</v>
      </c>
      <c r="O6">
        <f t="shared" ref="O6:O13" si="20">AVERAGE(L6:N6)</f>
        <v>1.1142011904277114</v>
      </c>
      <c r="P6">
        <f t="shared" si="1"/>
        <v>0.13303874314169589</v>
      </c>
      <c r="R6">
        <f t="shared" si="5"/>
        <v>183.79439315079676</v>
      </c>
      <c r="S6">
        <f t="shared" si="6"/>
        <v>279.02640784651521</v>
      </c>
      <c r="T6">
        <f t="shared" si="7"/>
        <v>244.83665992826158</v>
      </c>
      <c r="U6" s="44">
        <f t="shared" si="8"/>
        <v>235.88582030852453</v>
      </c>
      <c r="V6">
        <f t="shared" si="9"/>
        <v>1.1015940102739041</v>
      </c>
      <c r="W6" s="38">
        <f t="shared" si="10"/>
        <v>27.853020800714305</v>
      </c>
      <c r="X6" s="46">
        <f t="shared" si="11"/>
        <v>54.591920769400033</v>
      </c>
      <c r="Y6" s="39">
        <f t="shared" ref="Y6:Y13" si="21">(U6/$U$13)*SQRT(((X6/U6)^2)+(($X$13/$U$13)^2))</f>
        <v>8.2607846810666158E-2</v>
      </c>
      <c r="Z6" s="39">
        <f t="shared" si="12"/>
        <v>4.2146860617686813E-2</v>
      </c>
      <c r="AA6" s="39">
        <f t="shared" si="13"/>
        <v>0.24856358399057318</v>
      </c>
      <c r="AB6" s="39">
        <f t="shared" si="14"/>
        <v>0.12681815509723121</v>
      </c>
      <c r="AC6" s="40">
        <f t="shared" si="15"/>
        <v>84.394715683266597</v>
      </c>
      <c r="AD6" s="40">
        <f t="shared" si="16"/>
        <v>43.058528409829897</v>
      </c>
      <c r="AE6" s="40">
        <f>'TET L-H'!$G$34*'TET DATOS'!AC6</f>
        <v>319.12793493301069</v>
      </c>
      <c r="AF6" s="40">
        <f>'TET L-H'!$G$34*'TET DATOS'!AD6</f>
        <v>162.82037496582177</v>
      </c>
      <c r="AG6" s="41">
        <f t="shared" si="17"/>
        <v>319.12803173407252</v>
      </c>
      <c r="AH6" s="41">
        <f t="shared" si="18"/>
        <v>162.82042435411861</v>
      </c>
    </row>
    <row r="7" spans="2:34" x14ac:dyDescent="0.2">
      <c r="B7" s="11">
        <v>90</v>
      </c>
      <c r="C7">
        <v>213.89864720135807</v>
      </c>
      <c r="D7">
        <f t="shared" ref="D7:D13" si="22">LN($C$13/C7)</f>
        <v>1.110882381259924</v>
      </c>
      <c r="F7">
        <v>246.47332693108842</v>
      </c>
      <c r="G7">
        <f t="shared" si="2"/>
        <v>1.1295745142720766</v>
      </c>
      <c r="I7">
        <v>327.90624097535033</v>
      </c>
      <c r="J7">
        <f>LN($I$13/I7)</f>
        <v>0.78237831428788818</v>
      </c>
      <c r="L7">
        <f t="shared" si="4"/>
        <v>1.110882381259924</v>
      </c>
      <c r="M7">
        <f t="shared" si="0"/>
        <v>1.1295745142720766</v>
      </c>
      <c r="N7">
        <f t="shared" si="19"/>
        <v>0.78237831428788818</v>
      </c>
      <c r="O7">
        <f t="shared" si="20"/>
        <v>1.0076117366066295</v>
      </c>
      <c r="P7">
        <f t="shared" si="1"/>
        <v>0.19528164239424894</v>
      </c>
      <c r="R7">
        <f t="shared" si="5"/>
        <v>213.89864720135807</v>
      </c>
      <c r="S7">
        <f t="shared" si="6"/>
        <v>246.47332693108842</v>
      </c>
      <c r="T7" s="55">
        <f t="shared" si="7"/>
        <v>327.90624097535033</v>
      </c>
      <c r="U7" s="44">
        <f>AVERAGE(R7:S7)</f>
        <v>230.18598706622325</v>
      </c>
      <c r="V7">
        <f t="shared" si="9"/>
        <v>1.1260542644037372</v>
      </c>
      <c r="W7" s="38">
        <f>STDEV(R7:S7)/(2)^0.5</f>
        <v>16.287339864865174</v>
      </c>
      <c r="X7" s="46">
        <f t="shared" si="11"/>
        <v>31.92318613513574</v>
      </c>
      <c r="Y7" s="39">
        <f t="shared" si="21"/>
        <v>5.3737409368485763E-2</v>
      </c>
      <c r="Z7" s="39">
        <f t="shared" si="12"/>
        <v>2.7417045596166215E-2</v>
      </c>
      <c r="AA7" s="39">
        <f t="shared" si="13"/>
        <v>0.16569747064729179</v>
      </c>
      <c r="AB7" s="39">
        <f t="shared" si="14"/>
        <v>8.4539525840455015E-2</v>
      </c>
      <c r="AC7" s="40">
        <f t="shared" si="15"/>
        <v>71.84204921204207</v>
      </c>
      <c r="AD7" s="40">
        <f t="shared" si="16"/>
        <v>36.654106740837797</v>
      </c>
      <c r="AE7" s="40">
        <f>'TET L-H'!$G$34*'TET DATOS'!AC7</f>
        <v>271.66161554994773</v>
      </c>
      <c r="AF7" s="40">
        <f>'TET L-H'!$G$34*'TET DATOS'!AD7</f>
        <v>138.60286507650397</v>
      </c>
      <c r="AG7" s="41">
        <f t="shared" si="17"/>
        <v>271.66166608275705</v>
      </c>
      <c r="AH7" s="41">
        <f t="shared" si="18"/>
        <v>138.60289085854953</v>
      </c>
    </row>
    <row r="8" spans="2:34" x14ac:dyDescent="0.2">
      <c r="B8" s="11">
        <v>75</v>
      </c>
      <c r="C8">
        <v>257.47059385348655</v>
      </c>
      <c r="D8">
        <f t="shared" si="22"/>
        <v>0.92547915792856128</v>
      </c>
      <c r="F8">
        <v>399.93785124667164</v>
      </c>
      <c r="G8">
        <f t="shared" si="2"/>
        <v>0.64551913157069118</v>
      </c>
      <c r="I8">
        <v>271.06915920628956</v>
      </c>
      <c r="J8">
        <f t="shared" si="3"/>
        <v>0.97273204277910719</v>
      </c>
      <c r="L8">
        <f t="shared" si="4"/>
        <v>0.92547915792856128</v>
      </c>
      <c r="M8">
        <f t="shared" si="0"/>
        <v>0.64551913157069118</v>
      </c>
      <c r="N8">
        <f t="shared" si="19"/>
        <v>0.97273204277910719</v>
      </c>
      <c r="O8">
        <f t="shared" si="20"/>
        <v>0.84791011075945322</v>
      </c>
      <c r="P8">
        <f t="shared" si="1"/>
        <v>0.17686093442140968</v>
      </c>
      <c r="R8">
        <f t="shared" si="5"/>
        <v>257.47059385348655</v>
      </c>
      <c r="S8" s="55">
        <f t="shared" si="6"/>
        <v>399.93785124667164</v>
      </c>
      <c r="T8">
        <f t="shared" si="7"/>
        <v>271.06915920628956</v>
      </c>
      <c r="U8" s="44">
        <f>AVERAGE(R8,T8)</f>
        <v>264.26987652988805</v>
      </c>
      <c r="V8">
        <f t="shared" si="9"/>
        <v>0.98797104539487168</v>
      </c>
      <c r="W8" s="38">
        <f>STDEV(R8,T8)/(2)^0.5</f>
        <v>6.7992826764015035</v>
      </c>
      <c r="X8" s="46">
        <f t="shared" si="11"/>
        <v>13.326594045746946</v>
      </c>
      <c r="Y8" s="39">
        <f t="shared" si="21"/>
        <v>3.8631586893635099E-2</v>
      </c>
      <c r="Z8" s="39">
        <f t="shared" si="12"/>
        <v>1.9709993313079134E-2</v>
      </c>
      <c r="AA8" s="39">
        <f t="shared" si="13"/>
        <v>0.10375592859229571</v>
      </c>
      <c r="AB8" s="39">
        <f t="shared" si="14"/>
        <v>5.293669826137537E-2</v>
      </c>
      <c r="AC8" s="40">
        <f t="shared" si="15"/>
        <v>65.725096658940643</v>
      </c>
      <c r="AD8" s="40">
        <f t="shared" si="16"/>
        <v>33.533212581092165</v>
      </c>
      <c r="AE8" s="40">
        <f>'TET L-H'!$G$34*'TET DATOS'!AC8</f>
        <v>248.5311337354149</v>
      </c>
      <c r="AF8" s="40">
        <f>'TET L-H'!$G$34*'TET DATOS'!AD8</f>
        <v>126.80159884459944</v>
      </c>
      <c r="AG8" s="41">
        <f t="shared" si="17"/>
        <v>248.53115539324924</v>
      </c>
      <c r="AH8" s="41">
        <f t="shared" si="18"/>
        <v>126.80160989451493</v>
      </c>
    </row>
    <row r="9" spans="2:34" x14ac:dyDescent="0.2">
      <c r="B9" s="11">
        <v>60</v>
      </c>
      <c r="C9">
        <v>354.60400062117247</v>
      </c>
      <c r="D9">
        <f t="shared" si="22"/>
        <v>0.60538299723988598</v>
      </c>
      <c r="F9">
        <v>330.18124928504295</v>
      </c>
      <c r="G9">
        <f t="shared" si="2"/>
        <v>0.83718655078288318</v>
      </c>
      <c r="I9">
        <v>284.18540884530358</v>
      </c>
      <c r="J9">
        <f t="shared" si="3"/>
        <v>0.9254791579285615</v>
      </c>
      <c r="L9">
        <f t="shared" si="4"/>
        <v>0.60538299723988598</v>
      </c>
      <c r="M9">
        <f t="shared" si="0"/>
        <v>0.83718655078288318</v>
      </c>
      <c r="N9">
        <f t="shared" si="19"/>
        <v>0.9254791579285615</v>
      </c>
      <c r="O9">
        <f t="shared" si="20"/>
        <v>0.78934956865044359</v>
      </c>
      <c r="P9">
        <f t="shared" si="1"/>
        <v>0.16532292843571991</v>
      </c>
      <c r="R9">
        <f t="shared" si="5"/>
        <v>354.60400062117247</v>
      </c>
      <c r="S9">
        <f t="shared" si="6"/>
        <v>330.18124928504295</v>
      </c>
      <c r="T9">
        <f t="shared" si="7"/>
        <v>284.18540884530358</v>
      </c>
      <c r="U9" s="44">
        <f t="shared" si="8"/>
        <v>322.99021958383969</v>
      </c>
      <c r="V9">
        <f t="shared" si="9"/>
        <v>0.7873198431345716</v>
      </c>
      <c r="W9" s="38">
        <f t="shared" si="10"/>
        <v>20.643624504487324</v>
      </c>
      <c r="X9" s="46">
        <f t="shared" si="11"/>
        <v>40.461504028795154</v>
      </c>
      <c r="Y9" s="39">
        <f t="shared" si="21"/>
        <v>7.0373498859319719E-2</v>
      </c>
      <c r="Z9" s="39">
        <f t="shared" si="12"/>
        <v>3.5904846356795771E-2</v>
      </c>
      <c r="AA9" s="39">
        <f t="shared" si="13"/>
        <v>0.15464568526952291</v>
      </c>
      <c r="AB9" s="39">
        <f t="shared" si="14"/>
        <v>7.8900859831389225E-2</v>
      </c>
      <c r="AC9" s="40">
        <f t="shared" si="15"/>
        <v>76.021862186078806</v>
      </c>
      <c r="AD9" s="40">
        <f t="shared" si="16"/>
        <v>38.786664380652454</v>
      </c>
      <c r="AE9" s="40">
        <f>'TET L-H'!$G$34*'TET DATOS'!AC9</f>
        <v>287.46704924341094</v>
      </c>
      <c r="AF9" s="40">
        <f>'TET L-H'!$G$34*'TET DATOS'!AD9</f>
        <v>146.66686185888312</v>
      </c>
      <c r="AG9" s="41">
        <f t="shared" si="17"/>
        <v>287.46709083998053</v>
      </c>
      <c r="AH9" s="41">
        <f t="shared" si="18"/>
        <v>146.6668830816227</v>
      </c>
    </row>
    <row r="10" spans="2:34" x14ac:dyDescent="0.2">
      <c r="B10" s="11">
        <v>45</v>
      </c>
      <c r="C10">
        <v>390.42006921364697</v>
      </c>
      <c r="D10">
        <f t="shared" si="22"/>
        <v>0.50916141286905092</v>
      </c>
      <c r="F10">
        <v>413.16460122986922</v>
      </c>
      <c r="G10">
        <f t="shared" si="2"/>
        <v>0.61298223096950255</v>
      </c>
      <c r="I10">
        <v>355.44229420880083</v>
      </c>
      <c r="J10">
        <f t="shared" si="3"/>
        <v>0.70174311795722311</v>
      </c>
      <c r="L10">
        <f t="shared" si="4"/>
        <v>0.50916141286905092</v>
      </c>
      <c r="M10">
        <f t="shared" si="0"/>
        <v>0.61298223096950255</v>
      </c>
      <c r="N10">
        <f t="shared" si="19"/>
        <v>0.70174311795722311</v>
      </c>
      <c r="O10">
        <f t="shared" si="20"/>
        <v>0.60796225393192549</v>
      </c>
      <c r="P10">
        <f t="shared" si="1"/>
        <v>9.6388943405144936E-2</v>
      </c>
      <c r="R10">
        <f t="shared" si="5"/>
        <v>390.42006921364697</v>
      </c>
      <c r="S10">
        <f t="shared" si="6"/>
        <v>413.16460122986922</v>
      </c>
      <c r="T10">
        <f t="shared" si="7"/>
        <v>355.44229420880083</v>
      </c>
      <c r="U10" s="44">
        <f t="shared" si="8"/>
        <v>386.34232155077234</v>
      </c>
      <c r="V10">
        <f t="shared" si="9"/>
        <v>0.60821806612523555</v>
      </c>
      <c r="W10" s="38">
        <f t="shared" si="10"/>
        <v>16.787269000249168</v>
      </c>
      <c r="X10" s="46">
        <f t="shared" si="11"/>
        <v>32.90304724048837</v>
      </c>
      <c r="Y10" s="39">
        <f t="shared" si="21"/>
        <v>6.7713662317088891E-2</v>
      </c>
      <c r="Z10" s="39">
        <f t="shared" si="12"/>
        <v>3.4547786896473927E-2</v>
      </c>
      <c r="AA10" s="39">
        <f t="shared" si="13"/>
        <v>0.12440047920587317</v>
      </c>
      <c r="AB10" s="39">
        <f t="shared" si="14"/>
        <v>6.3469632247894481E-2</v>
      </c>
      <c r="AC10" s="40">
        <f t="shared" si="15"/>
        <v>72.282783148387153</v>
      </c>
      <c r="AD10" s="40">
        <f t="shared" si="16"/>
        <v>36.878970994075083</v>
      </c>
      <c r="AE10" s="40">
        <f>'TET L-H'!$G$34*'TET DATOS'!AC10</f>
        <v>273.328195143492</v>
      </c>
      <c r="AF10" s="40">
        <f>'TET L-H'!$G$34*'TET DATOS'!AD10</f>
        <v>139.45316078749593</v>
      </c>
      <c r="AG10" s="41">
        <f t="shared" si="17"/>
        <v>273.32822345282614</v>
      </c>
      <c r="AH10" s="41">
        <f t="shared" si="18"/>
        <v>139.45317523103378</v>
      </c>
    </row>
    <row r="11" spans="2:34" x14ac:dyDescent="0.2">
      <c r="B11" s="11">
        <v>30</v>
      </c>
      <c r="C11">
        <v>443.70402413977826</v>
      </c>
      <c r="D11">
        <f t="shared" si="22"/>
        <v>0.38122694503429611</v>
      </c>
      <c r="F11">
        <v>514.33251224921457</v>
      </c>
      <c r="G11">
        <f t="shared" si="2"/>
        <v>0.39395832743475184</v>
      </c>
      <c r="I11">
        <v>544.70079619465207</v>
      </c>
      <c r="J11">
        <f t="shared" si="3"/>
        <v>0.27486938502323865</v>
      </c>
      <c r="L11">
        <f t="shared" si="4"/>
        <v>0.38122694503429611</v>
      </c>
      <c r="M11">
        <f t="shared" si="0"/>
        <v>0.39395832743475184</v>
      </c>
      <c r="N11">
        <f t="shared" si="19"/>
        <v>0.27486938502323865</v>
      </c>
      <c r="O11">
        <f t="shared" si="20"/>
        <v>0.35001821916409553</v>
      </c>
      <c r="P11">
        <f t="shared" si="1"/>
        <v>6.5391379240723524E-2</v>
      </c>
      <c r="R11">
        <f t="shared" si="5"/>
        <v>443.70402413977826</v>
      </c>
      <c r="S11">
        <f t="shared" si="6"/>
        <v>514.33251224921457</v>
      </c>
      <c r="T11">
        <f t="shared" si="7"/>
        <v>544.70079619465207</v>
      </c>
      <c r="U11" s="44">
        <f t="shared" si="8"/>
        <v>500.91244419454824</v>
      </c>
      <c r="V11">
        <f t="shared" si="9"/>
        <v>0.34851056224712718</v>
      </c>
      <c r="W11" s="38">
        <f t="shared" si="10"/>
        <v>29.917445642522921</v>
      </c>
      <c r="X11" s="46">
        <f t="shared" si="11"/>
        <v>58.638193459344926</v>
      </c>
      <c r="Y11" s="39">
        <f t="shared" si="21"/>
        <v>0.10450173780816598</v>
      </c>
      <c r="Z11" s="39">
        <f t="shared" si="12"/>
        <v>5.3317213167431626E-2</v>
      </c>
      <c r="AA11" s="39">
        <f t="shared" si="13"/>
        <v>0.14807431309557342</v>
      </c>
      <c r="AB11" s="39">
        <f t="shared" si="14"/>
        <v>7.5548118926312982E-2</v>
      </c>
      <c r="AC11" s="40">
        <f t="shared" si="15"/>
        <v>87.066801676313545</v>
      </c>
      <c r="AD11" s="40">
        <f t="shared" si="16"/>
        <v>44.421837589955892</v>
      </c>
      <c r="AE11" s="40">
        <f>'TET L-H'!$G$34*'TET DATOS'!AC11</f>
        <v>329.23208989130001</v>
      </c>
      <c r="AF11" s="40">
        <f>'TET L-H'!$G$34*'TET DATOS'!AD11</f>
        <v>167.97555606698981</v>
      </c>
      <c r="AG11" s="41">
        <f t="shared" si="17"/>
        <v>329.23212318999987</v>
      </c>
      <c r="AH11" s="41">
        <f t="shared" si="18"/>
        <v>167.97557305612239</v>
      </c>
    </row>
    <row r="12" spans="2:34" x14ac:dyDescent="0.2">
      <c r="B12" s="11">
        <v>15</v>
      </c>
      <c r="C12">
        <v>509.77708378254715</v>
      </c>
      <c r="D12">
        <f t="shared" si="22"/>
        <v>0.24241113333999129</v>
      </c>
      <c r="F12">
        <v>632.69491685493892</v>
      </c>
      <c r="G12">
        <f t="shared" si="2"/>
        <v>0.18683995265589542</v>
      </c>
      <c r="I12">
        <v>553.13921120303485</v>
      </c>
      <c r="J12">
        <f t="shared" si="3"/>
        <v>0.25949632312142579</v>
      </c>
      <c r="L12">
        <f t="shared" si="4"/>
        <v>0.24241113333999129</v>
      </c>
      <c r="M12">
        <f t="shared" si="0"/>
        <v>0.18683995265589542</v>
      </c>
      <c r="N12">
        <f t="shared" si="19"/>
        <v>0.25949632312142579</v>
      </c>
      <c r="O12">
        <f t="shared" si="20"/>
        <v>0.22958246970577081</v>
      </c>
      <c r="P12">
        <f t="shared" si="1"/>
        <v>3.7989051057983607E-2</v>
      </c>
      <c r="R12">
        <f t="shared" si="5"/>
        <v>509.77708378254715</v>
      </c>
      <c r="S12">
        <f t="shared" si="6"/>
        <v>632.69491685493892</v>
      </c>
      <c r="T12">
        <f t="shared" si="7"/>
        <v>553.13921120303485</v>
      </c>
      <c r="U12" s="44">
        <f t="shared" si="8"/>
        <v>565.20373728017364</v>
      </c>
      <c r="V12">
        <f t="shared" si="9"/>
        <v>0.22775562286954548</v>
      </c>
      <c r="W12" s="38">
        <f t="shared" si="10"/>
        <v>35.992420562772956</v>
      </c>
      <c r="X12" s="46">
        <f t="shared" si="11"/>
        <v>70.545144303034988</v>
      </c>
      <c r="Y12" s="39">
        <f t="shared" si="21"/>
        <v>0.12285205050992339</v>
      </c>
      <c r="Z12" s="39">
        <f t="shared" si="12"/>
        <v>6.2679617607103763E-2</v>
      </c>
      <c r="AA12" s="39">
        <f t="shared" si="13"/>
        <v>0.15427495196768565</v>
      </c>
      <c r="AB12" s="39">
        <f t="shared" si="14"/>
        <v>7.8711710187594708E-2</v>
      </c>
      <c r="AC12" s="40">
        <f t="shared" si="15"/>
        <v>95.492447904025283</v>
      </c>
      <c r="AD12" s="40">
        <f t="shared" si="16"/>
        <v>48.720636685727193</v>
      </c>
      <c r="AE12" s="40">
        <f>'TET L-H'!$G$34*'TET DATOS'!AC12</f>
        <v>361.09260460903482</v>
      </c>
      <c r="AF12" s="40">
        <f>'TET L-H'!$G$34*'TET DATOS'!AD12</f>
        <v>184.23092071889533</v>
      </c>
      <c r="AG12" s="41">
        <f t="shared" si="17"/>
        <v>361.09263756562189</v>
      </c>
      <c r="AH12" s="41">
        <f t="shared" si="18"/>
        <v>184.23093753348056</v>
      </c>
    </row>
    <row r="13" spans="2:34" x14ac:dyDescent="0.2">
      <c r="B13" s="11">
        <v>0</v>
      </c>
      <c r="C13">
        <v>649.61811372264299</v>
      </c>
      <c r="D13">
        <f t="shared" si="22"/>
        <v>0</v>
      </c>
      <c r="F13">
        <v>762.67218144714161</v>
      </c>
      <c r="G13">
        <f t="shared" si="2"/>
        <v>0</v>
      </c>
      <c r="I13">
        <v>717.02164693276609</v>
      </c>
      <c r="J13">
        <f t="shared" si="3"/>
        <v>0</v>
      </c>
      <c r="L13">
        <f t="shared" si="4"/>
        <v>0</v>
      </c>
      <c r="M13">
        <f t="shared" si="0"/>
        <v>0</v>
      </c>
      <c r="N13">
        <f t="shared" si="19"/>
        <v>0</v>
      </c>
      <c r="O13">
        <f t="shared" si="20"/>
        <v>0</v>
      </c>
      <c r="P13">
        <f t="shared" si="1"/>
        <v>0</v>
      </c>
      <c r="R13">
        <f t="shared" si="5"/>
        <v>649.61811372264299</v>
      </c>
      <c r="S13">
        <f t="shared" si="6"/>
        <v>762.67218144714161</v>
      </c>
      <c r="T13">
        <f t="shared" si="7"/>
        <v>717.02164693276609</v>
      </c>
      <c r="U13" s="44">
        <f t="shared" si="8"/>
        <v>709.77064736751697</v>
      </c>
      <c r="V13">
        <f t="shared" si="9"/>
        <v>0</v>
      </c>
      <c r="W13" s="38">
        <f t="shared" si="10"/>
        <v>32.836657885587329</v>
      </c>
      <c r="X13" s="46">
        <f t="shared" si="11"/>
        <v>64.35984945575116</v>
      </c>
      <c r="Y13" s="39">
        <f t="shared" si="21"/>
        <v>0.12823659630078338</v>
      </c>
      <c r="Z13" s="39">
        <f t="shared" si="12"/>
        <v>6.5426834847338466E-2</v>
      </c>
      <c r="AA13" s="39">
        <f t="shared" si="13"/>
        <v>0.12823659630078338</v>
      </c>
      <c r="AB13" s="39">
        <f t="shared" si="14"/>
        <v>6.5426834847338466E-2</v>
      </c>
      <c r="AC13" s="40">
        <f t="shared" si="15"/>
        <v>91.018571972613955</v>
      </c>
      <c r="AD13" s="40">
        <f t="shared" si="16"/>
        <v>46.438046924803039</v>
      </c>
      <c r="AE13" s="40">
        <f>'TET L-H'!$G$34*'TET DATOS'!AC13</f>
        <v>344.17520906384328</v>
      </c>
      <c r="AF13" s="40">
        <f>'TET L-H'!$G$34*'TET DATOS'!AD13</f>
        <v>175.59959646114456</v>
      </c>
      <c r="AG13" s="41">
        <f t="shared" si="17"/>
        <v>344.17523295374536</v>
      </c>
      <c r="AH13" s="41">
        <f t="shared" si="18"/>
        <v>175.59960864987008</v>
      </c>
    </row>
    <row r="14" spans="2:34" x14ac:dyDescent="0.2">
      <c r="AC14" s="42"/>
      <c r="AD14" s="42"/>
      <c r="AE14" s="42"/>
      <c r="AF14" s="40"/>
      <c r="AG14" s="42"/>
      <c r="AH14" s="41"/>
    </row>
    <row r="15" spans="2:34" x14ac:dyDescent="0.2">
      <c r="AC15" s="42"/>
      <c r="AD15" s="42"/>
      <c r="AE15" s="42"/>
      <c r="AF15" s="40"/>
      <c r="AG15" s="42"/>
      <c r="AH15" s="41"/>
    </row>
    <row r="16" spans="2:34" x14ac:dyDescent="0.2">
      <c r="B16" t="s">
        <v>1</v>
      </c>
      <c r="D16" t="s">
        <v>22</v>
      </c>
      <c r="G16" t="s">
        <v>22</v>
      </c>
      <c r="J16" t="s">
        <v>22</v>
      </c>
      <c r="L16" s="37" t="s">
        <v>23</v>
      </c>
      <c r="M16" s="37" t="s">
        <v>24</v>
      </c>
      <c r="N16" s="37" t="s">
        <v>25</v>
      </c>
      <c r="O16" t="s">
        <v>26</v>
      </c>
      <c r="P16" t="s">
        <v>0</v>
      </c>
      <c r="R16" t="s">
        <v>27</v>
      </c>
      <c r="S16" t="s">
        <v>28</v>
      </c>
      <c r="T16" t="s">
        <v>29</v>
      </c>
      <c r="U16" s="44" t="s">
        <v>26</v>
      </c>
      <c r="V16" t="s">
        <v>22</v>
      </c>
      <c r="W16" s="38" t="s">
        <v>30</v>
      </c>
      <c r="X16" s="45" t="s">
        <v>31</v>
      </c>
      <c r="AC16" s="42"/>
      <c r="AD16" s="42"/>
      <c r="AE16" s="42"/>
      <c r="AF16" s="40"/>
      <c r="AG16" s="42"/>
      <c r="AH16" s="41"/>
    </row>
    <row r="17" spans="2:34" x14ac:dyDescent="0.2">
      <c r="B17" s="11">
        <v>1440</v>
      </c>
      <c r="C17">
        <v>35.373651883655839</v>
      </c>
      <c r="D17">
        <f>LN($C$26/C17)</f>
        <v>2.2331834788633906</v>
      </c>
      <c r="F17">
        <v>28.069906037934746</v>
      </c>
      <c r="G17">
        <f>LN($F$26/F17)</f>
        <v>2.3949296257801338</v>
      </c>
      <c r="I17">
        <v>17.820983204305172</v>
      </c>
      <c r="J17">
        <f>LN($I$26/I17)</f>
        <v>2.7846259092711114</v>
      </c>
      <c r="L17">
        <f t="shared" ref="L17:L26" si="23">D17</f>
        <v>2.2331834788633906</v>
      </c>
      <c r="M17">
        <f t="shared" ref="M17:M26" si="24">G17</f>
        <v>2.3949296257801338</v>
      </c>
      <c r="N17">
        <f>J17</f>
        <v>2.7846259092711114</v>
      </c>
      <c r="O17">
        <f>AVERAGE(L17:N17)</f>
        <v>2.4709130046382124</v>
      </c>
      <c r="P17">
        <f t="shared" ref="P17:P26" si="25">STDEV(L17:N17)</f>
        <v>0.28346480188995454</v>
      </c>
      <c r="R17">
        <f>C17</f>
        <v>35.373651883655839</v>
      </c>
      <c r="S17">
        <f>F17</f>
        <v>28.069906037934746</v>
      </c>
      <c r="T17" s="55">
        <f>I17</f>
        <v>17.820983204305172</v>
      </c>
      <c r="U17" s="44">
        <f>AVERAGE(R17:S17)</f>
        <v>31.721778960795291</v>
      </c>
      <c r="V17">
        <f t="shared" ref="V17:V25" si="26">LN(($U$13)/(U17))</f>
        <v>3.107938407525229</v>
      </c>
      <c r="W17" s="38">
        <f>STDEV(R17:S17)/(2)^0.5</f>
        <v>3.6518729228605569</v>
      </c>
      <c r="X17" s="46">
        <f>1.96*W17</f>
        <v>7.1576709288066915</v>
      </c>
      <c r="Y17" s="39">
        <f>(U17/$U$13)*SQRT(((X17/U17)^2)+(($X$13/$U$13)^2))</f>
        <v>1.0868330013705012E-2</v>
      </c>
      <c r="Z17" s="39">
        <f>(U17/$U$13)*SQRT(((W17/U17)^2)+(($W$13/$U$13)^2))</f>
        <v>5.5450663335229649E-3</v>
      </c>
      <c r="AA17" s="39">
        <f>(1/(U17/$U$13))*Y17</f>
        <v>0.24317745985068878</v>
      </c>
      <c r="AB17" s="39">
        <f>(1/(U17/$U$13))*Z17</f>
        <v>0.12407013257688201</v>
      </c>
      <c r="AC17" s="40">
        <f>(X17^2+$X$13^2)^0.5</f>
        <v>64.756640393800836</v>
      </c>
      <c r="AD17" s="40">
        <f>(W17^2+$W$13^2)^0.5</f>
        <v>33.039102241735115</v>
      </c>
      <c r="AE17" s="40">
        <f>'TET L-H'!$G$34*'TET DATOS'!AC17</f>
        <v>244.86903895300091</v>
      </c>
      <c r="AF17" s="40">
        <f>'TET L-H'!$G$34*'TET DATOS'!AD17</f>
        <v>124.93318313928616</v>
      </c>
      <c r="AG17" s="41">
        <f>(AA17^2+AE17^2)^0.5</f>
        <v>244.86915970175431</v>
      </c>
      <c r="AH17" s="41">
        <f t="shared" si="18"/>
        <v>124.933244745793</v>
      </c>
    </row>
    <row r="18" spans="2:34" x14ac:dyDescent="0.2">
      <c r="B18" s="11">
        <v>150</v>
      </c>
      <c r="C18">
        <v>40.427441425454319</v>
      </c>
      <c r="D18">
        <f t="shared" ref="D18:D26" si="27">LN($C$26/C18)</f>
        <v>2.0996419272145048</v>
      </c>
      <c r="F18">
        <v>35.165028338292579</v>
      </c>
      <c r="G18">
        <f t="shared" ref="G18:G26" si="28">LN($F$26/F18)</f>
        <v>2.1695755931027514</v>
      </c>
      <c r="I18">
        <v>24.414608130415282</v>
      </c>
      <c r="J18">
        <f t="shared" ref="J18:J26" si="29">LN($I$26/I18)</f>
        <v>2.4698208569722078</v>
      </c>
      <c r="L18">
        <f t="shared" si="23"/>
        <v>2.0996419272145048</v>
      </c>
      <c r="M18">
        <f t="shared" si="24"/>
        <v>2.1695755931027514</v>
      </c>
      <c r="N18">
        <f>J18</f>
        <v>2.4698208569722078</v>
      </c>
      <c r="O18">
        <f t="shared" ref="O18:O26" si="30">AVERAGE(L18:N18)</f>
        <v>2.246346125763155</v>
      </c>
      <c r="P18">
        <f t="shared" si="25"/>
        <v>0.19666823846991952</v>
      </c>
      <c r="R18">
        <f t="shared" ref="R18:R26" si="31">C18</f>
        <v>40.427441425454319</v>
      </c>
      <c r="S18">
        <f t="shared" ref="S18:S26" si="32">F18</f>
        <v>35.165028338292579</v>
      </c>
      <c r="T18" s="55">
        <f t="shared" ref="T18:T26" si="33">I18</f>
        <v>24.414608130415282</v>
      </c>
      <c r="U18" s="44">
        <f>AVERAGE(R18:S18)</f>
        <v>37.796234881873445</v>
      </c>
      <c r="V18">
        <f t="shared" si="26"/>
        <v>2.9327323946077284</v>
      </c>
      <c r="W18" s="38">
        <f>STDEV(R18:S18)/(2)^0.5</f>
        <v>2.6312065435808698</v>
      </c>
      <c r="X18" s="46">
        <f t="shared" ref="X18:X52" si="34">1.96*W18</f>
        <v>5.157164825418505</v>
      </c>
      <c r="Y18" s="39">
        <f t="shared" ref="Y18:Y26" si="35">(U18/$U$13)*SQRT(((X18/U18)^2)+(($X$13/$U$13)^2))</f>
        <v>8.7241170546820089E-3</v>
      </c>
      <c r="Z18" s="39">
        <f t="shared" ref="Z18:Z26" si="36">(U18/$U$13)*SQRT(((W18/U18)^2)+(($W$13/$U$13)^2))</f>
        <v>4.4510801299398007E-3</v>
      </c>
      <c r="AA18" s="39">
        <f t="shared" ref="AA18:AA26" si="37">(1/(U18/$U$13))*Y18</f>
        <v>0.16382907527599533</v>
      </c>
      <c r="AB18" s="39">
        <f t="shared" ref="AB18:AB26" si="38">(1/(U18/$U$13))*Z18</f>
        <v>8.3586262895915989E-2</v>
      </c>
      <c r="AC18" s="40">
        <f t="shared" ref="AC18:AC26" si="39">(X18^2+$X$13^2)^0.5</f>
        <v>64.566141057085687</v>
      </c>
      <c r="AD18" s="40">
        <f t="shared" ref="AD18:AD26" si="40">(W18^2+$W$13^2)^0.5</f>
        <v>32.941908702594745</v>
      </c>
      <c r="AE18" s="40">
        <f>'TET L-H'!$G$34*'TET DATOS'!AC18</f>
        <v>244.14868982403206</v>
      </c>
      <c r="AF18" s="40">
        <f>'TET L-H'!$G$34*'TET DATOS'!AD18</f>
        <v>124.56565807348578</v>
      </c>
      <c r="AG18" s="41">
        <f t="shared" ref="AG18:AG26" si="41">(AA18^2+AE18^2)^0.5</f>
        <v>244.14874479046031</v>
      </c>
      <c r="AH18" s="41">
        <f t="shared" si="18"/>
        <v>124.56568611758183</v>
      </c>
    </row>
    <row r="19" spans="2:34" x14ac:dyDescent="0.2">
      <c r="B19" s="11">
        <v>120</v>
      </c>
      <c r="C19">
        <v>49.395440935009361</v>
      </c>
      <c r="D19">
        <f t="shared" si="27"/>
        <v>1.8992925936346525</v>
      </c>
      <c r="F19">
        <v>57.014022295339267</v>
      </c>
      <c r="G19">
        <f t="shared" si="28"/>
        <v>1.6863304259671983</v>
      </c>
      <c r="I19">
        <v>26.813917881883761</v>
      </c>
      <c r="J19">
        <f t="shared" si="29"/>
        <v>2.3760814273294835</v>
      </c>
      <c r="L19">
        <f t="shared" si="23"/>
        <v>1.8992925936346525</v>
      </c>
      <c r="M19">
        <f t="shared" si="24"/>
        <v>1.6863304259671983</v>
      </c>
      <c r="N19">
        <f t="shared" ref="N19:N26" si="42">J19</f>
        <v>2.3760814273294835</v>
      </c>
      <c r="O19">
        <f t="shared" si="30"/>
        <v>1.987234815643778</v>
      </c>
      <c r="P19">
        <f t="shared" si="25"/>
        <v>0.35318477710540658</v>
      </c>
      <c r="R19">
        <f t="shared" si="31"/>
        <v>49.395440935009361</v>
      </c>
      <c r="S19">
        <f t="shared" si="32"/>
        <v>57.014022295339267</v>
      </c>
      <c r="T19" s="55">
        <f t="shared" si="33"/>
        <v>26.813917881883761</v>
      </c>
      <c r="U19" s="44">
        <f>AVERAGE(R19:S19)</f>
        <v>53.20473161517431</v>
      </c>
      <c r="V19">
        <f t="shared" si="26"/>
        <v>2.590794553445074</v>
      </c>
      <c r="W19" s="38">
        <f>STDEV(R19:S19)/(2)^0.5</f>
        <v>3.8092906801649522</v>
      </c>
      <c r="X19" s="46">
        <f t="shared" si="34"/>
        <v>7.4662097331233062</v>
      </c>
      <c r="Y19" s="39">
        <f t="shared" si="35"/>
        <v>1.2524177851496412E-2</v>
      </c>
      <c r="Z19" s="39">
        <f t="shared" si="36"/>
        <v>6.3898866589267413E-3</v>
      </c>
      <c r="AA19" s="39">
        <f t="shared" si="37"/>
        <v>0.16707712926169985</v>
      </c>
      <c r="AB19" s="39">
        <f t="shared" si="38"/>
        <v>8.5243433296785631E-2</v>
      </c>
      <c r="AC19" s="40">
        <f t="shared" si="39"/>
        <v>64.791469421104651</v>
      </c>
      <c r="AD19" s="40">
        <f t="shared" si="40"/>
        <v>33.056872153624823</v>
      </c>
      <c r="AE19" s="40">
        <f>'TET L-H'!$G$34*'TET DATOS'!AC19</f>
        <v>245.00074051119924</v>
      </c>
      <c r="AF19" s="40">
        <f>'TET L-H'!$G$34*'TET DATOS'!AD19</f>
        <v>125.00037781183636</v>
      </c>
      <c r="AG19" s="41">
        <f t="shared" si="41"/>
        <v>245.00079747993294</v>
      </c>
      <c r="AH19" s="41">
        <f t="shared" si="18"/>
        <v>125.00040687751681</v>
      </c>
    </row>
    <row r="20" spans="2:34" x14ac:dyDescent="0.2">
      <c r="B20" s="11">
        <v>90</v>
      </c>
      <c r="C20">
        <v>58.282985903509854</v>
      </c>
      <c r="D20">
        <f t="shared" si="27"/>
        <v>1.7338405110304604</v>
      </c>
      <c r="F20">
        <v>85.73732436722122</v>
      </c>
      <c r="G20">
        <f t="shared" si="28"/>
        <v>1.2783394143997697</v>
      </c>
      <c r="I20">
        <v>60.997632082912794</v>
      </c>
      <c r="J20">
        <f t="shared" si="29"/>
        <v>1.5541674588882108</v>
      </c>
      <c r="L20">
        <f t="shared" si="23"/>
        <v>1.7338405110304604</v>
      </c>
      <c r="M20">
        <f t="shared" si="24"/>
        <v>1.2783394143997697</v>
      </c>
      <c r="N20">
        <f t="shared" si="42"/>
        <v>1.5541674588882108</v>
      </c>
      <c r="O20">
        <f t="shared" si="30"/>
        <v>1.5221157947728134</v>
      </c>
      <c r="P20">
        <f t="shared" si="25"/>
        <v>0.22943581703249022</v>
      </c>
      <c r="R20">
        <f t="shared" si="31"/>
        <v>58.282985903509854</v>
      </c>
      <c r="S20" s="55">
        <f t="shared" si="32"/>
        <v>85.73732436722122</v>
      </c>
      <c r="T20">
        <f t="shared" si="33"/>
        <v>60.997632082912794</v>
      </c>
      <c r="U20" s="44">
        <f>AVERAGE(R20,T20)</f>
        <v>59.64030899321132</v>
      </c>
      <c r="V20">
        <f t="shared" si="26"/>
        <v>2.4766102151167813</v>
      </c>
      <c r="W20" s="38">
        <f>STDEV(R20,T20)/(2)^0.5</f>
        <v>1.3573230897014703</v>
      </c>
      <c r="X20" s="46">
        <f t="shared" si="34"/>
        <v>2.6603532558148819</v>
      </c>
      <c r="Y20" s="39">
        <f t="shared" si="35"/>
        <v>8.491386527462487E-3</v>
      </c>
      <c r="Z20" s="39">
        <f>(U20/$U$13)*SQRT(((W20/U20)^2)+(($W$13/$U$13)^2))</f>
        <v>4.3323400650318814E-3</v>
      </c>
      <c r="AA20" s="39">
        <f t="shared" si="37"/>
        <v>0.10105475666349902</v>
      </c>
      <c r="AB20" s="39">
        <f t="shared" si="38"/>
        <v>5.155854931811174E-2</v>
      </c>
      <c r="AC20" s="40">
        <f t="shared" si="39"/>
        <v>64.414809643533658</v>
      </c>
      <c r="AD20" s="40">
        <f t="shared" si="40"/>
        <v>32.86469879772126</v>
      </c>
      <c r="AE20" s="40">
        <f>'TET L-H'!$G$34*'TET DATOS'!AC20</f>
        <v>243.57644923874946</v>
      </c>
      <c r="AF20" s="40">
        <f>'TET L-H'!$G$34*'TET DATOS'!AD20</f>
        <v>124.27369859119872</v>
      </c>
      <c r="AG20" s="41">
        <f t="shared" si="41"/>
        <v>243.57647020149736</v>
      </c>
      <c r="AH20" s="41">
        <f t="shared" si="18"/>
        <v>124.27370928647827</v>
      </c>
    </row>
    <row r="21" spans="2:34" x14ac:dyDescent="0.2">
      <c r="B21" s="11">
        <v>75</v>
      </c>
      <c r="C21">
        <v>78.201813905091427</v>
      </c>
      <c r="D21">
        <f t="shared" si="27"/>
        <v>1.439857881805136</v>
      </c>
      <c r="F21">
        <v>105.66319603195664</v>
      </c>
      <c r="G21">
        <f t="shared" si="28"/>
        <v>1.0693710291825067</v>
      </c>
      <c r="I21">
        <v>66.107642078973925</v>
      </c>
      <c r="J21">
        <f t="shared" si="29"/>
        <v>1.4737181499175158</v>
      </c>
      <c r="L21">
        <f t="shared" si="23"/>
        <v>1.439857881805136</v>
      </c>
      <c r="M21">
        <f t="shared" si="24"/>
        <v>1.0693710291825067</v>
      </c>
      <c r="N21">
        <f t="shared" si="42"/>
        <v>1.4737181499175158</v>
      </c>
      <c r="O21">
        <f t="shared" si="30"/>
        <v>1.3276490203017195</v>
      </c>
      <c r="P21">
        <f t="shared" si="25"/>
        <v>0.22431511309225868</v>
      </c>
      <c r="R21">
        <f t="shared" si="31"/>
        <v>78.201813905091427</v>
      </c>
      <c r="S21" s="55">
        <f t="shared" si="32"/>
        <v>105.66319603195664</v>
      </c>
      <c r="T21">
        <f t="shared" si="33"/>
        <v>66.107642078973925</v>
      </c>
      <c r="U21" s="44">
        <f>AVERAGE(R21,T21)</f>
        <v>72.154727992032676</v>
      </c>
      <c r="V21">
        <f t="shared" si="26"/>
        <v>2.2861290728646053</v>
      </c>
      <c r="W21" s="38">
        <f>STDEV(R21,T21)/(2)^0.5</f>
        <v>6.0470859130587513</v>
      </c>
      <c r="X21" s="46">
        <f t="shared" si="34"/>
        <v>11.852288389595152</v>
      </c>
      <c r="Y21" s="39">
        <f t="shared" si="35"/>
        <v>1.9074139632559321E-2</v>
      </c>
      <c r="Z21" s="39">
        <f t="shared" si="36"/>
        <v>9.7317038941629203E-3</v>
      </c>
      <c r="AA21" s="39">
        <f t="shared" si="37"/>
        <v>0.18762823742437137</v>
      </c>
      <c r="AB21" s="39">
        <f t="shared" si="38"/>
        <v>9.5728692563454801E-2</v>
      </c>
      <c r="AC21" s="40">
        <f t="shared" si="39"/>
        <v>65.442088613040809</v>
      </c>
      <c r="AD21" s="40">
        <f t="shared" si="40"/>
        <v>33.388820720939187</v>
      </c>
      <c r="AE21" s="40">
        <f>'TET L-H'!$G$34*'TET DATOS'!AC21</f>
        <v>247.46097463213175</v>
      </c>
      <c r="AF21" s="40">
        <f>'TET L-H'!$G$34*'TET DATOS'!AD21</f>
        <v>126.25559930210802</v>
      </c>
      <c r="AG21" s="41">
        <f t="shared" si="41"/>
        <v>247.46104576324743</v>
      </c>
      <c r="AH21" s="41">
        <f t="shared" si="18"/>
        <v>126.25563559349357</v>
      </c>
    </row>
    <row r="22" spans="2:34" x14ac:dyDescent="0.2">
      <c r="B22" s="11">
        <v>60</v>
      </c>
      <c r="C22">
        <v>132.36701763680671</v>
      </c>
      <c r="D22">
        <f t="shared" si="27"/>
        <v>0.91357222383966452</v>
      </c>
      <c r="F22">
        <v>106.0603450263088</v>
      </c>
      <c r="G22">
        <f t="shared" si="28"/>
        <v>1.0656194439013471</v>
      </c>
      <c r="I22">
        <v>104.09837580715339</v>
      </c>
      <c r="J22">
        <f t="shared" si="29"/>
        <v>1.0196661307327188</v>
      </c>
      <c r="L22">
        <f t="shared" si="23"/>
        <v>0.91357222383966452</v>
      </c>
      <c r="M22">
        <f t="shared" si="24"/>
        <v>1.0656194439013471</v>
      </c>
      <c r="N22">
        <f t="shared" si="42"/>
        <v>1.0196661307327188</v>
      </c>
      <c r="O22">
        <f t="shared" si="30"/>
        <v>0.99961926615791008</v>
      </c>
      <c r="P22">
        <f t="shared" si="25"/>
        <v>7.7980746768558026E-2</v>
      </c>
      <c r="R22" s="55">
        <f t="shared" si="31"/>
        <v>132.36701763680671</v>
      </c>
      <c r="S22">
        <f t="shared" si="32"/>
        <v>106.0603450263088</v>
      </c>
      <c r="T22">
        <f t="shared" si="33"/>
        <v>104.09837580715339</v>
      </c>
      <c r="U22" s="44">
        <f>AVERAGE(S22:T22)</f>
        <v>105.07936041673109</v>
      </c>
      <c r="V22">
        <f t="shared" si="26"/>
        <v>1.9102260078055673</v>
      </c>
      <c r="W22" s="38">
        <f>STDEV(S22:T22)/(2)^0.5</f>
        <v>0.98098460957770317</v>
      </c>
      <c r="X22" s="46">
        <f t="shared" si="34"/>
        <v>1.9227298347722981</v>
      </c>
      <c r="Y22" s="39">
        <f t="shared" si="35"/>
        <v>1.369504045444524E-2</v>
      </c>
      <c r="Z22" s="39">
        <f t="shared" si="36"/>
        <v>6.9872655379822667E-3</v>
      </c>
      <c r="AA22" s="39">
        <f t="shared" si="37"/>
        <v>9.2504728716717874E-2</v>
      </c>
      <c r="AB22" s="39">
        <f t="shared" si="38"/>
        <v>4.7196290161590757E-2</v>
      </c>
      <c r="AC22" s="40">
        <f t="shared" si="39"/>
        <v>64.388563518566528</v>
      </c>
      <c r="AD22" s="40">
        <f t="shared" si="40"/>
        <v>32.851307917635985</v>
      </c>
      <c r="AE22" s="40">
        <f>'TET L-H'!$G$34*'TET DATOS'!AC22</f>
        <v>243.47720283933995</v>
      </c>
      <c r="AF22" s="40">
        <f>'TET L-H'!$G$34*'TET DATOS'!AD22</f>
        <v>124.22306267313263</v>
      </c>
      <c r="AG22" s="41">
        <f t="shared" si="41"/>
        <v>243.47722041208274</v>
      </c>
      <c r="AH22" s="41">
        <f t="shared" si="18"/>
        <v>124.22307163881774</v>
      </c>
    </row>
    <row r="23" spans="2:34" x14ac:dyDescent="0.2">
      <c r="B23" s="11">
        <v>45</v>
      </c>
      <c r="C23">
        <v>146.51227006578804</v>
      </c>
      <c r="D23">
        <f t="shared" si="27"/>
        <v>0.81204154513949822</v>
      </c>
      <c r="F23">
        <v>135.24901537351218</v>
      </c>
      <c r="G23">
        <f t="shared" si="28"/>
        <v>0.82251003107670395</v>
      </c>
      <c r="I23">
        <v>108.64856812914827</v>
      </c>
      <c r="J23">
        <f t="shared" si="29"/>
        <v>0.97688397612647826</v>
      </c>
      <c r="L23">
        <f t="shared" si="23"/>
        <v>0.81204154513949822</v>
      </c>
      <c r="M23">
        <f t="shared" si="24"/>
        <v>0.82251003107670395</v>
      </c>
      <c r="N23">
        <f t="shared" si="42"/>
        <v>0.97688397612647826</v>
      </c>
      <c r="O23">
        <f t="shared" si="30"/>
        <v>0.87047851744756011</v>
      </c>
      <c r="P23">
        <f t="shared" si="25"/>
        <v>9.2298366870479251E-2</v>
      </c>
      <c r="R23">
        <f t="shared" si="31"/>
        <v>146.51227006578804</v>
      </c>
      <c r="S23">
        <f t="shared" si="32"/>
        <v>135.24901537351218</v>
      </c>
      <c r="T23" s="55">
        <f t="shared" si="33"/>
        <v>108.64856812914827</v>
      </c>
      <c r="U23" s="44">
        <f>AVERAGE(R23:S23)</f>
        <v>140.8806427196501</v>
      </c>
      <c r="V23">
        <f t="shared" si="26"/>
        <v>1.6170288596169495</v>
      </c>
      <c r="W23" s="38">
        <f>STDEV(R23:S23)/(2)^0.5</f>
        <v>5.6316273461379316</v>
      </c>
      <c r="X23" s="46">
        <f t="shared" si="34"/>
        <v>11.037989598430345</v>
      </c>
      <c r="Y23" s="39">
        <f t="shared" si="35"/>
        <v>2.3786251658897681E-2</v>
      </c>
      <c r="Z23" s="39">
        <f t="shared" si="36"/>
        <v>1.2135842683111063E-2</v>
      </c>
      <c r="AA23" s="39">
        <f t="shared" si="37"/>
        <v>0.11983749443831622</v>
      </c>
      <c r="AB23" s="39">
        <f>(1/(U23/$U$13))*Z23</f>
        <v>6.1141578795059305E-2</v>
      </c>
      <c r="AC23" s="40">
        <f>(X23^2+$X$13^2)^0.5</f>
        <v>65.299520950325586</v>
      </c>
      <c r="AD23" s="40">
        <f t="shared" si="40"/>
        <v>33.316082117513055</v>
      </c>
      <c r="AE23" s="40">
        <f>'TET L-H'!$G$34*'TET DATOS'!AC23</f>
        <v>246.92187306134991</v>
      </c>
      <c r="AF23" s="40">
        <f>'TET L-H'!$G$34*'TET DATOS'!AD23</f>
        <v>125.98054748028058</v>
      </c>
      <c r="AG23" s="41">
        <f t="shared" si="41"/>
        <v>246.92190214144728</v>
      </c>
      <c r="AH23" s="41">
        <f t="shared" si="18"/>
        <v>125.98056231706497</v>
      </c>
    </row>
    <row r="24" spans="2:34" x14ac:dyDescent="0.2">
      <c r="B24" s="11">
        <v>30</v>
      </c>
      <c r="C24">
        <v>163.70862547525667</v>
      </c>
      <c r="D24">
        <f t="shared" si="27"/>
        <v>0.70106255106885229</v>
      </c>
      <c r="F24">
        <v>162.31190020523294</v>
      </c>
      <c r="G24">
        <f t="shared" si="28"/>
        <v>0.64010787462122443</v>
      </c>
      <c r="I24">
        <v>123.94379292236002</v>
      </c>
      <c r="J24">
        <f t="shared" si="29"/>
        <v>0.84517432403806525</v>
      </c>
      <c r="L24">
        <f t="shared" si="23"/>
        <v>0.70106255106885229</v>
      </c>
      <c r="M24">
        <f t="shared" si="24"/>
        <v>0.64010787462122443</v>
      </c>
      <c r="N24">
        <f t="shared" si="42"/>
        <v>0.84517432403806525</v>
      </c>
      <c r="O24">
        <f t="shared" si="30"/>
        <v>0.72878158324271392</v>
      </c>
      <c r="P24">
        <f t="shared" si="25"/>
        <v>0.10530584374857438</v>
      </c>
      <c r="R24">
        <f t="shared" si="31"/>
        <v>163.70862547525667</v>
      </c>
      <c r="S24">
        <f t="shared" si="32"/>
        <v>162.31190020523294</v>
      </c>
      <c r="T24" s="55">
        <f t="shared" si="33"/>
        <v>123.94379292236002</v>
      </c>
      <c r="U24" s="44">
        <f>AVERAGE(R24:S24)</f>
        <v>163.01026284024482</v>
      </c>
      <c r="V24">
        <f t="shared" si="26"/>
        <v>1.4711287249377725</v>
      </c>
      <c r="W24" s="38">
        <f>STDEV(R24:S24)/(2)^0.5</f>
        <v>0.69836263501186124</v>
      </c>
      <c r="X24" s="46">
        <f t="shared" si="34"/>
        <v>1.368790764623248</v>
      </c>
      <c r="Y24" s="39">
        <f t="shared" si="35"/>
        <v>2.0914527868995097E-2</v>
      </c>
      <c r="Z24" s="39">
        <f t="shared" si="36"/>
        <v>1.0670677484181173E-2</v>
      </c>
      <c r="AA24" s="39">
        <f t="shared" si="37"/>
        <v>9.1064928835252051E-2</v>
      </c>
      <c r="AB24" s="39">
        <f t="shared" si="38"/>
        <v>4.6461698385332678E-2</v>
      </c>
      <c r="AC24" s="40">
        <f t="shared" si="39"/>
        <v>64.374403376841258</v>
      </c>
      <c r="AD24" s="40">
        <f t="shared" si="40"/>
        <v>32.844083355531254</v>
      </c>
      <c r="AE24" s="40">
        <f>'TET L-H'!$G$34*'TET DATOS'!AC24</f>
        <v>243.42365805575298</v>
      </c>
      <c r="AF24" s="40">
        <f>'TET L-H'!$G$34*'TET DATOS'!AD24</f>
        <v>124.19574390599641</v>
      </c>
      <c r="AG24" s="41">
        <f t="shared" si="41"/>
        <v>243.42367508947319</v>
      </c>
      <c r="AH24" s="41">
        <f t="shared" si="18"/>
        <v>124.19575259666999</v>
      </c>
    </row>
    <row r="25" spans="2:34" x14ac:dyDescent="0.2">
      <c r="B25" s="11">
        <v>15</v>
      </c>
      <c r="C25">
        <v>196.05031706842192</v>
      </c>
      <c r="D25">
        <f t="shared" si="27"/>
        <v>0.52077937878417579</v>
      </c>
      <c r="F25">
        <v>182.01629671412937</v>
      </c>
      <c r="G25">
        <f t="shared" si="28"/>
        <v>0.5255314432753847</v>
      </c>
      <c r="I25">
        <v>187.8422768382917</v>
      </c>
      <c r="J25">
        <f t="shared" si="29"/>
        <v>0.42939984627103978</v>
      </c>
      <c r="L25">
        <f t="shared" si="23"/>
        <v>0.52077937878417579</v>
      </c>
      <c r="M25">
        <f t="shared" si="24"/>
        <v>0.5255314432753847</v>
      </c>
      <c r="N25">
        <f t="shared" si="42"/>
        <v>0.42939984627103978</v>
      </c>
      <c r="O25">
        <f t="shared" si="30"/>
        <v>0.49190355611020009</v>
      </c>
      <c r="P25">
        <f t="shared" si="25"/>
        <v>5.4181923525984305E-2</v>
      </c>
      <c r="R25">
        <f t="shared" si="31"/>
        <v>196.05031706842192</v>
      </c>
      <c r="S25">
        <f t="shared" si="32"/>
        <v>182.01629671412937</v>
      </c>
      <c r="T25">
        <f t="shared" si="33"/>
        <v>187.8422768382917</v>
      </c>
      <c r="U25" s="44">
        <f t="shared" ref="U25" si="43">AVERAGE(R25:T25)</f>
        <v>188.63629687361433</v>
      </c>
      <c r="V25">
        <f t="shared" si="26"/>
        <v>1.3251210800292319</v>
      </c>
      <c r="W25" s="38">
        <f t="shared" ref="W25:W26" si="44">STDEV(R25:T25)/(3)^0.5</f>
        <v>4.070679005135168</v>
      </c>
      <c r="X25" s="46">
        <f t="shared" si="34"/>
        <v>7.9785308500649288</v>
      </c>
      <c r="Y25" s="39">
        <f t="shared" si="35"/>
        <v>2.6592023822231834E-2</v>
      </c>
      <c r="Z25" s="39">
        <f t="shared" si="36"/>
        <v>1.3567359092975429E-2</v>
      </c>
      <c r="AA25" s="39">
        <f t="shared" si="37"/>
        <v>0.10005623666246798</v>
      </c>
      <c r="AB25" s="39">
        <f t="shared" si="38"/>
        <v>5.1049100337993883E-2</v>
      </c>
      <c r="AC25" s="40">
        <f t="shared" si="39"/>
        <v>64.852503239985964</v>
      </c>
      <c r="AD25" s="40">
        <f t="shared" si="40"/>
        <v>33.088011857135697</v>
      </c>
      <c r="AE25" s="40">
        <f>'TET L-H'!$G$34*'TET DATOS'!AC25</f>
        <v>245.23153217182605</v>
      </c>
      <c r="AF25" s="40">
        <f>'TET L-H'!$G$34*'TET DATOS'!AD25</f>
        <v>125.11812865909494</v>
      </c>
      <c r="AG25" s="41">
        <f t="shared" si="41"/>
        <v>245.23155258365887</v>
      </c>
      <c r="AH25" s="41">
        <f t="shared" si="18"/>
        <v>125.11813907329535</v>
      </c>
    </row>
    <row r="26" spans="2:34" x14ac:dyDescent="0.2">
      <c r="B26" s="11">
        <v>0</v>
      </c>
      <c r="C26">
        <v>330.0191637699844</v>
      </c>
      <c r="D26">
        <f t="shared" si="27"/>
        <v>0</v>
      </c>
      <c r="F26">
        <v>307.85462313256278</v>
      </c>
      <c r="G26">
        <f t="shared" si="28"/>
        <v>0</v>
      </c>
      <c r="I26">
        <v>288.58870374042988</v>
      </c>
      <c r="J26">
        <f t="shared" si="29"/>
        <v>0</v>
      </c>
      <c r="L26">
        <f t="shared" si="23"/>
        <v>0</v>
      </c>
      <c r="M26">
        <f t="shared" si="24"/>
        <v>0</v>
      </c>
      <c r="N26">
        <f t="shared" si="42"/>
        <v>0</v>
      </c>
      <c r="O26">
        <f t="shared" si="30"/>
        <v>0</v>
      </c>
      <c r="P26">
        <f t="shared" si="25"/>
        <v>0</v>
      </c>
      <c r="R26">
        <f t="shared" si="31"/>
        <v>330.0191637699844</v>
      </c>
      <c r="S26">
        <f t="shared" si="32"/>
        <v>307.85462313256278</v>
      </c>
      <c r="T26">
        <f t="shared" si="33"/>
        <v>288.58870374042988</v>
      </c>
      <c r="U26" s="44">
        <f>AVERAGE(R26:T26)</f>
        <v>308.82083021432567</v>
      </c>
      <c r="V26">
        <f>LN(($U$13)/(U26))</f>
        <v>0.83218061473970584</v>
      </c>
      <c r="W26" s="38">
        <f t="shared" si="44"/>
        <v>11.969696761109773</v>
      </c>
      <c r="X26" s="46">
        <f t="shared" si="34"/>
        <v>23.460605651775154</v>
      </c>
      <c r="Y26" s="39">
        <f t="shared" si="35"/>
        <v>5.1469712369408192E-2</v>
      </c>
      <c r="Z26" s="39">
        <f t="shared" si="36"/>
        <v>2.6260057331330713E-2</v>
      </c>
      <c r="AA26" s="39">
        <f t="shared" si="37"/>
        <v>0.11829412880893196</v>
      </c>
      <c r="AB26" s="39">
        <f t="shared" si="38"/>
        <v>6.0354147351495906E-2</v>
      </c>
      <c r="AC26" s="40">
        <f t="shared" si="39"/>
        <v>68.502483455091294</v>
      </c>
      <c r="AD26" s="40">
        <f t="shared" si="40"/>
        <v>34.950246660760868</v>
      </c>
      <c r="AE26" s="40">
        <f>'TET L-H'!$G$34*'TET DATOS'!AC26</f>
        <v>259.03347035198942</v>
      </c>
      <c r="AF26" s="40">
        <f>'TET L-H'!$G$34*'TET DATOS'!AD26</f>
        <v>132.15993385305586</v>
      </c>
      <c r="AG26" s="41">
        <f t="shared" si="41"/>
        <v>259.03349736297793</v>
      </c>
      <c r="AH26" s="41">
        <f t="shared" si="18"/>
        <v>132.15994763417245</v>
      </c>
    </row>
    <row r="27" spans="2:34" x14ac:dyDescent="0.2">
      <c r="AF27" s="40"/>
      <c r="AH27" s="41"/>
    </row>
    <row r="28" spans="2:34" x14ac:dyDescent="0.2">
      <c r="AF28" s="40"/>
      <c r="AH28" s="41"/>
    </row>
    <row r="29" spans="2:34" x14ac:dyDescent="0.2">
      <c r="B29" t="s">
        <v>1</v>
      </c>
      <c r="D29" t="s">
        <v>22</v>
      </c>
      <c r="G29" t="s">
        <v>22</v>
      </c>
      <c r="J29" t="s">
        <v>22</v>
      </c>
      <c r="L29" s="37" t="s">
        <v>23</v>
      </c>
      <c r="M29" s="37" t="s">
        <v>24</v>
      </c>
      <c r="N29" s="37" t="s">
        <v>25</v>
      </c>
      <c r="O29" t="s">
        <v>26</v>
      </c>
      <c r="P29" t="s">
        <v>0</v>
      </c>
      <c r="R29" t="s">
        <v>27</v>
      </c>
      <c r="S29" t="s">
        <v>28</v>
      </c>
      <c r="T29" t="s">
        <v>29</v>
      </c>
      <c r="U29" s="44" t="s">
        <v>26</v>
      </c>
      <c r="V29" t="s">
        <v>22</v>
      </c>
      <c r="W29" s="38" t="s">
        <v>30</v>
      </c>
      <c r="X29" s="45" t="s">
        <v>31</v>
      </c>
      <c r="AF29" s="40"/>
      <c r="AH29" s="41"/>
    </row>
    <row r="30" spans="2:34" x14ac:dyDescent="0.2">
      <c r="B30" s="11">
        <v>1440</v>
      </c>
      <c r="C30">
        <v>0</v>
      </c>
      <c r="D30" t="e">
        <f>LN($C$39/C30)</f>
        <v>#DIV/0!</v>
      </c>
      <c r="F30">
        <v>0</v>
      </c>
      <c r="G30" t="e">
        <f>LN($F$39/F30)</f>
        <v>#DIV/0!</v>
      </c>
      <c r="I30">
        <v>0</v>
      </c>
      <c r="J30" t="e">
        <f t="shared" ref="J30:J39" si="45">LN($I$39/I30)</f>
        <v>#DIV/0!</v>
      </c>
      <c r="L30" t="e">
        <f t="shared" ref="L30:L39" si="46">D30</f>
        <v>#DIV/0!</v>
      </c>
      <c r="M30" t="e">
        <f t="shared" ref="M30:M39" si="47">G30</f>
        <v>#DIV/0!</v>
      </c>
      <c r="N30" t="e">
        <f t="shared" ref="N30:N39" si="48">J30</f>
        <v>#DIV/0!</v>
      </c>
      <c r="O30" t="e">
        <f t="shared" ref="O30:O39" si="49">AVERAGE(L30:N30)</f>
        <v>#DIV/0!</v>
      </c>
      <c r="P30" t="e">
        <f t="shared" ref="P30:P39" si="50">STDEV(L30:N30)</f>
        <v>#DIV/0!</v>
      </c>
      <c r="R30">
        <f>C30</f>
        <v>0</v>
      </c>
      <c r="S30">
        <f>F30</f>
        <v>0</v>
      </c>
      <c r="T30">
        <f>I30</f>
        <v>0</v>
      </c>
      <c r="U30" s="44">
        <f>AVERAGE(R30:T30)</f>
        <v>0</v>
      </c>
      <c r="V30" t="e">
        <f>LN(($U$13)/(U30))</f>
        <v>#DIV/0!</v>
      </c>
      <c r="W30" s="38">
        <f>STDEV(R30:T30)/(3)^0.5</f>
        <v>0</v>
      </c>
      <c r="X30" s="46">
        <f t="shared" si="34"/>
        <v>0</v>
      </c>
      <c r="Y30" s="39" t="e">
        <f>(U30/$U$13)*SQRT(((X30/U30)^2)+(($X$13/$U$13)^2))</f>
        <v>#DIV/0!</v>
      </c>
      <c r="Z30" s="39" t="e">
        <f>(U30/$U$13)*SQRT(((W30/U30)^2)+(($W$13/$U$13)^2))</f>
        <v>#DIV/0!</v>
      </c>
      <c r="AA30" s="39" t="e">
        <f>(1/(U30/$U$13))*Y30</f>
        <v>#DIV/0!</v>
      </c>
      <c r="AB30" s="39" t="e">
        <f>(1/(U30/$U$13))*Z30</f>
        <v>#DIV/0!</v>
      </c>
      <c r="AC30" s="40">
        <f>(X30^2+$X$13^2)^0.5</f>
        <v>64.35984945575116</v>
      </c>
      <c r="AD30" s="40">
        <f>(W30^2+$W$13^2)^0.5</f>
        <v>32.836657885587329</v>
      </c>
      <c r="AE30" s="40">
        <f>'TET L-H'!$G$34*'TET DATOS'!AC30</f>
        <v>243.36862424534129</v>
      </c>
      <c r="AF30" s="40">
        <f>'TET L-H'!$G$34*'TET DATOS'!AD30</f>
        <v>124.16766543129658</v>
      </c>
      <c r="AG30" s="41" t="e">
        <f>(AA30^2+AE30^2)^0.5</f>
        <v>#DIV/0!</v>
      </c>
      <c r="AH30" s="41" t="e">
        <f t="shared" si="18"/>
        <v>#DIV/0!</v>
      </c>
    </row>
    <row r="31" spans="2:34" x14ac:dyDescent="0.2">
      <c r="B31" s="11">
        <v>150</v>
      </c>
      <c r="C31">
        <v>0</v>
      </c>
      <c r="D31" t="e">
        <f t="shared" ref="D31:D39" si="51">LN($C$39/C31)</f>
        <v>#DIV/0!</v>
      </c>
      <c r="F31">
        <v>0</v>
      </c>
      <c r="G31" t="e">
        <f t="shared" ref="G31:G39" si="52">LN($F$39/F31)</f>
        <v>#DIV/0!</v>
      </c>
      <c r="I31">
        <v>0</v>
      </c>
      <c r="J31" t="e">
        <f t="shared" si="45"/>
        <v>#DIV/0!</v>
      </c>
      <c r="L31" t="e">
        <f t="shared" si="46"/>
        <v>#DIV/0!</v>
      </c>
      <c r="M31" t="e">
        <f t="shared" si="47"/>
        <v>#DIV/0!</v>
      </c>
      <c r="N31" t="e">
        <f t="shared" si="48"/>
        <v>#DIV/0!</v>
      </c>
      <c r="O31" t="e">
        <f t="shared" si="49"/>
        <v>#DIV/0!</v>
      </c>
      <c r="P31" t="e">
        <f t="shared" si="50"/>
        <v>#DIV/0!</v>
      </c>
      <c r="R31">
        <f t="shared" ref="R31:R39" si="53">C31</f>
        <v>0</v>
      </c>
      <c r="S31">
        <f t="shared" ref="S31:S39" si="54">F31</f>
        <v>0</v>
      </c>
      <c r="T31">
        <f t="shared" ref="T31:T39" si="55">I31</f>
        <v>0</v>
      </c>
      <c r="U31" s="44">
        <f t="shared" ref="U31:U39" si="56">AVERAGE(R31:T31)</f>
        <v>0</v>
      </c>
      <c r="V31" t="e">
        <f t="shared" ref="V31:V39" si="57">LN(($U$13)/(U31))</f>
        <v>#DIV/0!</v>
      </c>
      <c r="W31" s="38">
        <f t="shared" ref="W31:W39" si="58">STDEV(R31:T31)/(3)^0.5</f>
        <v>0</v>
      </c>
      <c r="X31" s="46">
        <f t="shared" si="34"/>
        <v>0</v>
      </c>
      <c r="Y31" s="39" t="e">
        <f t="shared" ref="Y31:Y39" si="59">(U31/$U$13)*SQRT(((X31/U31)^2)+(($X$13/$U$13)^2))</f>
        <v>#DIV/0!</v>
      </c>
      <c r="Z31" s="39" t="e">
        <f t="shared" ref="Z31:Z39" si="60">(U31/$U$13)*SQRT(((W31/U31)^2)+(($W$13/$U$13)^2))</f>
        <v>#DIV/0!</v>
      </c>
      <c r="AA31" s="39" t="e">
        <f t="shared" ref="AA31:AA39" si="61">(1/(U31/$U$13))*Y31</f>
        <v>#DIV/0!</v>
      </c>
      <c r="AB31" s="39" t="e">
        <f t="shared" ref="AB31:AB39" si="62">(1/(U31/$U$13))*Z31</f>
        <v>#DIV/0!</v>
      </c>
      <c r="AC31" s="40">
        <f t="shared" ref="AC31:AC39" si="63">(X31^2+$X$13^2)^0.5</f>
        <v>64.35984945575116</v>
      </c>
      <c r="AD31" s="40">
        <f t="shared" ref="AD31:AD39" si="64">(W31^2+$W$13^2)^0.5</f>
        <v>32.836657885587329</v>
      </c>
      <c r="AE31" s="40">
        <f>'TET L-H'!$G$34*'TET DATOS'!AC31</f>
        <v>243.36862424534129</v>
      </c>
      <c r="AF31" s="40">
        <f>'TET L-H'!$G$34*'TET DATOS'!AD31</f>
        <v>124.16766543129658</v>
      </c>
      <c r="AG31" s="41" t="e">
        <f t="shared" ref="AG31:AG39" si="65">(AA31^2+AE31^2)^0.5</f>
        <v>#DIV/0!</v>
      </c>
      <c r="AH31" s="41" t="e">
        <f t="shared" si="18"/>
        <v>#DIV/0!</v>
      </c>
    </row>
    <row r="32" spans="2:34" x14ac:dyDescent="0.2">
      <c r="B32" s="11">
        <v>120</v>
      </c>
      <c r="C32">
        <v>0</v>
      </c>
      <c r="D32" t="e">
        <f t="shared" si="51"/>
        <v>#DIV/0!</v>
      </c>
      <c r="F32">
        <v>1.5731029055816261</v>
      </c>
      <c r="G32">
        <f t="shared" si="52"/>
        <v>4.0303372880993624</v>
      </c>
      <c r="I32">
        <v>1.9454701449833969</v>
      </c>
      <c r="J32">
        <f t="shared" si="45"/>
        <v>3.7327519008782084</v>
      </c>
      <c r="L32" t="e">
        <f t="shared" si="46"/>
        <v>#DIV/0!</v>
      </c>
      <c r="M32">
        <f t="shared" si="47"/>
        <v>4.0303372880993624</v>
      </c>
      <c r="N32">
        <f t="shared" si="48"/>
        <v>3.7327519008782084</v>
      </c>
      <c r="O32" t="e">
        <f t="shared" si="49"/>
        <v>#DIV/0!</v>
      </c>
      <c r="P32" t="e">
        <f t="shared" si="50"/>
        <v>#DIV/0!</v>
      </c>
      <c r="R32" s="55">
        <f t="shared" si="53"/>
        <v>0</v>
      </c>
      <c r="S32">
        <f t="shared" si="54"/>
        <v>1.5731029055816261</v>
      </c>
      <c r="T32">
        <f t="shared" si="55"/>
        <v>1.9454701449833969</v>
      </c>
      <c r="U32" s="44">
        <f>AVERAGE(S32,T32)</f>
        <v>1.7592865252825116</v>
      </c>
      <c r="V32">
        <f t="shared" si="57"/>
        <v>6.0000335424747862</v>
      </c>
      <c r="W32" s="38">
        <f>STDEV(S32,T32)/(2)^0.5</f>
        <v>0.18618361970088451</v>
      </c>
      <c r="X32" s="46">
        <f t="shared" si="34"/>
        <v>0.36491989461373364</v>
      </c>
      <c r="Y32" s="39">
        <f t="shared" si="59"/>
        <v>5.6111842400815854E-4</v>
      </c>
      <c r="Z32" s="39">
        <f t="shared" si="60"/>
        <v>2.8628491020824421E-4</v>
      </c>
      <c r="AA32" s="39">
        <f t="shared" si="61"/>
        <v>0.22637892198609144</v>
      </c>
      <c r="AB32" s="39">
        <f t="shared" si="62"/>
        <v>0.11549944999290382</v>
      </c>
      <c r="AC32" s="40">
        <f t="shared" si="63"/>
        <v>64.360883994056806</v>
      </c>
      <c r="AD32" s="40">
        <f t="shared" si="64"/>
        <v>32.837185711253476</v>
      </c>
      <c r="AE32" s="40">
        <f>'TET L-H'!$G$34*'TET DATOS'!AC32</f>
        <v>243.37253622099541</v>
      </c>
      <c r="AF32" s="40">
        <f>'TET L-H'!$G$34*'TET DATOS'!AD32</f>
        <v>124.16966133724257</v>
      </c>
      <c r="AG32" s="41">
        <f t="shared" si="65"/>
        <v>243.3726415069205</v>
      </c>
      <c r="AH32" s="41">
        <f t="shared" si="18"/>
        <v>124.16971505455129</v>
      </c>
    </row>
    <row r="33" spans="2:34" x14ac:dyDescent="0.2">
      <c r="B33" s="11">
        <v>90</v>
      </c>
      <c r="C33">
        <v>2.367458390891851</v>
      </c>
      <c r="D33">
        <f t="shared" si="51"/>
        <v>3.5778761331175888</v>
      </c>
      <c r="F33">
        <v>5.4456136752793736</v>
      </c>
      <c r="G33">
        <f t="shared" si="52"/>
        <v>2.7885768755844285</v>
      </c>
      <c r="I33">
        <v>4.5881967899288423</v>
      </c>
      <c r="J33">
        <f t="shared" si="45"/>
        <v>2.8747684778653282</v>
      </c>
      <c r="L33">
        <f t="shared" si="46"/>
        <v>3.5778761331175888</v>
      </c>
      <c r="M33">
        <f t="shared" si="47"/>
        <v>2.7885768755844285</v>
      </c>
      <c r="N33">
        <f t="shared" si="48"/>
        <v>2.8747684778653282</v>
      </c>
      <c r="O33">
        <f t="shared" si="49"/>
        <v>3.0804071621891147</v>
      </c>
      <c r="P33">
        <f t="shared" si="50"/>
        <v>0.43297087760427577</v>
      </c>
      <c r="R33">
        <f t="shared" si="53"/>
        <v>2.367458390891851</v>
      </c>
      <c r="S33">
        <f t="shared" si="54"/>
        <v>5.4456136752793736</v>
      </c>
      <c r="T33">
        <f t="shared" si="55"/>
        <v>4.5881967899288423</v>
      </c>
      <c r="U33" s="44">
        <f t="shared" si="56"/>
        <v>4.1337562853666894</v>
      </c>
      <c r="V33">
        <f t="shared" si="57"/>
        <v>5.1457553801599243</v>
      </c>
      <c r="W33" s="38">
        <f t="shared" si="58"/>
        <v>0.91717812116671782</v>
      </c>
      <c r="X33" s="46">
        <f t="shared" si="34"/>
        <v>1.7976691174867669</v>
      </c>
      <c r="Y33" s="39">
        <f t="shared" si="59"/>
        <v>2.5872194012106003E-3</v>
      </c>
      <c r="Z33" s="39">
        <f t="shared" si="60"/>
        <v>1.3200098985768371E-3</v>
      </c>
      <c r="AA33" s="39">
        <f t="shared" si="61"/>
        <v>0.44422850853098939</v>
      </c>
      <c r="AB33" s="39">
        <f t="shared" si="62"/>
        <v>0.22664719823009666</v>
      </c>
      <c r="AC33" s="40">
        <f t="shared" si="63"/>
        <v>64.384950386118334</v>
      </c>
      <c r="AD33" s="40">
        <f t="shared" si="64"/>
        <v>32.849464482713437</v>
      </c>
      <c r="AE33" s="40">
        <f>'TET L-H'!$G$34*'TET DATOS'!AC33</f>
        <v>243.46354023632628</v>
      </c>
      <c r="AF33" s="40">
        <f>'TET L-H'!$G$34*'TET DATOS'!AD33</f>
        <v>124.21609195730933</v>
      </c>
      <c r="AG33" s="41">
        <f t="shared" si="65"/>
        <v>243.46394551015774</v>
      </c>
      <c r="AH33" s="41">
        <f t="shared" si="18"/>
        <v>124.21629872967232</v>
      </c>
    </row>
    <row r="34" spans="2:34" x14ac:dyDescent="0.2">
      <c r="B34" s="11">
        <v>75</v>
      </c>
      <c r="C34">
        <v>17.381135293495298</v>
      </c>
      <c r="D34">
        <f t="shared" si="51"/>
        <v>1.5843076643773222</v>
      </c>
      <c r="F34">
        <v>14.198090479738847</v>
      </c>
      <c r="G34">
        <f t="shared" si="52"/>
        <v>1.8302798476788387</v>
      </c>
      <c r="I34">
        <v>12.668901584131877</v>
      </c>
      <c r="J34">
        <f t="shared" si="45"/>
        <v>1.8591052721779695</v>
      </c>
      <c r="L34">
        <f t="shared" si="46"/>
        <v>1.5843076643773222</v>
      </c>
      <c r="M34">
        <f t="shared" si="47"/>
        <v>1.8302798476788387</v>
      </c>
      <c r="N34">
        <f t="shared" si="48"/>
        <v>1.8591052721779695</v>
      </c>
      <c r="O34">
        <f t="shared" si="49"/>
        <v>1.7578975947447102</v>
      </c>
      <c r="P34">
        <f t="shared" si="50"/>
        <v>0.15102259505817239</v>
      </c>
      <c r="R34">
        <f t="shared" si="53"/>
        <v>17.381135293495298</v>
      </c>
      <c r="S34">
        <f t="shared" si="54"/>
        <v>14.198090479738847</v>
      </c>
      <c r="T34">
        <f t="shared" si="55"/>
        <v>12.668901584131877</v>
      </c>
      <c r="U34" s="44">
        <f t="shared" si="56"/>
        <v>14.749375785788672</v>
      </c>
      <c r="V34">
        <f t="shared" si="57"/>
        <v>3.8737411236898076</v>
      </c>
      <c r="W34" s="38">
        <f t="shared" si="58"/>
        <v>1.3879509176498415</v>
      </c>
      <c r="X34" s="46">
        <f t="shared" si="34"/>
        <v>2.7203837985936894</v>
      </c>
      <c r="Y34" s="39">
        <f t="shared" si="59"/>
        <v>4.2709147025046168E-3</v>
      </c>
      <c r="Z34" s="39">
        <f t="shared" si="60"/>
        <v>2.179038113522764E-3</v>
      </c>
      <c r="AA34" s="39">
        <f t="shared" si="61"/>
        <v>0.20552530068214381</v>
      </c>
      <c r="AB34" s="39">
        <f t="shared" si="62"/>
        <v>0.10485984728680808</v>
      </c>
      <c r="AC34" s="40">
        <f t="shared" si="63"/>
        <v>64.417316848644077</v>
      </c>
      <c r="AD34" s="40">
        <f t="shared" si="64"/>
        <v>32.865977984002079</v>
      </c>
      <c r="AE34" s="40">
        <f>'TET L-H'!$G$34*'TET DATOS'!AC34</f>
        <v>243.58592991752019</v>
      </c>
      <c r="AF34" s="40">
        <f>'TET L-H'!$G$34*'TET DATOS'!AD34</f>
        <v>124.27853567220419</v>
      </c>
      <c r="AG34" s="41">
        <f t="shared" si="65"/>
        <v>243.58601662335275</v>
      </c>
      <c r="AH34" s="41">
        <f t="shared" si="18"/>
        <v>124.27857990987386</v>
      </c>
    </row>
    <row r="35" spans="2:34" x14ac:dyDescent="0.2">
      <c r="B35" s="11">
        <v>60</v>
      </c>
      <c r="C35">
        <v>34.212200528059007</v>
      </c>
      <c r="D35">
        <f t="shared" si="51"/>
        <v>0.90711078287807601</v>
      </c>
      <c r="F35">
        <v>26.39800556664316</v>
      </c>
      <c r="G35">
        <f t="shared" si="52"/>
        <v>1.2100988694054755</v>
      </c>
      <c r="I35">
        <v>22.514536893863848</v>
      </c>
      <c r="J35">
        <f t="shared" si="45"/>
        <v>1.2840943837653294</v>
      </c>
      <c r="L35">
        <f t="shared" si="46"/>
        <v>0.90711078287807601</v>
      </c>
      <c r="M35">
        <f t="shared" si="47"/>
        <v>1.2100988694054755</v>
      </c>
      <c r="N35">
        <f t="shared" si="48"/>
        <v>1.2840943837653294</v>
      </c>
      <c r="O35">
        <f t="shared" si="49"/>
        <v>1.1337680120162936</v>
      </c>
      <c r="P35">
        <f t="shared" si="50"/>
        <v>0.19974723696913985</v>
      </c>
      <c r="R35">
        <f t="shared" si="53"/>
        <v>34.212200528059007</v>
      </c>
      <c r="S35">
        <f t="shared" si="54"/>
        <v>26.39800556664316</v>
      </c>
      <c r="T35">
        <f t="shared" si="55"/>
        <v>22.514536893863848</v>
      </c>
      <c r="U35" s="44">
        <f t="shared" si="56"/>
        <v>27.708247662855339</v>
      </c>
      <c r="V35">
        <f t="shared" si="57"/>
        <v>3.2432117675363354</v>
      </c>
      <c r="W35" s="38">
        <f t="shared" si="58"/>
        <v>3.4397860586431754</v>
      </c>
      <c r="X35" s="46">
        <f t="shared" si="34"/>
        <v>6.7419806749406241</v>
      </c>
      <c r="Y35" s="39">
        <f t="shared" si="59"/>
        <v>1.0136973039015292E-2</v>
      </c>
      <c r="Z35" s="39">
        <f t="shared" si="60"/>
        <v>5.1719250199057619E-3</v>
      </c>
      <c r="AA35" s="39">
        <f t="shared" si="61"/>
        <v>0.25966730208977468</v>
      </c>
      <c r="AB35" s="39">
        <f t="shared" si="62"/>
        <v>0.13248331739274219</v>
      </c>
      <c r="AC35" s="40">
        <f t="shared" si="63"/>
        <v>64.712012218661741</v>
      </c>
      <c r="AD35" s="40">
        <f t="shared" si="64"/>
        <v>33.016332764623336</v>
      </c>
      <c r="AE35" s="40">
        <f>'TET L-H'!$G$34*'TET DATOS'!AC35</f>
        <v>244.70028315760942</v>
      </c>
      <c r="AF35" s="40">
        <f>'TET L-H'!$G$34*'TET DATOS'!AD35</f>
        <v>124.84708324367827</v>
      </c>
      <c r="AG35" s="41">
        <f t="shared" si="65"/>
        <v>244.70042093245775</v>
      </c>
      <c r="AH35" s="41">
        <f t="shared" si="18"/>
        <v>124.84715353696822</v>
      </c>
    </row>
    <row r="36" spans="2:34" x14ac:dyDescent="0.2">
      <c r="B36" s="11">
        <v>45</v>
      </c>
      <c r="C36">
        <v>37.172871727602569</v>
      </c>
      <c r="D36">
        <f t="shared" si="51"/>
        <v>0.82411386330710823</v>
      </c>
      <c r="F36">
        <v>29.189426467185879</v>
      </c>
      <c r="G36">
        <f t="shared" si="52"/>
        <v>1.1095807935764805</v>
      </c>
      <c r="I36">
        <v>30.08475032202324</v>
      </c>
      <c r="J36">
        <f t="shared" si="45"/>
        <v>0.9942371589721789</v>
      </c>
      <c r="L36">
        <f t="shared" si="46"/>
        <v>0.82411386330710823</v>
      </c>
      <c r="M36">
        <f t="shared" si="47"/>
        <v>1.1095807935764805</v>
      </c>
      <c r="N36">
        <f t="shared" si="48"/>
        <v>0.9942371589721789</v>
      </c>
      <c r="O36">
        <f t="shared" si="49"/>
        <v>0.97597727195192263</v>
      </c>
      <c r="P36">
        <f t="shared" si="50"/>
        <v>0.14360678840099692</v>
      </c>
      <c r="R36">
        <f t="shared" si="53"/>
        <v>37.172871727602569</v>
      </c>
      <c r="S36">
        <f t="shared" si="54"/>
        <v>29.189426467185879</v>
      </c>
      <c r="T36">
        <f t="shared" si="55"/>
        <v>30.08475032202324</v>
      </c>
      <c r="U36" s="44">
        <f t="shared" si="56"/>
        <v>32.149016172270564</v>
      </c>
      <c r="V36">
        <f t="shared" si="57"/>
        <v>3.09456003693073</v>
      </c>
      <c r="W36" s="38">
        <f t="shared" si="58"/>
        <v>2.5251894108423047</v>
      </c>
      <c r="X36" s="46">
        <f t="shared" si="34"/>
        <v>4.9493712452509175</v>
      </c>
      <c r="Y36" s="39">
        <f t="shared" si="59"/>
        <v>8.0928760599059818E-3</v>
      </c>
      <c r="Z36" s="39">
        <f>(U36/$U$13)*SQRT(((W36/U36)^2)+(($W$13/$U$13)^2))</f>
        <v>4.1290183979112152E-3</v>
      </c>
      <c r="AA36" s="39">
        <f t="shared" si="61"/>
        <v>0.17867065820381106</v>
      </c>
      <c r="AB36" s="39">
        <f t="shared" si="62"/>
        <v>9.115849908357708E-2</v>
      </c>
      <c r="AC36" s="40">
        <f t="shared" si="63"/>
        <v>64.549876047055818</v>
      </c>
      <c r="AD36" s="40">
        <f t="shared" si="64"/>
        <v>32.933610228089698</v>
      </c>
      <c r="AE36" s="40">
        <f>'TET L-H'!$G$34*'TET DATOS'!AC36</f>
        <v>244.08718574737901</v>
      </c>
      <c r="AF36" s="40">
        <f>'TET L-H'!$G$34*'TET DATOS'!AD36</f>
        <v>124.5342784425403</v>
      </c>
      <c r="AG36" s="41">
        <f t="shared" si="65"/>
        <v>244.08725114040595</v>
      </c>
      <c r="AH36" s="41">
        <f t="shared" si="18"/>
        <v>124.53431180632955</v>
      </c>
    </row>
    <row r="37" spans="2:34" x14ac:dyDescent="0.2">
      <c r="B37" s="11">
        <v>30</v>
      </c>
      <c r="C37">
        <v>52.089477443335753</v>
      </c>
      <c r="D37">
        <f t="shared" si="51"/>
        <v>0.48673014401346376</v>
      </c>
      <c r="F37">
        <v>40.50237927753885</v>
      </c>
      <c r="G37">
        <f t="shared" si="52"/>
        <v>0.78202661000541385</v>
      </c>
      <c r="I37">
        <v>34.47373096910578</v>
      </c>
      <c r="J37">
        <f t="shared" si="45"/>
        <v>0.85805795570127386</v>
      </c>
      <c r="L37">
        <f t="shared" si="46"/>
        <v>0.48673014401346376</v>
      </c>
      <c r="M37">
        <f t="shared" si="47"/>
        <v>0.78202661000541385</v>
      </c>
      <c r="N37">
        <f t="shared" si="48"/>
        <v>0.85805795570127386</v>
      </c>
      <c r="O37">
        <f t="shared" si="49"/>
        <v>0.70893823657338384</v>
      </c>
      <c r="P37">
        <f t="shared" si="50"/>
        <v>0.19615687263366369</v>
      </c>
      <c r="R37">
        <f t="shared" si="53"/>
        <v>52.089477443335753</v>
      </c>
      <c r="S37">
        <f t="shared" si="54"/>
        <v>40.50237927753885</v>
      </c>
      <c r="T37">
        <f t="shared" si="55"/>
        <v>34.47373096910578</v>
      </c>
      <c r="U37" s="44">
        <f t="shared" si="56"/>
        <v>42.355195896660128</v>
      </c>
      <c r="V37">
        <f t="shared" si="57"/>
        <v>2.8188507829867939</v>
      </c>
      <c r="W37" s="38">
        <f t="shared" si="58"/>
        <v>5.1689240669329211</v>
      </c>
      <c r="X37" s="46">
        <f t="shared" si="34"/>
        <v>10.131091171188524</v>
      </c>
      <c r="Y37" s="39">
        <f t="shared" si="59"/>
        <v>1.526499426387385E-2</v>
      </c>
      <c r="Z37" s="39">
        <f t="shared" si="60"/>
        <v>7.7882623795274761E-3</v>
      </c>
      <c r="AA37" s="39">
        <f t="shared" si="61"/>
        <v>0.25580438553904855</v>
      </c>
      <c r="AB37" s="39">
        <f t="shared" si="62"/>
        <v>0.13051244160155542</v>
      </c>
      <c r="AC37" s="40">
        <f t="shared" si="63"/>
        <v>65.152353988830569</v>
      </c>
      <c r="AD37" s="40">
        <f t="shared" si="64"/>
        <v>33.240996933076822</v>
      </c>
      <c r="AE37" s="40">
        <f>'TET L-H'!$G$34*'TET DATOS'!AC37</f>
        <v>246.36537982439737</v>
      </c>
      <c r="AF37" s="40">
        <f>'TET L-H'!$G$34*'TET DATOS'!AD37</f>
        <v>125.69662235938642</v>
      </c>
      <c r="AG37" s="41">
        <f t="shared" si="65"/>
        <v>246.36551262687567</v>
      </c>
      <c r="AH37" s="41">
        <f t="shared" si="18"/>
        <v>125.69669011575292</v>
      </c>
    </row>
    <row r="38" spans="2:34" x14ac:dyDescent="0.2">
      <c r="B38" s="11">
        <v>15</v>
      </c>
      <c r="C38">
        <v>76.233238755460619</v>
      </c>
      <c r="D38">
        <f t="shared" si="51"/>
        <v>0.10589553219322737</v>
      </c>
      <c r="F38">
        <v>46.844996311745632</v>
      </c>
      <c r="G38">
        <f t="shared" si="52"/>
        <v>0.63654312931588741</v>
      </c>
      <c r="I38">
        <v>53.853726365372381</v>
      </c>
      <c r="J38">
        <f t="shared" si="45"/>
        <v>0.41198396833108786</v>
      </c>
      <c r="L38">
        <f t="shared" si="46"/>
        <v>0.10589553219322737</v>
      </c>
      <c r="M38">
        <f t="shared" si="47"/>
        <v>0.63654312931588741</v>
      </c>
      <c r="N38">
        <f t="shared" si="48"/>
        <v>0.41198396833108786</v>
      </c>
      <c r="O38">
        <f t="shared" si="49"/>
        <v>0.3848075432800675</v>
      </c>
      <c r="P38">
        <f t="shared" si="50"/>
        <v>0.26636560709282381</v>
      </c>
      <c r="R38">
        <f t="shared" si="53"/>
        <v>76.233238755460619</v>
      </c>
      <c r="S38">
        <f t="shared" si="54"/>
        <v>46.844996311745632</v>
      </c>
      <c r="T38">
        <f t="shared" si="55"/>
        <v>53.853726365372381</v>
      </c>
      <c r="U38" s="44">
        <f t="shared" si="56"/>
        <v>58.977320477526213</v>
      </c>
      <c r="V38">
        <f t="shared" si="57"/>
        <v>2.4877889146529797</v>
      </c>
      <c r="W38" s="38">
        <f t="shared" si="58"/>
        <v>8.862009007597452</v>
      </c>
      <c r="X38" s="46">
        <f t="shared" si="34"/>
        <v>17.369537654891005</v>
      </c>
      <c r="Y38" s="39">
        <f t="shared" si="59"/>
        <v>2.5605703763736123E-2</v>
      </c>
      <c r="Z38" s="39">
        <f t="shared" si="60"/>
        <v>1.306413457333476E-2</v>
      </c>
      <c r="AA38" s="39">
        <f t="shared" si="61"/>
        <v>0.30815535174429082</v>
      </c>
      <c r="AB38" s="39">
        <f t="shared" si="62"/>
        <v>0.15722211823688309</v>
      </c>
      <c r="AC38" s="40">
        <f t="shared" si="63"/>
        <v>66.662516156470033</v>
      </c>
      <c r="AD38" s="40">
        <f t="shared" si="64"/>
        <v>34.011487834933696</v>
      </c>
      <c r="AE38" s="40">
        <f>'TET L-H'!$G$34*'TET DATOS'!AC38</f>
        <v>252.0758669096486</v>
      </c>
      <c r="AF38" s="40">
        <f>'TET L-H'!$G$34*'TET DATOS'!AD38</f>
        <v>128.61013617839217</v>
      </c>
      <c r="AG38" s="41">
        <f t="shared" si="65"/>
        <v>252.07605526501655</v>
      </c>
      <c r="AH38" s="41">
        <f t="shared" si="18"/>
        <v>128.6102322780697</v>
      </c>
    </row>
    <row r="39" spans="2:34" x14ac:dyDescent="0.2">
      <c r="B39" s="11">
        <v>0</v>
      </c>
      <c r="C39">
        <v>84.748928568102002</v>
      </c>
      <c r="D39">
        <f t="shared" si="51"/>
        <v>0</v>
      </c>
      <c r="F39">
        <v>88.534059402756</v>
      </c>
      <c r="G39">
        <f t="shared" si="52"/>
        <v>0</v>
      </c>
      <c r="I39">
        <v>81.308907063137994</v>
      </c>
      <c r="J39">
        <f t="shared" si="45"/>
        <v>0</v>
      </c>
      <c r="L39">
        <f t="shared" si="46"/>
        <v>0</v>
      </c>
      <c r="M39">
        <f t="shared" si="47"/>
        <v>0</v>
      </c>
      <c r="N39">
        <f t="shared" si="48"/>
        <v>0</v>
      </c>
      <c r="O39">
        <f t="shared" si="49"/>
        <v>0</v>
      </c>
      <c r="P39">
        <f t="shared" si="50"/>
        <v>0</v>
      </c>
      <c r="R39">
        <f t="shared" si="53"/>
        <v>84.748928568102002</v>
      </c>
      <c r="S39">
        <f t="shared" si="54"/>
        <v>88.534059402756</v>
      </c>
      <c r="T39">
        <f t="shared" si="55"/>
        <v>81.308907063137994</v>
      </c>
      <c r="U39" s="44">
        <f t="shared" si="56"/>
        <v>84.863965011332013</v>
      </c>
      <c r="V39">
        <f t="shared" si="57"/>
        <v>2.1238923231403852</v>
      </c>
      <c r="W39" s="38">
        <f t="shared" si="58"/>
        <v>2.0865147671116659</v>
      </c>
      <c r="X39" s="46">
        <f t="shared" si="34"/>
        <v>4.0895689435388656</v>
      </c>
      <c r="Y39" s="39">
        <f t="shared" si="59"/>
        <v>1.2277770273852896E-2</v>
      </c>
      <c r="Z39" s="39">
        <f t="shared" si="60"/>
        <v>6.2641685070678049E-3</v>
      </c>
      <c r="AA39" s="39">
        <f t="shared" si="61"/>
        <v>0.1026867051797377</v>
      </c>
      <c r="AB39" s="39">
        <f t="shared" si="62"/>
        <v>5.2391176112111082E-2</v>
      </c>
      <c r="AC39" s="40">
        <f t="shared" si="63"/>
        <v>64.489648751647806</v>
      </c>
      <c r="AD39" s="40">
        <f t="shared" si="64"/>
        <v>32.902882016146847</v>
      </c>
      <c r="AE39" s="40">
        <f>'TET L-H'!$G$34*'TET DATOS'!AC39</f>
        <v>243.85944385317924</v>
      </c>
      <c r="AF39" s="40">
        <f>'TET L-H'!$G$34*'TET DATOS'!AD39</f>
        <v>124.41808359856086</v>
      </c>
      <c r="AG39" s="41">
        <f t="shared" si="65"/>
        <v>243.85946547333631</v>
      </c>
      <c r="AH39" s="41">
        <f t="shared" si="18"/>
        <v>124.41809462925323</v>
      </c>
    </row>
    <row r="40" spans="2:34" x14ac:dyDescent="0.2">
      <c r="AF40" s="40"/>
      <c r="AH40" s="41"/>
    </row>
    <row r="41" spans="2:34" x14ac:dyDescent="0.2">
      <c r="AF41" s="40"/>
      <c r="AH41" s="41"/>
    </row>
    <row r="42" spans="2:34" x14ac:dyDescent="0.2">
      <c r="B42" t="s">
        <v>1</v>
      </c>
      <c r="D42" t="s">
        <v>22</v>
      </c>
      <c r="G42" t="s">
        <v>22</v>
      </c>
      <c r="J42" t="s">
        <v>22</v>
      </c>
      <c r="L42" s="37" t="s">
        <v>23</v>
      </c>
      <c r="M42" s="37" t="s">
        <v>24</v>
      </c>
      <c r="N42" s="37" t="s">
        <v>25</v>
      </c>
      <c r="O42" t="s">
        <v>26</v>
      </c>
      <c r="P42" t="s">
        <v>0</v>
      </c>
      <c r="R42" t="s">
        <v>27</v>
      </c>
      <c r="S42" t="s">
        <v>28</v>
      </c>
      <c r="T42" t="s">
        <v>29</v>
      </c>
      <c r="U42" s="44" t="s">
        <v>26</v>
      </c>
      <c r="V42" t="s">
        <v>22</v>
      </c>
      <c r="W42" s="38" t="s">
        <v>30</v>
      </c>
      <c r="X42" s="45" t="s">
        <v>31</v>
      </c>
      <c r="AF42" s="40"/>
      <c r="AH42" s="41"/>
    </row>
    <row r="43" spans="2:34" x14ac:dyDescent="0.2">
      <c r="B43" s="11">
        <v>1440</v>
      </c>
      <c r="C43">
        <v>0</v>
      </c>
      <c r="D43" t="e">
        <f>LN($C$52/C43)</f>
        <v>#DIV/0!</v>
      </c>
      <c r="F43">
        <v>0</v>
      </c>
      <c r="G43" t="e">
        <f>LN($F$52/F43)</f>
        <v>#DIV/0!</v>
      </c>
      <c r="I43">
        <v>0</v>
      </c>
      <c r="J43" t="e">
        <f>LN($I$52/I43)</f>
        <v>#DIV/0!</v>
      </c>
      <c r="L43" t="e">
        <f t="shared" ref="L43:L52" si="66">D43</f>
        <v>#DIV/0!</v>
      </c>
      <c r="M43" t="e">
        <f t="shared" ref="M43:M52" si="67">G43</f>
        <v>#DIV/0!</v>
      </c>
      <c r="N43" t="e">
        <f t="shared" ref="N43:N52" si="68">J43</f>
        <v>#DIV/0!</v>
      </c>
      <c r="O43" t="e">
        <f t="shared" ref="O43:O52" si="69">AVERAGE(L43:N43)</f>
        <v>#DIV/0!</v>
      </c>
      <c r="P43" t="e">
        <f t="shared" ref="P43:P52" si="70">STDEV(L43:N43)</f>
        <v>#DIV/0!</v>
      </c>
      <c r="R43">
        <f>C43</f>
        <v>0</v>
      </c>
      <c r="S43">
        <f>F43</f>
        <v>0</v>
      </c>
      <c r="T43">
        <f>I43</f>
        <v>0</v>
      </c>
      <c r="U43" s="44">
        <f>AVERAGE(R43:T43)</f>
        <v>0</v>
      </c>
      <c r="V43" t="e">
        <f t="shared" ref="V43:V52" si="71">LN(($U$13)/(U43))</f>
        <v>#DIV/0!</v>
      </c>
      <c r="W43" s="38">
        <f>STDEV(R43:T43)/(3)^0.5</f>
        <v>0</v>
      </c>
      <c r="X43" s="46">
        <f t="shared" si="34"/>
        <v>0</v>
      </c>
      <c r="Y43" s="39" t="e">
        <f>(U43/$U$13)*SQRT(((X43/U43)^2)+(($X$13/$U$13)^2))</f>
        <v>#DIV/0!</v>
      </c>
      <c r="Z43" s="39" t="e">
        <f>(U43/$U$13)*SQRT(((W43/U43)^2)+(($W$13/$U$13)^2))</f>
        <v>#DIV/0!</v>
      </c>
      <c r="AA43" s="39" t="e">
        <f>(1/(U43/$U$13))*Y43</f>
        <v>#DIV/0!</v>
      </c>
      <c r="AB43" s="39" t="e">
        <f>(1/(U43/$U$13))*Z43</f>
        <v>#DIV/0!</v>
      </c>
      <c r="AC43" s="40">
        <f>(X43^2+$X$13^2)^0.5</f>
        <v>64.35984945575116</v>
      </c>
      <c r="AD43" s="40">
        <f>(W43^2+$W$13^2)^0.5</f>
        <v>32.836657885587329</v>
      </c>
      <c r="AE43" s="40">
        <f>'TET L-H'!$G$34*'TET DATOS'!AC43</f>
        <v>243.36862424534129</v>
      </c>
      <c r="AF43" s="40">
        <f>'TET L-H'!$G$34*'TET DATOS'!AD43</f>
        <v>124.16766543129658</v>
      </c>
      <c r="AG43" s="41" t="e">
        <f>(AA43^2+AE43^2)^0.5</f>
        <v>#DIV/0!</v>
      </c>
      <c r="AH43" s="41" t="e">
        <f t="shared" si="18"/>
        <v>#DIV/0!</v>
      </c>
    </row>
    <row r="44" spans="2:34" x14ac:dyDescent="0.2">
      <c r="B44" s="11">
        <v>150</v>
      </c>
      <c r="C44">
        <v>0</v>
      </c>
      <c r="D44" t="e">
        <f t="shared" ref="D44:D52" si="72">LN($C$52/C44)</f>
        <v>#DIV/0!</v>
      </c>
      <c r="F44">
        <v>0</v>
      </c>
      <c r="G44" t="e">
        <f t="shared" ref="G44:G52" si="73">LN($F$52/F44)</f>
        <v>#DIV/0!</v>
      </c>
      <c r="I44">
        <v>0</v>
      </c>
      <c r="J44" t="e">
        <f t="shared" ref="J44:J52" si="74">LN($I$52/I44)</f>
        <v>#DIV/0!</v>
      </c>
      <c r="L44" t="e">
        <f t="shared" si="66"/>
        <v>#DIV/0!</v>
      </c>
      <c r="M44" t="e">
        <f t="shared" si="67"/>
        <v>#DIV/0!</v>
      </c>
      <c r="N44" t="e">
        <f t="shared" si="68"/>
        <v>#DIV/0!</v>
      </c>
      <c r="O44" t="e">
        <f t="shared" si="69"/>
        <v>#DIV/0!</v>
      </c>
      <c r="P44" t="e">
        <f t="shared" si="70"/>
        <v>#DIV/0!</v>
      </c>
      <c r="R44">
        <f t="shared" ref="R44:R52" si="75">C44</f>
        <v>0</v>
      </c>
      <c r="S44">
        <f t="shared" ref="S44:S52" si="76">F44</f>
        <v>0</v>
      </c>
      <c r="T44">
        <f t="shared" ref="T44:T52" si="77">I44</f>
        <v>0</v>
      </c>
      <c r="U44" s="44">
        <f t="shared" ref="U44:U52" si="78">AVERAGE(R44:T44)</f>
        <v>0</v>
      </c>
      <c r="V44" t="e">
        <f t="shared" si="71"/>
        <v>#DIV/0!</v>
      </c>
      <c r="W44" s="38">
        <f t="shared" ref="W44:W52" si="79">STDEV(R44:T44)/(3)^0.5</f>
        <v>0</v>
      </c>
      <c r="X44" s="46">
        <f t="shared" si="34"/>
        <v>0</v>
      </c>
      <c r="Y44" s="39" t="e">
        <f t="shared" ref="Y44:Y52" si="80">(U44/$U$13)*SQRT(((X44/U44)^2)+(($X$13/$U$13)^2))</f>
        <v>#DIV/0!</v>
      </c>
      <c r="Z44" s="39" t="e">
        <f t="shared" ref="Z44:Z52" si="81">(U44/$U$13)*SQRT(((W44/U44)^2)+(($W$13/$U$13)^2))</f>
        <v>#DIV/0!</v>
      </c>
      <c r="AA44" s="39" t="e">
        <f t="shared" ref="AA44:AA52" si="82">(1/(U44/$U$13))*Y44</f>
        <v>#DIV/0!</v>
      </c>
      <c r="AB44" s="39" t="e">
        <f t="shared" ref="AB44:AB52" si="83">(1/(U44/$U$13))*Z44</f>
        <v>#DIV/0!</v>
      </c>
      <c r="AC44" s="40">
        <f t="shared" ref="AC44:AC52" si="84">(X44^2+$X$13^2)^0.5</f>
        <v>64.35984945575116</v>
      </c>
      <c r="AD44" s="40">
        <f t="shared" ref="AD44:AD52" si="85">(W44^2+$W$13^2)^0.5</f>
        <v>32.836657885587329</v>
      </c>
      <c r="AE44" s="40">
        <f>'TET L-H'!$G$34*'TET DATOS'!AC44</f>
        <v>243.36862424534129</v>
      </c>
      <c r="AF44" s="40">
        <f>'TET L-H'!$G$34*'TET DATOS'!AD44</f>
        <v>124.16766543129658</v>
      </c>
      <c r="AG44" s="41" t="e">
        <f t="shared" ref="AG44:AG52" si="86">(AA44^2+AE44^2)^0.5</f>
        <v>#DIV/0!</v>
      </c>
      <c r="AH44" s="41" t="e">
        <f t="shared" si="18"/>
        <v>#DIV/0!</v>
      </c>
    </row>
    <row r="45" spans="2:34" x14ac:dyDescent="0.2">
      <c r="B45" s="11">
        <v>120</v>
      </c>
      <c r="C45">
        <v>0</v>
      </c>
      <c r="D45" t="e">
        <f t="shared" si="72"/>
        <v>#DIV/0!</v>
      </c>
      <c r="F45">
        <v>0</v>
      </c>
      <c r="G45" t="e">
        <f t="shared" si="73"/>
        <v>#DIV/0!</v>
      </c>
      <c r="I45">
        <v>0</v>
      </c>
      <c r="J45" t="e">
        <f t="shared" si="74"/>
        <v>#DIV/0!</v>
      </c>
      <c r="L45" t="e">
        <f t="shared" si="66"/>
        <v>#DIV/0!</v>
      </c>
      <c r="M45" t="e">
        <f t="shared" si="67"/>
        <v>#DIV/0!</v>
      </c>
      <c r="N45" t="e">
        <f t="shared" si="68"/>
        <v>#DIV/0!</v>
      </c>
      <c r="O45" t="e">
        <f t="shared" si="69"/>
        <v>#DIV/0!</v>
      </c>
      <c r="P45" t="e">
        <f t="shared" si="70"/>
        <v>#DIV/0!</v>
      </c>
      <c r="R45">
        <f t="shared" si="75"/>
        <v>0</v>
      </c>
      <c r="S45">
        <f t="shared" si="76"/>
        <v>0</v>
      </c>
      <c r="T45">
        <f t="shared" si="77"/>
        <v>0</v>
      </c>
      <c r="U45" s="44">
        <f t="shared" si="78"/>
        <v>0</v>
      </c>
      <c r="V45" t="e">
        <f t="shared" si="71"/>
        <v>#DIV/0!</v>
      </c>
      <c r="W45" s="38">
        <f t="shared" si="79"/>
        <v>0</v>
      </c>
      <c r="X45" s="46">
        <f t="shared" si="34"/>
        <v>0</v>
      </c>
      <c r="Y45" s="39" t="e">
        <f t="shared" si="80"/>
        <v>#DIV/0!</v>
      </c>
      <c r="Z45" s="39" t="e">
        <f t="shared" si="81"/>
        <v>#DIV/0!</v>
      </c>
      <c r="AA45" s="39" t="e">
        <f t="shared" si="82"/>
        <v>#DIV/0!</v>
      </c>
      <c r="AB45" s="39" t="e">
        <f t="shared" si="83"/>
        <v>#DIV/0!</v>
      </c>
      <c r="AC45" s="40">
        <f t="shared" si="84"/>
        <v>64.35984945575116</v>
      </c>
      <c r="AD45" s="40">
        <f t="shared" si="85"/>
        <v>32.836657885587329</v>
      </c>
      <c r="AE45" s="40">
        <f>'TET L-H'!$G$34*'TET DATOS'!AC45</f>
        <v>243.36862424534129</v>
      </c>
      <c r="AF45" s="40">
        <f>'TET L-H'!$G$34*'TET DATOS'!AD45</f>
        <v>124.16766543129658</v>
      </c>
      <c r="AG45" s="41" t="e">
        <f t="shared" si="86"/>
        <v>#DIV/0!</v>
      </c>
      <c r="AH45" s="41" t="e">
        <f t="shared" si="18"/>
        <v>#DIV/0!</v>
      </c>
    </row>
    <row r="46" spans="2:34" x14ac:dyDescent="0.2">
      <c r="B46" s="11">
        <v>90</v>
      </c>
      <c r="C46">
        <v>0</v>
      </c>
      <c r="D46" t="e">
        <f t="shared" si="72"/>
        <v>#DIV/0!</v>
      </c>
      <c r="F46">
        <v>0</v>
      </c>
      <c r="G46" t="e">
        <f t="shared" si="73"/>
        <v>#DIV/0!</v>
      </c>
      <c r="I46">
        <v>0</v>
      </c>
      <c r="J46" t="e">
        <f t="shared" si="74"/>
        <v>#DIV/0!</v>
      </c>
      <c r="L46" t="e">
        <f t="shared" si="66"/>
        <v>#DIV/0!</v>
      </c>
      <c r="M46" t="e">
        <f t="shared" si="67"/>
        <v>#DIV/0!</v>
      </c>
      <c r="N46" t="e">
        <f t="shared" si="68"/>
        <v>#DIV/0!</v>
      </c>
      <c r="O46" t="e">
        <f t="shared" si="69"/>
        <v>#DIV/0!</v>
      </c>
      <c r="P46" t="e">
        <f t="shared" si="70"/>
        <v>#DIV/0!</v>
      </c>
      <c r="R46">
        <f t="shared" si="75"/>
        <v>0</v>
      </c>
      <c r="S46">
        <f t="shared" si="76"/>
        <v>0</v>
      </c>
      <c r="T46">
        <f t="shared" si="77"/>
        <v>0</v>
      </c>
      <c r="U46" s="44">
        <f t="shared" si="78"/>
        <v>0</v>
      </c>
      <c r="V46" t="e">
        <f t="shared" si="71"/>
        <v>#DIV/0!</v>
      </c>
      <c r="W46" s="38">
        <f t="shared" si="79"/>
        <v>0</v>
      </c>
      <c r="X46" s="46">
        <f t="shared" si="34"/>
        <v>0</v>
      </c>
      <c r="Y46" s="39" t="e">
        <f t="shared" si="80"/>
        <v>#DIV/0!</v>
      </c>
      <c r="Z46" s="39" t="e">
        <f t="shared" si="81"/>
        <v>#DIV/0!</v>
      </c>
      <c r="AA46" s="39" t="e">
        <f t="shared" si="82"/>
        <v>#DIV/0!</v>
      </c>
      <c r="AB46" s="39" t="e">
        <f t="shared" si="83"/>
        <v>#DIV/0!</v>
      </c>
      <c r="AC46" s="40">
        <f t="shared" si="84"/>
        <v>64.35984945575116</v>
      </c>
      <c r="AD46" s="40">
        <f t="shared" si="85"/>
        <v>32.836657885587329</v>
      </c>
      <c r="AE46" s="40">
        <f>'TET L-H'!$G$34*'TET DATOS'!AC46</f>
        <v>243.36862424534129</v>
      </c>
      <c r="AF46" s="40">
        <f>'TET L-H'!$G$34*'TET DATOS'!AD46</f>
        <v>124.16766543129658</v>
      </c>
      <c r="AG46" s="41" t="e">
        <f t="shared" si="86"/>
        <v>#DIV/0!</v>
      </c>
      <c r="AH46" s="41" t="e">
        <f t="shared" si="18"/>
        <v>#DIV/0!</v>
      </c>
    </row>
    <row r="47" spans="2:34" x14ac:dyDescent="0.2">
      <c r="B47" s="11">
        <v>75</v>
      </c>
      <c r="C47">
        <v>0</v>
      </c>
      <c r="D47" t="e">
        <f t="shared" si="72"/>
        <v>#DIV/0!</v>
      </c>
      <c r="F47">
        <v>0</v>
      </c>
      <c r="G47" t="e">
        <f t="shared" si="73"/>
        <v>#DIV/0!</v>
      </c>
      <c r="I47">
        <v>0</v>
      </c>
      <c r="J47" t="e">
        <f t="shared" si="74"/>
        <v>#DIV/0!</v>
      </c>
      <c r="L47" t="e">
        <f t="shared" si="66"/>
        <v>#DIV/0!</v>
      </c>
      <c r="M47" t="e">
        <f t="shared" si="67"/>
        <v>#DIV/0!</v>
      </c>
      <c r="N47" t="e">
        <f t="shared" si="68"/>
        <v>#DIV/0!</v>
      </c>
      <c r="O47" t="e">
        <f t="shared" si="69"/>
        <v>#DIV/0!</v>
      </c>
      <c r="P47" t="e">
        <f t="shared" si="70"/>
        <v>#DIV/0!</v>
      </c>
      <c r="R47">
        <f t="shared" si="75"/>
        <v>0</v>
      </c>
      <c r="S47">
        <f t="shared" si="76"/>
        <v>0</v>
      </c>
      <c r="T47">
        <f t="shared" si="77"/>
        <v>0</v>
      </c>
      <c r="U47" s="44">
        <f t="shared" si="78"/>
        <v>0</v>
      </c>
      <c r="V47" t="e">
        <f t="shared" si="71"/>
        <v>#DIV/0!</v>
      </c>
      <c r="W47" s="38">
        <f t="shared" si="79"/>
        <v>0</v>
      </c>
      <c r="X47" s="46">
        <f t="shared" si="34"/>
        <v>0</v>
      </c>
      <c r="Y47" s="39" t="e">
        <f t="shared" si="80"/>
        <v>#DIV/0!</v>
      </c>
      <c r="Z47" s="39" t="e">
        <f t="shared" si="81"/>
        <v>#DIV/0!</v>
      </c>
      <c r="AA47" s="39" t="e">
        <f t="shared" si="82"/>
        <v>#DIV/0!</v>
      </c>
      <c r="AB47" s="39" t="e">
        <f t="shared" si="83"/>
        <v>#DIV/0!</v>
      </c>
      <c r="AC47" s="40">
        <f t="shared" si="84"/>
        <v>64.35984945575116</v>
      </c>
      <c r="AD47" s="40">
        <f t="shared" si="85"/>
        <v>32.836657885587329</v>
      </c>
      <c r="AE47" s="40">
        <f>'TET L-H'!$G$34*'TET DATOS'!AC47</f>
        <v>243.36862424534129</v>
      </c>
      <c r="AF47" s="40">
        <f>'TET L-H'!$G$34*'TET DATOS'!AD47</f>
        <v>124.16766543129658</v>
      </c>
      <c r="AG47" s="41" t="e">
        <f t="shared" si="86"/>
        <v>#DIV/0!</v>
      </c>
      <c r="AH47" s="41" t="e">
        <f t="shared" si="18"/>
        <v>#DIV/0!</v>
      </c>
    </row>
    <row r="48" spans="2:34" x14ac:dyDescent="0.2">
      <c r="B48" s="11">
        <v>60</v>
      </c>
      <c r="C48">
        <v>0.48519810707686195</v>
      </c>
      <c r="D48">
        <f t="shared" si="72"/>
        <v>3.3896262690249697</v>
      </c>
      <c r="F48">
        <v>0</v>
      </c>
      <c r="G48" t="e">
        <f t="shared" si="73"/>
        <v>#DIV/0!</v>
      </c>
      <c r="I48">
        <v>0.1887103948511058</v>
      </c>
      <c r="J48">
        <f t="shared" si="74"/>
        <v>4.1570838994268202</v>
      </c>
      <c r="L48">
        <f t="shared" si="66"/>
        <v>3.3896262690249697</v>
      </c>
      <c r="M48" t="e">
        <f t="shared" si="67"/>
        <v>#DIV/0!</v>
      </c>
      <c r="N48">
        <f t="shared" si="68"/>
        <v>4.1570838994268202</v>
      </c>
      <c r="O48" t="e">
        <f t="shared" si="69"/>
        <v>#DIV/0!</v>
      </c>
      <c r="P48" t="e">
        <f t="shared" si="70"/>
        <v>#DIV/0!</v>
      </c>
      <c r="R48">
        <f t="shared" si="75"/>
        <v>0.48519810707686195</v>
      </c>
      <c r="S48" s="55">
        <f t="shared" si="76"/>
        <v>0</v>
      </c>
      <c r="T48">
        <f t="shared" si="77"/>
        <v>0.1887103948511058</v>
      </c>
      <c r="U48" s="44">
        <f>AVERAGE(R48,T48)</f>
        <v>0.3369542509639839</v>
      </c>
      <c r="V48">
        <f t="shared" si="71"/>
        <v>7.6527499976338191</v>
      </c>
      <c r="W48" s="38">
        <f>STDEV(R48,T48)/(2)^0.5</f>
        <v>0.14824385611287796</v>
      </c>
      <c r="X48" s="46">
        <f>1.96*W48</f>
        <v>0.29055795798124079</v>
      </c>
      <c r="Y48" s="39">
        <f t="shared" si="80"/>
        <v>4.1162594440794637E-4</v>
      </c>
      <c r="Z48" s="39">
        <f t="shared" si="81"/>
        <v>2.1001323694282977E-4</v>
      </c>
      <c r="AA48" s="39">
        <f t="shared" si="82"/>
        <v>0.86706136574879356</v>
      </c>
      <c r="AB48" s="39">
        <f t="shared" si="83"/>
        <v>0.44237824783101715</v>
      </c>
      <c r="AC48" s="40">
        <f t="shared" si="84"/>
        <v>64.360505326589063</v>
      </c>
      <c r="AD48" s="40">
        <f t="shared" si="85"/>
        <v>32.836992513565846</v>
      </c>
      <c r="AE48" s="40">
        <f>'TET L-H'!$G$34*'TET DATOS'!AC48</f>
        <v>243.3711043378967</v>
      </c>
      <c r="AF48" s="40">
        <f>'TET L-H'!$G$34*'TET DATOS'!AD48</f>
        <v>124.16893078464116</v>
      </c>
      <c r="AG48" s="62">
        <f t="shared" si="86"/>
        <v>243.37264887833919</v>
      </c>
      <c r="AH48" s="41">
        <f t="shared" si="18"/>
        <v>124.16971881547917</v>
      </c>
    </row>
    <row r="49" spans="2:34" x14ac:dyDescent="0.2">
      <c r="B49" s="11">
        <v>45</v>
      </c>
      <c r="C49">
        <v>2.1468942791011587</v>
      </c>
      <c r="D49">
        <f t="shared" si="72"/>
        <v>1.9024059893151186</v>
      </c>
      <c r="F49">
        <v>0</v>
      </c>
      <c r="G49" t="e">
        <f t="shared" si="73"/>
        <v>#DIV/0!</v>
      </c>
      <c r="I49">
        <v>0.83500174712878672</v>
      </c>
      <c r="J49">
        <f t="shared" si="74"/>
        <v>2.6698636197169692</v>
      </c>
      <c r="L49">
        <f t="shared" si="66"/>
        <v>1.9024059893151186</v>
      </c>
      <c r="M49" t="e">
        <f t="shared" si="67"/>
        <v>#DIV/0!</v>
      </c>
      <c r="N49">
        <f t="shared" si="68"/>
        <v>2.6698636197169692</v>
      </c>
      <c r="O49" t="e">
        <f t="shared" si="69"/>
        <v>#DIV/0!</v>
      </c>
      <c r="P49" t="e">
        <f t="shared" si="70"/>
        <v>#DIV/0!</v>
      </c>
      <c r="R49">
        <f t="shared" si="75"/>
        <v>2.1468942791011587</v>
      </c>
      <c r="S49" s="55">
        <f t="shared" si="76"/>
        <v>0</v>
      </c>
      <c r="T49">
        <f t="shared" si="77"/>
        <v>0.83500174712878672</v>
      </c>
      <c r="U49" s="44">
        <f t="shared" ref="U49:U51" si="87">AVERAGE(R49,T49)</f>
        <v>1.4909480131149726</v>
      </c>
      <c r="V49">
        <f t="shared" si="71"/>
        <v>6.1655297179239685</v>
      </c>
      <c r="W49" s="38">
        <f t="shared" ref="W49:W51" si="88">STDEV(R49,T49)/(2)^0.5</f>
        <v>0.65594626598618588</v>
      </c>
      <c r="X49" s="46">
        <f t="shared" si="34"/>
        <v>1.2856546813329244</v>
      </c>
      <c r="Y49" s="39">
        <f t="shared" si="80"/>
        <v>1.8213537363183472E-3</v>
      </c>
      <c r="Z49" s="39">
        <f t="shared" si="81"/>
        <v>9.2926211036650362E-4</v>
      </c>
      <c r="AA49" s="39">
        <f t="shared" si="82"/>
        <v>0.86706136574879411</v>
      </c>
      <c r="AB49" s="39">
        <f t="shared" si="83"/>
        <v>0.44237824783101737</v>
      </c>
      <c r="AC49" s="40">
        <f t="shared" si="84"/>
        <v>64.372689317183145</v>
      </c>
      <c r="AD49" s="40">
        <f t="shared" si="85"/>
        <v>32.843208835297531</v>
      </c>
      <c r="AE49" s="40">
        <f>'TET L-H'!$G$34*'TET DATOS'!AC49</f>
        <v>243.4171765561162</v>
      </c>
      <c r="AF49" s="40">
        <f>'TET L-H'!$G$34*'TET DATOS'!AD49</f>
        <v>124.19243701842667</v>
      </c>
      <c r="AG49" s="62">
        <f t="shared" si="86"/>
        <v>243.41872080422127</v>
      </c>
      <c r="AH49" s="41">
        <f t="shared" si="18"/>
        <v>124.19322490011292</v>
      </c>
    </row>
    <row r="50" spans="2:34" x14ac:dyDescent="0.2">
      <c r="B50" s="11">
        <v>30</v>
      </c>
      <c r="C50">
        <v>5.9340157874356025</v>
      </c>
      <c r="D50">
        <f t="shared" si="72"/>
        <v>0.88572708340969519</v>
      </c>
      <c r="F50">
        <v>0</v>
      </c>
      <c r="G50" t="e">
        <f t="shared" si="73"/>
        <v>#DIV/0!</v>
      </c>
      <c r="I50">
        <v>2.3079448290639659</v>
      </c>
      <c r="J50">
        <f t="shared" si="74"/>
        <v>1.6531847138115459</v>
      </c>
      <c r="L50">
        <f t="shared" si="66"/>
        <v>0.88572708340969519</v>
      </c>
      <c r="M50" t="e">
        <f t="shared" si="67"/>
        <v>#DIV/0!</v>
      </c>
      <c r="N50">
        <f t="shared" si="68"/>
        <v>1.6531847138115459</v>
      </c>
      <c r="O50" t="e">
        <f t="shared" si="69"/>
        <v>#DIV/0!</v>
      </c>
      <c r="P50" t="e">
        <f t="shared" si="70"/>
        <v>#DIV/0!</v>
      </c>
      <c r="R50">
        <f t="shared" si="75"/>
        <v>5.9340157874356025</v>
      </c>
      <c r="S50" s="55">
        <f t="shared" si="76"/>
        <v>0</v>
      </c>
      <c r="T50">
        <f t="shared" si="77"/>
        <v>2.3079448290639659</v>
      </c>
      <c r="U50" s="44">
        <f t="shared" si="87"/>
        <v>4.1209803082497842</v>
      </c>
      <c r="V50">
        <f t="shared" si="71"/>
        <v>5.1488508120185443</v>
      </c>
      <c r="W50" s="38">
        <f t="shared" si="88"/>
        <v>1.813035479185819</v>
      </c>
      <c r="X50" s="46">
        <f t="shared" si="34"/>
        <v>3.5535495392042051</v>
      </c>
      <c r="Y50" s="39">
        <f t="shared" si="80"/>
        <v>5.0342217271839148E-3</v>
      </c>
      <c r="Z50" s="39">
        <f t="shared" si="81"/>
        <v>2.5684804730530179E-3</v>
      </c>
      <c r="AA50" s="39">
        <f t="shared" si="82"/>
        <v>0.86706136574879478</v>
      </c>
      <c r="AB50" s="39">
        <f t="shared" si="83"/>
        <v>0.44237824783101776</v>
      </c>
      <c r="AC50" s="40">
        <f t="shared" si="84"/>
        <v>64.457877224545115</v>
      </c>
      <c r="AD50" s="40">
        <f t="shared" si="85"/>
        <v>32.886672053339346</v>
      </c>
      <c r="AE50" s="40">
        <f>'TET L-H'!$G$34*'TET DATOS'!AC50</f>
        <v>243.73930384498249</v>
      </c>
      <c r="AF50" s="40">
        <f>'TET L-H'!$G$34*'TET DATOS'!AD50</f>
        <v>124.35678767601148</v>
      </c>
      <c r="AG50" s="62">
        <f t="shared" si="86"/>
        <v>243.74084605221316</v>
      </c>
      <c r="AH50" s="41">
        <f t="shared" si="18"/>
        <v>124.35757451643528</v>
      </c>
    </row>
    <row r="51" spans="2:34" x14ac:dyDescent="0.2">
      <c r="B51" s="11">
        <v>15</v>
      </c>
      <c r="C51">
        <v>10.715149346993883</v>
      </c>
      <c r="D51">
        <f t="shared" si="72"/>
        <v>0.29476969882764653</v>
      </c>
      <c r="F51">
        <v>2.63585840209049</v>
      </c>
      <c r="G51">
        <f t="shared" si="73"/>
        <v>1.2790225397687673</v>
      </c>
      <c r="I51">
        <v>5.9652524814880508</v>
      </c>
      <c r="J51">
        <f t="shared" si="74"/>
        <v>0.70359077614277132</v>
      </c>
      <c r="L51">
        <f t="shared" si="66"/>
        <v>0.29476969882764653</v>
      </c>
      <c r="M51">
        <f t="shared" si="67"/>
        <v>1.2790225397687673</v>
      </c>
      <c r="N51">
        <f t="shared" si="68"/>
        <v>0.70359077614277132</v>
      </c>
      <c r="O51">
        <f t="shared" si="69"/>
        <v>0.75912767157972849</v>
      </c>
      <c r="P51">
        <f t="shared" si="70"/>
        <v>0.49447110511257208</v>
      </c>
      <c r="R51">
        <f t="shared" si="75"/>
        <v>10.715149346993883</v>
      </c>
      <c r="S51" s="55">
        <f t="shared" si="76"/>
        <v>2.63585840209049</v>
      </c>
      <c r="T51">
        <f t="shared" si="77"/>
        <v>5.9652524814880508</v>
      </c>
      <c r="U51" s="44">
        <f t="shared" si="87"/>
        <v>8.3402009142409668</v>
      </c>
      <c r="V51">
        <f t="shared" si="71"/>
        <v>4.4438545794555369</v>
      </c>
      <c r="W51" s="38">
        <f t="shared" si="88"/>
        <v>2.3749484327529138</v>
      </c>
      <c r="X51" s="46">
        <f t="shared" si="34"/>
        <v>4.6548989281957107</v>
      </c>
      <c r="Y51" s="39">
        <f t="shared" si="80"/>
        <v>6.6443047892266053E-3</v>
      </c>
      <c r="Z51" s="39">
        <f>(U51/$U$13)*SQRT(((W51/U51)^2)+(($W$13/$U$13)^2))</f>
        <v>3.3899514230747983E-3</v>
      </c>
      <c r="AA51" s="39">
        <f t="shared" si="82"/>
        <v>0.56544591192089455</v>
      </c>
      <c r="AB51" s="39">
        <f t="shared" si="83"/>
        <v>0.28849281220453799</v>
      </c>
      <c r="AC51" s="40">
        <f t="shared" si="84"/>
        <v>64.527965301864825</v>
      </c>
      <c r="AD51" s="40">
        <f t="shared" si="85"/>
        <v>32.922431276461644</v>
      </c>
      <c r="AE51" s="40">
        <f>'TET L-H'!$G$34*'TET DATOS'!AC51</f>
        <v>244.00433303783393</v>
      </c>
      <c r="AF51" s="40">
        <f>'TET L-H'!$G$34*'TET DATOS'!AD51</f>
        <v>124.49200665195609</v>
      </c>
      <c r="AG51" s="41">
        <f t="shared" si="86"/>
        <v>244.00498820785916</v>
      </c>
      <c r="AH51" s="41">
        <f t="shared" si="18"/>
        <v>124.49234092237712</v>
      </c>
    </row>
    <row r="52" spans="2:34" x14ac:dyDescent="0.2">
      <c r="B52" s="11">
        <v>0</v>
      </c>
      <c r="C52">
        <v>14.388485458535966</v>
      </c>
      <c r="D52">
        <f t="shared" si="72"/>
        <v>0</v>
      </c>
      <c r="F52">
        <v>9.4709710165220766</v>
      </c>
      <c r="G52">
        <f t="shared" si="73"/>
        <v>0</v>
      </c>
      <c r="I52">
        <v>12.05575522504542</v>
      </c>
      <c r="J52">
        <f t="shared" si="74"/>
        <v>0</v>
      </c>
      <c r="L52">
        <f t="shared" si="66"/>
        <v>0</v>
      </c>
      <c r="M52">
        <f t="shared" si="67"/>
        <v>0</v>
      </c>
      <c r="N52">
        <f t="shared" si="68"/>
        <v>0</v>
      </c>
      <c r="O52">
        <f t="shared" si="69"/>
        <v>0</v>
      </c>
      <c r="P52">
        <f t="shared" si="70"/>
        <v>0</v>
      </c>
      <c r="R52">
        <f t="shared" si="75"/>
        <v>14.388485458535966</v>
      </c>
      <c r="S52">
        <f t="shared" si="76"/>
        <v>9.4709710165220766</v>
      </c>
      <c r="T52">
        <f t="shared" si="77"/>
        <v>12.05575522504542</v>
      </c>
      <c r="U52" s="44">
        <f t="shared" si="78"/>
        <v>11.97173723336782</v>
      </c>
      <c r="V52">
        <f t="shared" si="71"/>
        <v>4.0823932446553641</v>
      </c>
      <c r="W52" s="38">
        <f t="shared" si="79"/>
        <v>1.4201855910464596</v>
      </c>
      <c r="X52" s="46">
        <f t="shared" si="34"/>
        <v>2.7835637584510606</v>
      </c>
      <c r="Y52" s="39">
        <f t="shared" si="80"/>
        <v>4.2094629617821875E-3</v>
      </c>
      <c r="Z52" s="39">
        <f t="shared" si="81"/>
        <v>2.1476851845827487E-3</v>
      </c>
      <c r="AA52" s="39">
        <f t="shared" si="82"/>
        <v>0.24956722597671241</v>
      </c>
      <c r="AB52" s="39">
        <f t="shared" si="83"/>
        <v>0.12733021733505734</v>
      </c>
      <c r="AC52" s="40">
        <f t="shared" si="84"/>
        <v>64.420015904719506</v>
      </c>
      <c r="AD52" s="40">
        <f t="shared" si="85"/>
        <v>32.867355053428327</v>
      </c>
      <c r="AE52" s="40">
        <f>'TET L-H'!$G$34*'TET DATOS'!AC52</f>
        <v>243.59613605643122</v>
      </c>
      <c r="AF52" s="40">
        <f>'TET L-H'!$G$34*'TET DATOS'!AD52</f>
        <v>124.28374288593433</v>
      </c>
      <c r="AG52" s="41">
        <f t="shared" si="86"/>
        <v>243.59626389873804</v>
      </c>
      <c r="AH52" s="41">
        <f t="shared" si="18"/>
        <v>124.28380811160108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2:AL196"/>
  <sheetViews>
    <sheetView topLeftCell="A25" zoomScale="80" zoomScaleNormal="80" workbookViewId="0">
      <selection activeCell="G51" sqref="G51"/>
    </sheetView>
  </sheetViews>
  <sheetFormatPr baseColWidth="10" defaultColWidth="11.5" defaultRowHeight="16" x14ac:dyDescent="0.2"/>
  <cols>
    <col min="1" max="2" width="11.5" style="1"/>
    <col min="3" max="3" width="12.83203125" style="1" bestFit="1" customWidth="1"/>
    <col min="4" max="4" width="11.5" style="1"/>
    <col min="5" max="5" width="12.83203125" style="1" bestFit="1" customWidth="1"/>
    <col min="6" max="6" width="11.5" style="1"/>
    <col min="7" max="7" width="13.83203125" style="1" bestFit="1" customWidth="1"/>
    <col min="8" max="8" width="15.5" style="1" customWidth="1"/>
    <col min="9" max="9" width="11.5" style="1"/>
    <col min="10" max="10" width="12.6640625" style="1" bestFit="1" customWidth="1"/>
    <col min="11" max="11" width="11.5" style="1"/>
    <col min="12" max="12" width="14.83203125" style="1" customWidth="1"/>
    <col min="13" max="18" width="11.5" style="1"/>
    <col min="19" max="19" width="26.33203125" style="1" customWidth="1"/>
    <col min="20" max="20" width="34.83203125" style="1" customWidth="1"/>
    <col min="21" max="16384" width="11.5" style="1"/>
  </cols>
  <sheetData>
    <row r="2" spans="2:38" ht="21" x14ac:dyDescent="0.25">
      <c r="B2" s="36" t="s">
        <v>17</v>
      </c>
    </row>
    <row r="3" spans="2:38" x14ac:dyDescent="0.2">
      <c r="N3" s="51" t="s">
        <v>8</v>
      </c>
      <c r="O3" s="51" t="s">
        <v>33</v>
      </c>
      <c r="P3" s="51" t="s">
        <v>35</v>
      </c>
      <c r="Q3" s="51" t="s">
        <v>36</v>
      </c>
      <c r="R3" s="51" t="s">
        <v>37</v>
      </c>
    </row>
    <row r="4" spans="2:38" x14ac:dyDescent="0.2">
      <c r="B4" s="10"/>
      <c r="D4" s="3"/>
      <c r="E4" s="3"/>
      <c r="G4" s="1" t="s">
        <v>18</v>
      </c>
      <c r="I4" s="33"/>
      <c r="J4" s="15"/>
      <c r="K4" s="21"/>
      <c r="L4" s="34"/>
      <c r="M4" s="21"/>
      <c r="N4" s="52" t="s">
        <v>9</v>
      </c>
      <c r="O4" s="51" t="s">
        <v>34</v>
      </c>
    </row>
    <row r="5" spans="2:38" x14ac:dyDescent="0.2">
      <c r="B5" s="10"/>
      <c r="D5" s="3"/>
      <c r="E5" s="3"/>
      <c r="I5" s="33"/>
      <c r="J5" s="15"/>
      <c r="K5" s="21"/>
      <c r="L5" s="34"/>
      <c r="M5" s="21"/>
      <c r="N5" s="21"/>
    </row>
    <row r="6" spans="2:38" x14ac:dyDescent="0.2">
      <c r="B6" s="10"/>
      <c r="D6" s="3"/>
      <c r="E6" s="3"/>
      <c r="I6" s="33"/>
      <c r="J6" s="15"/>
      <c r="K6" s="21"/>
      <c r="L6" s="34"/>
      <c r="M6" s="12"/>
      <c r="N6" s="21"/>
    </row>
    <row r="7" spans="2:38" x14ac:dyDescent="0.2">
      <c r="B7" s="10"/>
      <c r="C7" s="2" t="s">
        <v>2</v>
      </c>
      <c r="D7" s="1" t="s">
        <v>3</v>
      </c>
      <c r="E7" s="3"/>
      <c r="I7" s="33"/>
      <c r="J7" s="15"/>
      <c r="K7" s="21"/>
      <c r="L7" s="34"/>
      <c r="M7" s="12"/>
      <c r="N7" s="21"/>
    </row>
    <row r="8" spans="2:38" x14ac:dyDescent="0.2">
      <c r="B8" s="10"/>
      <c r="D8" s="3"/>
      <c r="E8" s="3"/>
      <c r="I8" s="96" t="s">
        <v>71</v>
      </c>
      <c r="J8" s="96" t="s">
        <v>72</v>
      </c>
      <c r="K8" s="21"/>
      <c r="L8" s="34"/>
      <c r="M8" s="12"/>
      <c r="N8" s="21"/>
    </row>
    <row r="9" spans="2:38" ht="17" x14ac:dyDescent="0.2">
      <c r="B9" s="10"/>
      <c r="C9" s="1" t="s">
        <v>6</v>
      </c>
      <c r="D9" s="3" t="s">
        <v>11</v>
      </c>
      <c r="E9" s="30" t="s">
        <v>12</v>
      </c>
      <c r="G9" s="1" t="s">
        <v>16</v>
      </c>
      <c r="I9" s="43" t="s">
        <v>32</v>
      </c>
      <c r="J9" s="43" t="s">
        <v>32</v>
      </c>
      <c r="K9" s="1" t="s">
        <v>19</v>
      </c>
      <c r="M9" s="12"/>
      <c r="U9" s="47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</row>
    <row r="10" spans="2:38" x14ac:dyDescent="0.2">
      <c r="B10" s="10"/>
      <c r="D10" s="3"/>
      <c r="E10" s="30"/>
      <c r="I10" s="43"/>
      <c r="J10" s="15"/>
      <c r="M10" s="12"/>
      <c r="N10" s="21"/>
      <c r="U10" s="47"/>
      <c r="V10" s="49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</row>
    <row r="11" spans="2:38" x14ac:dyDescent="0.2">
      <c r="B11" s="74">
        <v>1049.2862441428258</v>
      </c>
      <c r="C11" s="75">
        <v>4.6308459678459322</v>
      </c>
      <c r="D11" s="48">
        <f t="shared" ref="D11:D22" si="0">-LN(C11/$C$46)-$G$52*(C11-$C$46)</f>
        <v>1052.810805092563</v>
      </c>
      <c r="E11" s="48">
        <f t="shared" ref="E11:E22" si="1">$G$51*B11</f>
        <v>0</v>
      </c>
      <c r="F11" s="76"/>
      <c r="G11" s="48">
        <f t="shared" ref="G11:G45" si="2">(D11-E11)^2</f>
        <v>1108410.5913196506</v>
      </c>
      <c r="H11" s="48"/>
      <c r="I11" s="77">
        <f>'SMX DATOS'!AG44</f>
        <v>46.804965341842212</v>
      </c>
      <c r="J11" s="15"/>
      <c r="M11" s="21"/>
      <c r="N11" s="21"/>
      <c r="U11" s="47"/>
      <c r="V11" s="47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</row>
    <row r="12" spans="2:38" x14ac:dyDescent="0.2">
      <c r="B12" s="74">
        <v>1019.2862441428258</v>
      </c>
      <c r="C12" s="75">
        <v>7.4451814339311602</v>
      </c>
      <c r="D12" s="48">
        <f t="shared" si="0"/>
        <v>1049.2036324891576</v>
      </c>
      <c r="E12" s="48">
        <f t="shared" si="1"/>
        <v>0</v>
      </c>
      <c r="F12" s="76"/>
      <c r="G12" s="48">
        <f t="shared" si="2"/>
        <v>1100828.2624284432</v>
      </c>
      <c r="H12" s="48"/>
      <c r="I12" s="77">
        <f>'SMX DATOS'!AG45</f>
        <v>46.836174642574363</v>
      </c>
      <c r="J12" s="14"/>
      <c r="M12" s="21"/>
      <c r="N12" s="21"/>
      <c r="U12" s="47"/>
      <c r="V12" s="47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</row>
    <row r="13" spans="2:38" x14ac:dyDescent="0.2">
      <c r="B13" s="27">
        <v>989.28624414282581</v>
      </c>
      <c r="C13" s="69">
        <v>10.934696518336736</v>
      </c>
      <c r="D13" s="1">
        <f t="shared" ref="D13:D45" si="3">$C$46*(EXP(-$G$52*B13))</f>
        <v>0</v>
      </c>
      <c r="E13" s="1">
        <f t="shared" si="1"/>
        <v>0</v>
      </c>
      <c r="F13" s="3"/>
      <c r="G13" s="53">
        <f>(D13-C13)^2</f>
        <v>119.56758794812554</v>
      </c>
      <c r="I13" s="39">
        <f>'SMX DATOS'!AG46</f>
        <v>46.806200699244002</v>
      </c>
      <c r="J13" s="39">
        <f>'SMX DATOS'!AH46</f>
        <v>23.880714642471428</v>
      </c>
      <c r="L13" s="1">
        <f>-LN(C13/$C$46)</f>
        <v>4.4600652402392376</v>
      </c>
      <c r="M13" s="21"/>
      <c r="N13" s="79" t="s">
        <v>67</v>
      </c>
      <c r="T13" t="s">
        <v>38</v>
      </c>
      <c r="U13"/>
      <c r="V13"/>
      <c r="W13"/>
      <c r="X13"/>
      <c r="Y13"/>
      <c r="Z13"/>
      <c r="AA13"/>
      <c r="AB13"/>
      <c r="AC13" s="48"/>
      <c r="AD13"/>
      <c r="AE13"/>
      <c r="AF13"/>
      <c r="AG13"/>
      <c r="AH13"/>
      <c r="AI13"/>
      <c r="AJ13"/>
      <c r="AK13"/>
      <c r="AL13"/>
    </row>
    <row r="14" spans="2:38" ht="17" thickBot="1" x14ac:dyDescent="0.25">
      <c r="B14" s="27">
        <v>974.28624414282581</v>
      </c>
      <c r="C14" s="69">
        <v>13.432417935660355</v>
      </c>
      <c r="D14" s="1">
        <f t="shared" si="3"/>
        <v>0</v>
      </c>
      <c r="E14" s="1">
        <f t="shared" si="1"/>
        <v>0</v>
      </c>
      <c r="F14" s="3"/>
      <c r="G14" s="53">
        <f t="shared" ref="G14:G46" si="4">(D14-C14)^2</f>
        <v>180.42985159825</v>
      </c>
      <c r="I14" s="39">
        <f>'SMX DATOS'!AG47</f>
        <v>46.840652008779806</v>
      </c>
      <c r="J14" s="39">
        <f>'SMX DATOS'!AH47</f>
        <v>23.898291841214185</v>
      </c>
      <c r="L14" s="1">
        <f t="shared" ref="L14:L46" si="5">-LN(C14/$C$46)</f>
        <v>4.2543351065290471</v>
      </c>
      <c r="M14" s="17"/>
      <c r="N14" s="79" t="s">
        <v>73</v>
      </c>
      <c r="T14"/>
      <c r="U14"/>
      <c r="V14"/>
      <c r="W14"/>
      <c r="X14"/>
      <c r="Y14"/>
      <c r="Z14"/>
      <c r="AA14"/>
      <c r="AB14"/>
      <c r="AC14" s="48"/>
      <c r="AD14"/>
      <c r="AE14"/>
      <c r="AF14"/>
      <c r="AG14"/>
      <c r="AH14"/>
      <c r="AI14"/>
      <c r="AJ14"/>
      <c r="AK14"/>
      <c r="AL14"/>
    </row>
    <row r="15" spans="2:38" x14ac:dyDescent="0.2">
      <c r="B15" s="27">
        <v>959.28624414282581</v>
      </c>
      <c r="C15" s="69">
        <v>13.702939530068083</v>
      </c>
      <c r="D15" s="1">
        <f t="shared" si="3"/>
        <v>0</v>
      </c>
      <c r="E15" s="1">
        <f t="shared" si="1"/>
        <v>0</v>
      </c>
      <c r="F15" s="3"/>
      <c r="G15" s="53">
        <f t="shared" si="4"/>
        <v>187.77055176470247</v>
      </c>
      <c r="I15" s="39">
        <f>'SMX DATOS'!AG48</f>
        <v>46.806244663259847</v>
      </c>
      <c r="J15" s="39">
        <f>'SMX DATOS'!AH48</f>
        <v>23.880737073091758</v>
      </c>
      <c r="L15" s="1">
        <f t="shared" si="5"/>
        <v>4.234395766687304</v>
      </c>
      <c r="M15" s="17"/>
      <c r="N15" s="12"/>
      <c r="T15" s="60" t="s">
        <v>39</v>
      </c>
      <c r="U15" s="60"/>
      <c r="V15"/>
      <c r="W15"/>
      <c r="X15"/>
      <c r="Y15"/>
      <c r="Z15"/>
      <c r="AA15"/>
      <c r="AB15"/>
      <c r="AC15" s="48"/>
      <c r="AD15" s="60"/>
      <c r="AE15" s="60"/>
      <c r="AF15"/>
      <c r="AG15"/>
      <c r="AH15"/>
      <c r="AI15"/>
      <c r="AJ15"/>
      <c r="AK15"/>
      <c r="AL15"/>
    </row>
    <row r="16" spans="2:38" x14ac:dyDescent="0.2">
      <c r="B16" s="27">
        <v>944.28624414282581</v>
      </c>
      <c r="C16" s="69">
        <v>15.2772152647079</v>
      </c>
      <c r="D16" s="1">
        <f t="shared" si="3"/>
        <v>0</v>
      </c>
      <c r="E16" s="1">
        <f t="shared" si="1"/>
        <v>0</v>
      </c>
      <c r="F16" s="3"/>
      <c r="G16" s="53">
        <f t="shared" si="4"/>
        <v>233.39330624422408</v>
      </c>
      <c r="I16" s="39">
        <f>'SMX DATOS'!AG49</f>
        <v>46.905058903729433</v>
      </c>
      <c r="J16" s="39">
        <f>'SMX DATOS'!AH49</f>
        <v>23.931152501902773</v>
      </c>
      <c r="L16" s="1">
        <f t="shared" si="5"/>
        <v>4.1256436206890479</v>
      </c>
      <c r="M16" s="35"/>
      <c r="N16" s="21"/>
      <c r="T16" s="57" t="s">
        <v>40</v>
      </c>
      <c r="U16" s="57">
        <v>0.99716016177405997</v>
      </c>
      <c r="V16"/>
      <c r="W16"/>
      <c r="X16"/>
      <c r="Y16"/>
      <c r="Z16"/>
      <c r="AA16"/>
      <c r="AB16"/>
      <c r="AC16" s="48"/>
      <c r="AD16" s="57"/>
      <c r="AE16" s="57"/>
      <c r="AF16"/>
      <c r="AG16"/>
      <c r="AH16"/>
      <c r="AI16"/>
      <c r="AJ16"/>
      <c r="AK16"/>
      <c r="AL16"/>
    </row>
    <row r="17" spans="2:38" x14ac:dyDescent="0.2">
      <c r="B17" s="27">
        <v>929.28624414282581</v>
      </c>
      <c r="C17" s="69">
        <v>17.667418721167866</v>
      </c>
      <c r="D17" s="1">
        <f t="shared" si="3"/>
        <v>0</v>
      </c>
      <c r="E17" s="1">
        <f t="shared" si="1"/>
        <v>0</v>
      </c>
      <c r="F17" s="3"/>
      <c r="G17" s="53">
        <f t="shared" si="4"/>
        <v>312.13768426907279</v>
      </c>
      <c r="I17" s="39">
        <f>'SMX DATOS'!AG50</f>
        <v>46.819834337550155</v>
      </c>
      <c r="J17" s="39">
        <f>'SMX DATOS'!AH50</f>
        <v>23.887670580382739</v>
      </c>
      <c r="L17" s="1">
        <f t="shared" si="5"/>
        <v>3.9802839476436334</v>
      </c>
      <c r="M17" s="21"/>
      <c r="N17" s="21"/>
      <c r="T17" s="57" t="s">
        <v>41</v>
      </c>
      <c r="U17" s="57">
        <v>0.99432838822926939</v>
      </c>
      <c r="V17"/>
      <c r="W17"/>
      <c r="X17"/>
      <c r="Y17"/>
      <c r="Z17"/>
      <c r="AA17"/>
      <c r="AB17"/>
      <c r="AC17" s="48"/>
      <c r="AD17" s="57"/>
      <c r="AE17" s="57"/>
      <c r="AF17"/>
      <c r="AG17"/>
      <c r="AH17"/>
      <c r="AI17"/>
      <c r="AJ17"/>
      <c r="AK17"/>
      <c r="AL17"/>
    </row>
    <row r="18" spans="2:38" x14ac:dyDescent="0.2">
      <c r="B18" s="27">
        <v>917.60296318225096</v>
      </c>
      <c r="C18" s="70">
        <v>16.365763605015374</v>
      </c>
      <c r="D18" s="1">
        <f t="shared" si="3"/>
        <v>0</v>
      </c>
      <c r="E18" s="1">
        <f t="shared" si="1"/>
        <v>0</v>
      </c>
      <c r="F18" s="3"/>
      <c r="G18" s="53">
        <f t="shared" si="4"/>
        <v>267.83821837524579</v>
      </c>
      <c r="I18" s="39">
        <f>'SMX DATOS'!AG31</f>
        <v>46.947519118317395</v>
      </c>
      <c r="J18" s="39">
        <f>'SMX DATOS'!AH31</f>
        <v>23.952815876692547</v>
      </c>
      <c r="L18" s="1">
        <f t="shared" si="5"/>
        <v>4.0568145730172214</v>
      </c>
      <c r="M18" s="21"/>
      <c r="N18" s="21"/>
      <c r="T18" s="57" t="s">
        <v>42</v>
      </c>
      <c r="U18" s="57">
        <v>0.99415652120591391</v>
      </c>
      <c r="V18"/>
      <c r="W18"/>
      <c r="X18"/>
      <c r="Y18"/>
      <c r="Z18"/>
      <c r="AA18"/>
      <c r="AB18"/>
      <c r="AC18" s="48"/>
      <c r="AD18" s="57"/>
      <c r="AE18" s="57"/>
      <c r="AF18"/>
      <c r="AG18"/>
      <c r="AH18"/>
      <c r="AI18"/>
      <c r="AJ18"/>
      <c r="AK18"/>
      <c r="AL18"/>
    </row>
    <row r="19" spans="2:38" x14ac:dyDescent="0.2">
      <c r="B19" s="27">
        <v>914.28624414282581</v>
      </c>
      <c r="C19" s="69">
        <v>18.232995585420333</v>
      </c>
      <c r="D19" s="1">
        <f t="shared" si="3"/>
        <v>0</v>
      </c>
      <c r="E19" s="1">
        <f t="shared" si="1"/>
        <v>0</v>
      </c>
      <c r="F19" s="3"/>
      <c r="G19" s="53">
        <f t="shared" si="4"/>
        <v>332.44212801795737</v>
      </c>
      <c r="I19" s="39">
        <f>'SMX DATOS'!AG51</f>
        <v>46.812146739990425</v>
      </c>
      <c r="J19" s="39">
        <f>'SMX DATOS'!AH51</f>
        <v>23.883748336729813</v>
      </c>
      <c r="L19" s="1">
        <f t="shared" si="5"/>
        <v>3.9487732438075906</v>
      </c>
      <c r="M19" s="27"/>
      <c r="N19" s="21"/>
      <c r="T19" s="57" t="s">
        <v>43</v>
      </c>
      <c r="U19" s="57">
        <v>0.13035078689269436</v>
      </c>
      <c r="V19"/>
      <c r="W19"/>
      <c r="X19"/>
      <c r="Y19"/>
      <c r="Z19"/>
      <c r="AA19"/>
      <c r="AB19"/>
      <c r="AC19" s="48"/>
      <c r="AD19" s="57"/>
      <c r="AE19" s="57"/>
      <c r="AF19"/>
      <c r="AG19"/>
      <c r="AH19"/>
      <c r="AI19"/>
      <c r="AJ19"/>
      <c r="AK19"/>
      <c r="AL19"/>
    </row>
    <row r="20" spans="2:38" ht="17" thickBot="1" x14ac:dyDescent="0.25">
      <c r="B20" s="27">
        <v>899.28624414282581</v>
      </c>
      <c r="C20" s="69">
        <v>19.121794394714854</v>
      </c>
      <c r="D20" s="1">
        <f t="shared" si="3"/>
        <v>0</v>
      </c>
      <c r="E20" s="1">
        <f t="shared" si="1"/>
        <v>0</v>
      </c>
      <c r="F20" s="3"/>
      <c r="G20" s="53">
        <f>(D20-C20)^2</f>
        <v>365.64302087374841</v>
      </c>
      <c r="I20" s="39">
        <f>'SMX DATOS'!AG52</f>
        <v>46.804238608809541</v>
      </c>
      <c r="J20" s="39">
        <f>'SMX DATOS'!AH52</f>
        <v>23.879713575923233</v>
      </c>
      <c r="L20" s="1">
        <f t="shared" si="5"/>
        <v>3.9011773884286463</v>
      </c>
      <c r="M20" s="21"/>
      <c r="N20" s="21"/>
      <c r="T20" s="58" t="s">
        <v>44</v>
      </c>
      <c r="U20" s="58">
        <v>35</v>
      </c>
      <c r="V20"/>
      <c r="W20"/>
      <c r="X20"/>
      <c r="Y20"/>
      <c r="Z20"/>
      <c r="AA20"/>
      <c r="AB20"/>
      <c r="AC20" s="48"/>
      <c r="AD20" s="58"/>
      <c r="AE20" s="58"/>
      <c r="AF20"/>
      <c r="AG20"/>
      <c r="AH20"/>
      <c r="AI20"/>
      <c r="AJ20"/>
      <c r="AK20"/>
      <c r="AL20"/>
    </row>
    <row r="21" spans="2:38" x14ac:dyDescent="0.2">
      <c r="B21" s="27">
        <v>887.60296318225096</v>
      </c>
      <c r="C21" s="70">
        <v>20.879722874304868</v>
      </c>
      <c r="D21" s="1">
        <f t="shared" si="3"/>
        <v>0</v>
      </c>
      <c r="E21" s="1">
        <f t="shared" si="1"/>
        <v>0</v>
      </c>
      <c r="F21" s="3"/>
      <c r="G21" s="53">
        <f t="shared" si="4"/>
        <v>435.96282730776994</v>
      </c>
      <c r="I21" s="39">
        <f>'SMX DATOS'!AG32</f>
        <v>46.846986607609836</v>
      </c>
      <c r="J21" s="39">
        <f>'SMX DATOS'!AH32</f>
        <v>23.901523779392775</v>
      </c>
      <c r="L21" s="1">
        <f t="shared" si="5"/>
        <v>3.8132276501213624</v>
      </c>
      <c r="M21" s="18"/>
      <c r="N21" s="12"/>
      <c r="T21"/>
      <c r="U21"/>
      <c r="V21"/>
      <c r="W21"/>
      <c r="X21"/>
      <c r="Y21"/>
      <c r="Z21"/>
      <c r="AA21"/>
      <c r="AB21"/>
      <c r="AC21" s="48"/>
      <c r="AD21"/>
      <c r="AE21"/>
      <c r="AF21"/>
      <c r="AG21"/>
      <c r="AH21"/>
      <c r="AI21"/>
      <c r="AJ21"/>
      <c r="AK21"/>
      <c r="AL21"/>
    </row>
    <row r="22" spans="2:38" ht="17" thickBot="1" x14ac:dyDescent="0.25">
      <c r="B22" s="27">
        <v>857.60296318225096</v>
      </c>
      <c r="C22" s="70">
        <v>21.593965305344835</v>
      </c>
      <c r="D22" s="1">
        <f t="shared" si="3"/>
        <v>0</v>
      </c>
      <c r="E22" s="1">
        <f t="shared" si="1"/>
        <v>0</v>
      </c>
      <c r="F22" s="3"/>
      <c r="G22" s="53">
        <f t="shared" si="4"/>
        <v>466.29933760843642</v>
      </c>
      <c r="I22" s="39">
        <f>'SMX DATOS'!AG33</f>
        <v>46.825814054901421</v>
      </c>
      <c r="J22" s="39">
        <f>'SMX DATOS'!AH33</f>
        <v>23.890721456582359</v>
      </c>
      <c r="L22" s="1">
        <f t="shared" si="5"/>
        <v>3.7795922491009932</v>
      </c>
      <c r="M22" s="18"/>
      <c r="N22" s="12"/>
      <c r="T22" t="s">
        <v>45</v>
      </c>
      <c r="U22"/>
      <c r="V22"/>
      <c r="W22"/>
      <c r="X22"/>
      <c r="Y22"/>
      <c r="Z22"/>
      <c r="AA22"/>
      <c r="AB22"/>
      <c r="AC22" s="48"/>
      <c r="AD22"/>
      <c r="AE22"/>
      <c r="AF22"/>
      <c r="AG22"/>
      <c r="AH22"/>
      <c r="AI22"/>
      <c r="AJ22"/>
      <c r="AK22"/>
      <c r="AL22"/>
    </row>
    <row r="23" spans="2:38" x14ac:dyDescent="0.2">
      <c r="B23" s="27">
        <v>842.60296318225096</v>
      </c>
      <c r="C23" s="70">
        <v>23.859133358390192</v>
      </c>
      <c r="D23" s="1">
        <f t="shared" si="3"/>
        <v>0</v>
      </c>
      <c r="E23" s="1">
        <f t="shared" ref="E23:E46" si="6">$G$51*B23</f>
        <v>0</v>
      </c>
      <c r="F23" s="3"/>
      <c r="G23" s="53">
        <f t="shared" si="4"/>
        <v>569.25824461344769</v>
      </c>
      <c r="I23" s="39">
        <f>'SMX DATOS'!AG34</f>
        <v>46.804157311358921</v>
      </c>
      <c r="J23" s="39">
        <f>'SMX DATOS'!AH34</f>
        <v>23.879672097632103</v>
      </c>
      <c r="L23" s="1">
        <f t="shared" si="5"/>
        <v>3.6798390466792918</v>
      </c>
      <c r="M23" s="21"/>
      <c r="N23" s="21"/>
      <c r="T23" s="59"/>
      <c r="U23" s="59" t="s">
        <v>50</v>
      </c>
      <c r="V23" s="59" t="s">
        <v>51</v>
      </c>
      <c r="W23" s="59" t="s">
        <v>52</v>
      </c>
      <c r="X23" s="59" t="s">
        <v>53</v>
      </c>
      <c r="Y23" s="59" t="s">
        <v>54</v>
      </c>
      <c r="Z23"/>
      <c r="AA23"/>
      <c r="AB23"/>
      <c r="AC23" s="48"/>
      <c r="AD23" s="59"/>
      <c r="AE23" s="59"/>
      <c r="AF23" s="59"/>
      <c r="AG23" s="59"/>
      <c r="AH23" s="59"/>
      <c r="AI23" s="59"/>
      <c r="AJ23"/>
      <c r="AK23"/>
      <c r="AL23"/>
    </row>
    <row r="24" spans="2:38" x14ac:dyDescent="0.2">
      <c r="B24" s="27">
        <v>827.60296318225096</v>
      </c>
      <c r="C24" s="70">
        <v>29.720465433531903</v>
      </c>
      <c r="D24" s="1">
        <f t="shared" si="3"/>
        <v>0</v>
      </c>
      <c r="E24" s="1">
        <f t="shared" si="6"/>
        <v>0</v>
      </c>
      <c r="F24" s="3"/>
      <c r="G24" s="53">
        <f t="shared" si="4"/>
        <v>883.30606558576471</v>
      </c>
      <c r="I24" s="39">
        <f>'SMX DATOS'!AG35</f>
        <v>47.057537979640564</v>
      </c>
      <c r="J24" s="39">
        <f>'SMX DATOS'!AH35</f>
        <v>24.008947948796209</v>
      </c>
      <c r="L24" s="1">
        <f t="shared" si="5"/>
        <v>3.4601702604005631</v>
      </c>
      <c r="M24" s="21"/>
      <c r="N24" s="21"/>
      <c r="T24" s="57" t="s">
        <v>46</v>
      </c>
      <c r="U24" s="57">
        <v>1</v>
      </c>
      <c r="V24" s="57">
        <v>98.302507949631433</v>
      </c>
      <c r="W24" s="57">
        <v>98.302507949631433</v>
      </c>
      <c r="X24" s="57">
        <v>5785.4518500194254</v>
      </c>
      <c r="Y24" s="57">
        <v>1.19320478273573E-38</v>
      </c>
      <c r="Z24"/>
      <c r="AA24"/>
      <c r="AB24"/>
      <c r="AC24" s="48"/>
      <c r="AD24" s="57"/>
      <c r="AE24" s="57"/>
      <c r="AF24" s="57"/>
      <c r="AG24" s="57"/>
      <c r="AH24" s="57"/>
      <c r="AI24" s="57"/>
      <c r="AJ24"/>
      <c r="AK24"/>
      <c r="AL24"/>
    </row>
    <row r="25" spans="2:38" x14ac:dyDescent="0.2">
      <c r="B25" s="27">
        <v>812.60296318225096</v>
      </c>
      <c r="C25" s="70">
        <v>36.168797093770067</v>
      </c>
      <c r="D25" s="1">
        <f t="shared" si="3"/>
        <v>0</v>
      </c>
      <c r="E25" s="1">
        <f t="shared" si="6"/>
        <v>0</v>
      </c>
      <c r="F25" s="3"/>
      <c r="G25" s="53">
        <f t="shared" si="4"/>
        <v>1308.1818832103099</v>
      </c>
      <c r="I25" s="39">
        <f>'SMX DATOS'!AG36</f>
        <v>47.020775234045594</v>
      </c>
      <c r="J25" s="39">
        <f>'SMX DATOS'!AH36</f>
        <v>23.99019144594163</v>
      </c>
      <c r="L25" s="1">
        <f t="shared" si="5"/>
        <v>3.2638093523482636</v>
      </c>
      <c r="M25" s="21"/>
      <c r="N25" s="21"/>
      <c r="T25" s="57" t="s">
        <v>47</v>
      </c>
      <c r="U25" s="57">
        <v>33</v>
      </c>
      <c r="V25" s="57">
        <v>0.56071381223697248</v>
      </c>
      <c r="W25" s="57">
        <v>1.6991327643544621E-2</v>
      </c>
      <c r="X25" s="57"/>
      <c r="Y25" s="57"/>
      <c r="Z25"/>
      <c r="AA25"/>
      <c r="AB25"/>
      <c r="AC25" s="48"/>
      <c r="AD25" s="57"/>
      <c r="AE25" s="57"/>
      <c r="AF25" s="57"/>
      <c r="AG25" s="57"/>
      <c r="AH25" s="57"/>
      <c r="AI25" s="57"/>
      <c r="AJ25"/>
      <c r="AK25"/>
      <c r="AL25"/>
    </row>
    <row r="26" spans="2:38" ht="17" thickBot="1" x14ac:dyDescent="0.25">
      <c r="B26" s="27">
        <v>797.60296318225096</v>
      </c>
      <c r="C26" s="70">
        <v>40.87000855578831</v>
      </c>
      <c r="D26" s="1">
        <f t="shared" si="3"/>
        <v>0</v>
      </c>
      <c r="E26" s="1">
        <f t="shared" si="6"/>
        <v>0</v>
      </c>
      <c r="F26" s="3"/>
      <c r="G26" s="53">
        <f t="shared" si="4"/>
        <v>1670.3575993502097</v>
      </c>
      <c r="I26" s="39">
        <f>'SMX DATOS'!AG37</f>
        <v>47.100524069139517</v>
      </c>
      <c r="J26" s="39">
        <f>'SMX DATOS'!AH37</f>
        <v>24.030879627111997</v>
      </c>
      <c r="L26" s="1">
        <f t="shared" si="5"/>
        <v>3.1416096338266222</v>
      </c>
      <c r="M26" s="27"/>
      <c r="N26" s="21"/>
      <c r="T26" s="58" t="s">
        <v>48</v>
      </c>
      <c r="U26" s="58">
        <v>34</v>
      </c>
      <c r="V26" s="58">
        <v>98.863221761868402</v>
      </c>
      <c r="W26" s="58"/>
      <c r="X26" s="58"/>
      <c r="Y26" s="58"/>
      <c r="Z26"/>
      <c r="AA26"/>
      <c r="AB26"/>
      <c r="AC26" s="48"/>
      <c r="AD26" s="58"/>
      <c r="AE26" s="58"/>
      <c r="AF26" s="58"/>
      <c r="AG26" s="58"/>
      <c r="AH26" s="58"/>
      <c r="AI26" s="58"/>
      <c r="AJ26"/>
      <c r="AK26"/>
      <c r="AL26"/>
    </row>
    <row r="27" spans="2:38" ht="17" thickBot="1" x14ac:dyDescent="0.25">
      <c r="B27" s="27">
        <v>782.60296318225096</v>
      </c>
      <c r="C27" s="70">
        <v>40.193992762834228</v>
      </c>
      <c r="D27" s="1">
        <f t="shared" si="3"/>
        <v>0</v>
      </c>
      <c r="E27" s="1">
        <f t="shared" si="6"/>
        <v>0</v>
      </c>
      <c r="F27" s="3"/>
      <c r="G27" s="53">
        <f t="shared" si="4"/>
        <v>1615.5570542187702</v>
      </c>
      <c r="I27" s="39">
        <f>'SMX DATOS'!AG38</f>
        <v>46.88036759143084</v>
      </c>
      <c r="J27" s="39">
        <f>'SMX DATOS'!AH38</f>
        <v>23.918554893587164</v>
      </c>
      <c r="L27" s="1">
        <f t="shared" si="5"/>
        <v>3.1582885900460198</v>
      </c>
      <c r="M27" s="21"/>
      <c r="N27" s="21"/>
      <c r="T27"/>
      <c r="U27"/>
      <c r="V27"/>
      <c r="W27"/>
      <c r="X27"/>
      <c r="Y27"/>
      <c r="Z27"/>
      <c r="AA27"/>
      <c r="AB27"/>
      <c r="AC27" s="48"/>
      <c r="AD27"/>
      <c r="AE27"/>
      <c r="AF27"/>
      <c r="AG27"/>
      <c r="AH27"/>
      <c r="AI27"/>
      <c r="AJ27"/>
      <c r="AK27"/>
      <c r="AL27"/>
    </row>
    <row r="28" spans="2:38" x14ac:dyDescent="0.2">
      <c r="B28" s="27">
        <v>767.60296318225096</v>
      </c>
      <c r="C28" s="70">
        <v>44.819358160821601</v>
      </c>
      <c r="D28" s="1">
        <f t="shared" si="3"/>
        <v>0</v>
      </c>
      <c r="E28" s="1">
        <f t="shared" si="6"/>
        <v>0</v>
      </c>
      <c r="F28" s="3"/>
      <c r="G28" s="53">
        <f t="shared" si="4"/>
        <v>2008.7748659480058</v>
      </c>
      <c r="I28" s="39">
        <f>'SMX DATOS'!AG39</f>
        <v>46.827449650812326</v>
      </c>
      <c r="J28" s="39">
        <f>'SMX DATOS'!AH39</f>
        <v>23.891555944292005</v>
      </c>
      <c r="L28" s="1">
        <f t="shared" si="5"/>
        <v>3.0493659928484229</v>
      </c>
      <c r="M28" s="18"/>
      <c r="N28" s="13"/>
      <c r="T28" s="59"/>
      <c r="U28" s="59" t="s">
        <v>55</v>
      </c>
      <c r="V28" s="59" t="s">
        <v>43</v>
      </c>
      <c r="W28" s="59" t="s">
        <v>56</v>
      </c>
      <c r="X28" s="59" t="s">
        <v>57</v>
      </c>
      <c r="Y28" s="59" t="s">
        <v>58</v>
      </c>
      <c r="Z28" s="59" t="s">
        <v>59</v>
      </c>
      <c r="AA28" s="59" t="s">
        <v>60</v>
      </c>
      <c r="AB28" s="59" t="s">
        <v>61</v>
      </c>
      <c r="AC28" s="48"/>
      <c r="AD28" s="59"/>
      <c r="AE28" s="59"/>
      <c r="AF28" s="59"/>
      <c r="AG28" s="59"/>
      <c r="AH28" s="59"/>
      <c r="AI28" s="59"/>
      <c r="AJ28" s="59"/>
      <c r="AK28" s="59"/>
      <c r="AL28" s="59"/>
    </row>
    <row r="29" spans="2:38" x14ac:dyDescent="0.2">
      <c r="B29" s="53">
        <v>336.13922523870258</v>
      </c>
      <c r="C29" s="71">
        <v>231.35469884666313</v>
      </c>
      <c r="D29" s="1">
        <f t="shared" si="3"/>
        <v>3.1389438998489388E-160</v>
      </c>
      <c r="E29" s="1">
        <f t="shared" si="6"/>
        <v>0</v>
      </c>
      <c r="F29" s="3"/>
      <c r="G29" s="53">
        <f t="shared" si="4"/>
        <v>53524.996678430187</v>
      </c>
      <c r="I29" s="39">
        <f>'SMX DATOS'!AG18</f>
        <v>49.15105333133527</v>
      </c>
      <c r="J29" s="39">
        <f>'SMX DATOS'!AH18</f>
        <v>25.077068026191462</v>
      </c>
      <c r="L29" s="1">
        <f t="shared" si="5"/>
        <v>1.4080541150435844</v>
      </c>
      <c r="M29" s="18"/>
      <c r="N29" s="13"/>
      <c r="T29" s="57" t="s">
        <v>49</v>
      </c>
      <c r="U29" s="57">
        <v>6.1882053194195041E-2</v>
      </c>
      <c r="V29" s="57">
        <v>3.7482972245257644E-2</v>
      </c>
      <c r="W29" s="57">
        <v>1.6509377321864964</v>
      </c>
      <c r="X29" s="57">
        <v>0.10823795279604971</v>
      </c>
      <c r="Y29" s="57">
        <v>-1.4377627232650653E-2</v>
      </c>
      <c r="Z29" s="57">
        <v>0.13814173362104074</v>
      </c>
      <c r="AA29" s="57">
        <v>-1.4377627232650653E-2</v>
      </c>
      <c r="AB29" s="57">
        <v>0.13814173362104074</v>
      </c>
      <c r="AC29" s="48"/>
      <c r="AD29" s="57"/>
      <c r="AE29" s="57"/>
      <c r="AF29" s="57"/>
      <c r="AG29" s="57"/>
      <c r="AH29" s="57"/>
      <c r="AI29" s="57"/>
      <c r="AJ29" s="57"/>
      <c r="AK29" s="57"/>
      <c r="AL29" s="57"/>
    </row>
    <row r="30" spans="2:38" ht="17" thickBot="1" x14ac:dyDescent="0.25">
      <c r="B30" s="53">
        <v>306.13922523870258</v>
      </c>
      <c r="C30" s="71">
        <v>244.32464215463915</v>
      </c>
      <c r="D30" s="1">
        <f t="shared" si="3"/>
        <v>9.9501332771016638E-146</v>
      </c>
      <c r="E30" s="1">
        <f t="shared" si="6"/>
        <v>0</v>
      </c>
      <c r="F30" s="3"/>
      <c r="G30" s="53">
        <f t="shared" si="4"/>
        <v>59694.530763992472</v>
      </c>
      <c r="I30" s="39">
        <f>'SMX DATOS'!AG19</f>
        <v>53.896967521346404</v>
      </c>
      <c r="J30" s="39">
        <f>'SMX DATOS'!AH19</f>
        <v>27.498452817013472</v>
      </c>
      <c r="L30" s="1">
        <f t="shared" si="5"/>
        <v>1.3535082991489993</v>
      </c>
      <c r="M30" s="21"/>
      <c r="N30" s="21"/>
      <c r="T30" s="58">
        <v>1064.9897400188411</v>
      </c>
      <c r="U30" s="58">
        <v>4.3929574466791141E-3</v>
      </c>
      <c r="V30" s="58">
        <v>5.7754835958190714E-5</v>
      </c>
      <c r="W30" s="58">
        <v>76.062157805438474</v>
      </c>
      <c r="X30" s="58">
        <v>1.19320478273573E-38</v>
      </c>
      <c r="Y30" s="58">
        <v>4.2754543494204983E-3</v>
      </c>
      <c r="Z30" s="58">
        <v>4.5104605439377299E-3</v>
      </c>
      <c r="AA30" s="58">
        <v>4.2754543494204983E-3</v>
      </c>
      <c r="AB30" s="58">
        <v>4.5104605439377299E-3</v>
      </c>
      <c r="AC30" s="48"/>
      <c r="AD30" s="58"/>
      <c r="AE30" s="58"/>
      <c r="AF30" s="58"/>
      <c r="AG30" s="58"/>
      <c r="AH30" s="58"/>
      <c r="AI30" s="58"/>
      <c r="AJ30" s="58"/>
      <c r="AK30" s="58"/>
      <c r="AL30" s="58"/>
    </row>
    <row r="31" spans="2:38" x14ac:dyDescent="0.2">
      <c r="B31" s="53">
        <v>276.13922523870258</v>
      </c>
      <c r="C31" s="71">
        <v>257.39206309690496</v>
      </c>
      <c r="D31" s="1">
        <f t="shared" si="3"/>
        <v>3.1540911654026331E-131</v>
      </c>
      <c r="E31" s="1">
        <f t="shared" si="6"/>
        <v>0</v>
      </c>
      <c r="F31" s="3"/>
      <c r="G31" s="53">
        <f t="shared" si="4"/>
        <v>66250.674145281111</v>
      </c>
      <c r="I31" s="39">
        <f>'SMX DATOS'!AG20</f>
        <v>54.710626261771139</v>
      </c>
      <c r="J31" s="39">
        <f>'SMX DATOS'!AH20</f>
        <v>27.913584827434256</v>
      </c>
      <c r="L31" s="1">
        <f t="shared" si="5"/>
        <v>1.3014056809570538</v>
      </c>
      <c r="M31" s="21"/>
      <c r="N31" s="21"/>
      <c r="T31"/>
      <c r="U31"/>
      <c r="V31"/>
      <c r="W31"/>
      <c r="X31"/>
      <c r="Y31"/>
      <c r="Z31"/>
      <c r="AA31"/>
      <c r="AB31"/>
      <c r="AC31" s="48"/>
      <c r="AD31"/>
      <c r="AE31"/>
      <c r="AF31"/>
      <c r="AG31"/>
      <c r="AH31"/>
      <c r="AI31"/>
      <c r="AJ31"/>
      <c r="AK31"/>
      <c r="AL31"/>
    </row>
    <row r="32" spans="2:38" x14ac:dyDescent="0.2">
      <c r="B32" s="53">
        <v>261.13922523870258</v>
      </c>
      <c r="C32" s="71">
        <v>296.19534014481178</v>
      </c>
      <c r="D32" s="1">
        <f t="shared" si="3"/>
        <v>5.615609679751598E-124</v>
      </c>
      <c r="E32" s="1">
        <f t="shared" si="6"/>
        <v>0</v>
      </c>
      <c r="F32" s="3"/>
      <c r="G32" s="53">
        <f t="shared" si="4"/>
        <v>87731.679523500745</v>
      </c>
      <c r="I32" s="39">
        <f>'SMX DATOS'!AG21</f>
        <v>70.493686554944475</v>
      </c>
      <c r="J32" s="39">
        <f>'SMX DATOS'!AH21</f>
        <v>35.966166609665549</v>
      </c>
      <c r="L32" s="1">
        <f t="shared" si="5"/>
        <v>1.160986971158569</v>
      </c>
      <c r="M32" s="21"/>
      <c r="N32" s="21"/>
      <c r="T32"/>
      <c r="U32"/>
      <c r="V32"/>
      <c r="W32"/>
      <c r="X32"/>
      <c r="Y32"/>
      <c r="Z32"/>
      <c r="AA32"/>
      <c r="AB32"/>
      <c r="AC32" s="48"/>
      <c r="AD32"/>
      <c r="AE32"/>
      <c r="AF32"/>
      <c r="AG32"/>
      <c r="AH32"/>
      <c r="AI32"/>
      <c r="AJ32"/>
      <c r="AK32"/>
      <c r="AL32"/>
    </row>
    <row r="33" spans="2:38" x14ac:dyDescent="0.2">
      <c r="B33" s="53">
        <v>246.13922523870261</v>
      </c>
      <c r="C33" s="71">
        <v>308.37480889052438</v>
      </c>
      <c r="D33" s="1">
        <f t="shared" si="3"/>
        <v>9.9981485700950731E-117</v>
      </c>
      <c r="E33" s="1">
        <f t="shared" si="6"/>
        <v>0</v>
      </c>
      <c r="F33" s="3"/>
      <c r="G33" s="53">
        <f t="shared" si="4"/>
        <v>95095.022758267427</v>
      </c>
      <c r="I33" s="39">
        <f>'SMX DATOS'!AG22</f>
        <v>71.831216162972098</v>
      </c>
      <c r="J33" s="39">
        <f>'SMX DATOS'!AH22</f>
        <v>36.648579674985761</v>
      </c>
      <c r="L33" s="1">
        <f t="shared" si="5"/>
        <v>1.1206901856257552</v>
      </c>
      <c r="M33" s="27"/>
      <c r="N33" s="21"/>
      <c r="T33"/>
      <c r="U33"/>
      <c r="V33"/>
      <c r="W33"/>
      <c r="X33"/>
      <c r="Y33"/>
      <c r="Z33"/>
      <c r="AA33"/>
      <c r="AB33"/>
      <c r="AC33" s="48"/>
      <c r="AD33"/>
      <c r="AE33"/>
      <c r="AF33"/>
      <c r="AG33"/>
      <c r="AH33"/>
      <c r="AI33"/>
      <c r="AJ33"/>
      <c r="AK33"/>
      <c r="AL33"/>
    </row>
    <row r="34" spans="2:38" x14ac:dyDescent="0.2">
      <c r="B34" s="53">
        <v>231.13922523870261</v>
      </c>
      <c r="C34" s="71">
        <v>326.29151403385777</v>
      </c>
      <c r="D34" s="1">
        <f t="shared" si="3"/>
        <v>1.7800912194829743E-109</v>
      </c>
      <c r="E34" s="1">
        <f t="shared" si="6"/>
        <v>0</v>
      </c>
      <c r="F34" s="3"/>
      <c r="G34" s="53">
        <f t="shared" si="4"/>
        <v>106466.15213050719</v>
      </c>
      <c r="I34" s="39">
        <f>'SMX DATOS'!AG23</f>
        <v>75.942080753911995</v>
      </c>
      <c r="J34" s="39">
        <f>'SMX DATOS'!AH23</f>
        <v>38.745959568322448</v>
      </c>
      <c r="L34" s="1">
        <f t="shared" si="5"/>
        <v>1.0642149441217184</v>
      </c>
      <c r="T34" t="s">
        <v>62</v>
      </c>
      <c r="U34"/>
      <c r="V34"/>
      <c r="W34"/>
      <c r="X34" t="s">
        <v>65</v>
      </c>
      <c r="Y34"/>
      <c r="Z34"/>
      <c r="AA34"/>
      <c r="AB34"/>
      <c r="AC34" s="48"/>
      <c r="AD34"/>
      <c r="AE34"/>
      <c r="AF34"/>
      <c r="AG34"/>
      <c r="AH34"/>
      <c r="AI34"/>
      <c r="AJ34"/>
      <c r="AK34"/>
      <c r="AL34"/>
    </row>
    <row r="35" spans="2:38" ht="17" thickBot="1" x14ac:dyDescent="0.25">
      <c r="B35" s="53">
        <v>216.13922523870261</v>
      </c>
      <c r="C35" s="71">
        <v>358.34917035920267</v>
      </c>
      <c r="D35" s="1">
        <f t="shared" si="3"/>
        <v>3.1693115254940156E-102</v>
      </c>
      <c r="E35" s="1">
        <f t="shared" si="6"/>
        <v>0</v>
      </c>
      <c r="F35" s="3"/>
      <c r="G35" s="53">
        <f t="shared" si="4"/>
        <v>128414.12789712886</v>
      </c>
      <c r="I35" s="39">
        <f>'SMX DATOS'!AG24</f>
        <v>72.594008415374162</v>
      </c>
      <c r="J35" s="39">
        <f>'SMX DATOS'!AH24</f>
        <v>37.037759395599053</v>
      </c>
      <c r="L35" s="1">
        <f t="shared" si="5"/>
        <v>0.97049829347602878</v>
      </c>
      <c r="T35"/>
      <c r="U35"/>
      <c r="V35"/>
      <c r="W35"/>
      <c r="X35"/>
      <c r="Y35"/>
      <c r="Z35"/>
      <c r="AA35"/>
      <c r="AB35"/>
      <c r="AC35" s="48"/>
      <c r="AD35"/>
      <c r="AE35"/>
      <c r="AF35"/>
      <c r="AG35"/>
      <c r="AH35"/>
      <c r="AI35"/>
      <c r="AJ35"/>
      <c r="AK35"/>
      <c r="AL35"/>
    </row>
    <row r="36" spans="2:38" x14ac:dyDescent="0.2">
      <c r="B36" s="53">
        <v>201.13922523870261</v>
      </c>
      <c r="C36" s="71">
        <v>424.08419701737142</v>
      </c>
      <c r="D36" s="1">
        <f t="shared" si="3"/>
        <v>5.6427083262320835E-95</v>
      </c>
      <c r="E36" s="1">
        <f t="shared" si="6"/>
        <v>0</v>
      </c>
      <c r="F36" s="3"/>
      <c r="G36" s="53">
        <f t="shared" si="4"/>
        <v>179847.4061598687</v>
      </c>
      <c r="I36" s="39">
        <f>'SMX DATOS'!AG25</f>
        <v>51.348949691577005</v>
      </c>
      <c r="J36" s="39">
        <f>'SMX DATOS'!AH25</f>
        <v>26.198443720192348</v>
      </c>
      <c r="L36" s="1">
        <f t="shared" si="5"/>
        <v>0.80207412735517458</v>
      </c>
      <c r="T36" s="59" t="s">
        <v>63</v>
      </c>
      <c r="U36" s="59" t="s">
        <v>64</v>
      </c>
      <c r="V36" s="59" t="s">
        <v>47</v>
      </c>
      <c r="W36"/>
      <c r="X36" s="59" t="s">
        <v>66</v>
      </c>
      <c r="Y36" s="59">
        <v>5.5116866594712066</v>
      </c>
      <c r="Z36"/>
      <c r="AA36"/>
      <c r="AB36"/>
      <c r="AD36" s="59"/>
      <c r="AE36" s="59"/>
      <c r="AF36" s="59"/>
      <c r="AG36"/>
      <c r="AH36" s="59"/>
      <c r="AI36" s="59"/>
      <c r="AJ36"/>
      <c r="AK36"/>
      <c r="AL36"/>
    </row>
    <row r="37" spans="2:38" x14ac:dyDescent="0.2">
      <c r="B37" s="53">
        <v>186.13922523870261</v>
      </c>
      <c r="C37" s="71">
        <v>459.35132084731799</v>
      </c>
      <c r="D37" s="1">
        <f t="shared" si="3"/>
        <v>1.0046395565347845E-87</v>
      </c>
      <c r="E37" s="1">
        <f t="shared" si="6"/>
        <v>0</v>
      </c>
      <c r="F37" s="3"/>
      <c r="G37" s="53">
        <f t="shared" si="4"/>
        <v>211003.63596417569</v>
      </c>
      <c r="I37" s="39">
        <f>'SMX DATOS'!AG26</f>
        <v>49.458285253238479</v>
      </c>
      <c r="J37" s="39">
        <f>'SMX DATOS'!AH26</f>
        <v>25.233819006754327</v>
      </c>
      <c r="L37" s="1">
        <f t="shared" si="5"/>
        <v>0.72219081856059664</v>
      </c>
      <c r="T37" s="57">
        <v>1</v>
      </c>
      <c r="U37" s="57">
        <v>4.6085479388464439</v>
      </c>
      <c r="V37" s="57">
        <v>0.42773585122012392</v>
      </c>
      <c r="W37"/>
      <c r="X37" s="57">
        <v>1.4285714285714286</v>
      </c>
      <c r="Y37" s="57">
        <v>0</v>
      </c>
      <c r="Z37"/>
      <c r="AA37"/>
      <c r="AB37"/>
      <c r="AD37" s="57"/>
      <c r="AE37" s="57"/>
      <c r="AF37" s="57"/>
      <c r="AG37"/>
      <c r="AH37" s="57"/>
      <c r="AI37" s="57"/>
      <c r="AJ37"/>
      <c r="AK37"/>
      <c r="AL37"/>
    </row>
    <row r="38" spans="2:38" x14ac:dyDescent="0.2">
      <c r="B38" s="11">
        <v>150</v>
      </c>
      <c r="C38" s="72">
        <v>545.71255856391952</v>
      </c>
      <c r="D38" s="1">
        <f t="shared" si="3"/>
        <v>2.9550289285746148E-70</v>
      </c>
      <c r="E38" s="1">
        <f t="shared" si="6"/>
        <v>0</v>
      </c>
      <c r="F38" s="3"/>
      <c r="G38" s="53">
        <f t="shared" si="4"/>
        <v>297802.19657437928</v>
      </c>
      <c r="I38" s="39">
        <f>'SMX DATOS'!AG5</f>
        <v>69.009355024486339</v>
      </c>
      <c r="J38" s="39">
        <f>'SMX DATOS'!AH5</f>
        <v>35.208854604329765</v>
      </c>
      <c r="L38" s="1">
        <f t="shared" si="5"/>
        <v>0.54991375313924251</v>
      </c>
      <c r="T38" s="57">
        <v>2</v>
      </c>
      <c r="U38" s="57">
        <v>4.4767592154460711</v>
      </c>
      <c r="V38" s="57">
        <v>0.17443726780893076</v>
      </c>
      <c r="W38"/>
      <c r="X38" s="57">
        <v>4.2857142857142856</v>
      </c>
      <c r="Y38" s="57">
        <v>0.13320304461986393</v>
      </c>
      <c r="Z38"/>
      <c r="AA38"/>
      <c r="AB38"/>
      <c r="AD38" s="57"/>
      <c r="AE38" s="57"/>
      <c r="AF38" s="57"/>
      <c r="AG38"/>
      <c r="AH38" s="57"/>
      <c r="AI38" s="57"/>
      <c r="AJ38"/>
      <c r="AK38"/>
      <c r="AL38"/>
    </row>
    <row r="39" spans="2:38" x14ac:dyDescent="0.2">
      <c r="B39" s="11">
        <v>120</v>
      </c>
      <c r="C39" s="73">
        <v>533.84696234008982</v>
      </c>
      <c r="D39" s="1">
        <f t="shared" si="3"/>
        <v>9.3671415020898252E-56</v>
      </c>
      <c r="E39" s="1">
        <f t="shared" si="6"/>
        <v>0</v>
      </c>
      <c r="F39" s="3"/>
      <c r="G39" s="53">
        <f t="shared" si="4"/>
        <v>284992.5791997413</v>
      </c>
      <c r="I39" s="39">
        <f>'SMX DATOS'!AG6</f>
        <v>74.516075030261504</v>
      </c>
      <c r="J39" s="39">
        <f>'SMX DATOS'!AH6</f>
        <v>38.018405627684444</v>
      </c>
      <c r="L39" s="1">
        <f t="shared" si="5"/>
        <v>0.57189693023624022</v>
      </c>
      <c r="T39" s="57">
        <v>3</v>
      </c>
      <c r="U39" s="57">
        <v>4.410864853745883</v>
      </c>
      <c r="V39" s="57">
        <v>3.4090829003509349E-2</v>
      </c>
      <c r="W39"/>
      <c r="X39" s="57">
        <v>7.1428571428571432</v>
      </c>
      <c r="Y39" s="57">
        <v>0.1864750023827221</v>
      </c>
      <c r="Z39"/>
      <c r="AA39"/>
      <c r="AB39"/>
      <c r="AD39" s="57"/>
      <c r="AE39" s="57"/>
      <c r="AF39" s="57"/>
      <c r="AG39"/>
      <c r="AH39" s="57"/>
      <c r="AI39" s="57"/>
      <c r="AJ39"/>
      <c r="AK39"/>
      <c r="AL39"/>
    </row>
    <row r="40" spans="2:38" x14ac:dyDescent="0.2">
      <c r="B40" s="11">
        <v>90</v>
      </c>
      <c r="C40" s="66">
        <v>635.35001115260627</v>
      </c>
      <c r="D40" s="1">
        <f t="shared" si="3"/>
        <v>2.969288695339394E-41</v>
      </c>
      <c r="E40" s="1">
        <f t="shared" si="6"/>
        <v>0</v>
      </c>
      <c r="F40" s="3"/>
      <c r="G40" s="53">
        <f t="shared" si="4"/>
        <v>403669.63667161693</v>
      </c>
      <c r="I40" s="39">
        <f>'SMX DATOS'!AG7</f>
        <v>104.46436296597606</v>
      </c>
      <c r="J40" s="39">
        <f>'SMX DATOS'!AH7</f>
        <v>53.298144370395946</v>
      </c>
      <c r="L40" s="1">
        <f t="shared" si="5"/>
        <v>0.3978300950402881</v>
      </c>
      <c r="T40" s="57">
        <v>4</v>
      </c>
      <c r="U40" s="57">
        <v>4.3449704920456966</v>
      </c>
      <c r="V40" s="57">
        <v>7.9990541893246281E-2</v>
      </c>
      <c r="W40"/>
      <c r="X40" s="57">
        <v>10</v>
      </c>
      <c r="Y40" s="57">
        <v>0.35242740582671378</v>
      </c>
      <c r="Z40"/>
      <c r="AA40"/>
      <c r="AB40"/>
      <c r="AD40" s="57"/>
      <c r="AE40" s="57"/>
      <c r="AF40" s="57"/>
      <c r="AG40"/>
      <c r="AH40" s="57"/>
      <c r="AI40" s="57"/>
      <c r="AJ40"/>
      <c r="AK40"/>
      <c r="AL40"/>
    </row>
    <row r="41" spans="2:38" x14ac:dyDescent="0.2">
      <c r="B41" s="11">
        <v>75</v>
      </c>
      <c r="C41" s="72">
        <v>697.81685970231615</v>
      </c>
      <c r="D41" s="1">
        <f t="shared" si="3"/>
        <v>5.286583508564051E-34</v>
      </c>
      <c r="E41" s="1">
        <f t="shared" si="6"/>
        <v>0</v>
      </c>
      <c r="F41" s="3"/>
      <c r="G41" s="53">
        <f t="shared" si="4"/>
        <v>486948.36968480196</v>
      </c>
      <c r="I41" s="39">
        <f>'SMX DATOS'!AG8</f>
        <v>67.426191114575602</v>
      </c>
      <c r="J41" s="39">
        <f>'SMX DATOS'!AH8</f>
        <v>34.401117915599798</v>
      </c>
      <c r="L41" s="1">
        <f t="shared" si="5"/>
        <v>0.30404945105922015</v>
      </c>
      <c r="T41" s="57">
        <v>5</v>
      </c>
      <c r="U41" s="57">
        <v>4.2790761303455103</v>
      </c>
      <c r="V41" s="57">
        <v>3.6810892098512404E-2</v>
      </c>
      <c r="W41"/>
      <c r="X41" s="57">
        <v>12.857142857142858</v>
      </c>
      <c r="Y41" s="57">
        <v>0.36454652555114897</v>
      </c>
      <c r="Z41"/>
      <c r="AA41"/>
      <c r="AB41"/>
      <c r="AD41" s="57"/>
      <c r="AE41" s="57"/>
      <c r="AF41" s="57"/>
      <c r="AG41"/>
      <c r="AH41" s="57"/>
      <c r="AI41" s="57"/>
      <c r="AJ41"/>
      <c r="AK41"/>
      <c r="AL41"/>
    </row>
    <row r="42" spans="2:38" x14ac:dyDescent="0.2">
      <c r="B42" s="11">
        <v>60</v>
      </c>
      <c r="C42" s="73">
        <v>691.85392117462334</v>
      </c>
      <c r="D42" s="1">
        <f t="shared" si="3"/>
        <v>9.4123435140841055E-27</v>
      </c>
      <c r="E42" s="1">
        <f t="shared" si="6"/>
        <v>0</v>
      </c>
      <c r="F42" s="3"/>
      <c r="G42" s="53">
        <f t="shared" si="4"/>
        <v>478661.84824470192</v>
      </c>
      <c r="I42" s="39">
        <f>'SMX DATOS'!AG9</f>
        <v>64.557550485797364</v>
      </c>
      <c r="J42" s="39">
        <f>'SMX DATOS'!AH9</f>
        <v>32.937525758059884</v>
      </c>
      <c r="K42" s="7"/>
      <c r="L42" s="1">
        <f t="shared" si="5"/>
        <v>0.31263130397912614</v>
      </c>
      <c r="T42" s="57">
        <v>6</v>
      </c>
      <c r="U42" s="57">
        <v>4.2131817686453239</v>
      </c>
      <c r="V42" s="57">
        <v>1.7758950958130626E-2</v>
      </c>
      <c r="W42"/>
      <c r="X42" s="57">
        <v>15.714285714285715</v>
      </c>
      <c r="Y42" s="57">
        <v>0.46255857644199816</v>
      </c>
      <c r="Z42"/>
      <c r="AA42"/>
      <c r="AB42"/>
      <c r="AD42" s="57"/>
      <c r="AE42" s="57"/>
      <c r="AF42" s="57"/>
      <c r="AG42"/>
      <c r="AH42" s="57"/>
      <c r="AI42" s="57"/>
      <c r="AJ42"/>
      <c r="AK42"/>
      <c r="AL42"/>
    </row>
    <row r="43" spans="2:38" x14ac:dyDescent="0.2">
      <c r="B43" s="11">
        <v>45</v>
      </c>
      <c r="C43" s="72">
        <v>732.90501763829457</v>
      </c>
      <c r="D43" s="1">
        <f t="shared" si="3"/>
        <v>1.6757932657945524E-19</v>
      </c>
      <c r="E43" s="1">
        <f t="shared" si="6"/>
        <v>0</v>
      </c>
      <c r="F43" s="3"/>
      <c r="G43" s="53">
        <f t="shared" si="4"/>
        <v>537149.76487938885</v>
      </c>
      <c r="I43" s="39">
        <f>'SMX DATOS'!AG10</f>
        <v>65.38601870148544</v>
      </c>
      <c r="J43" s="39">
        <f>'SMX DATOS'!AH10</f>
        <v>33.36021362320686</v>
      </c>
      <c r="L43" s="1">
        <f t="shared" si="5"/>
        <v>0.25499002755638001</v>
      </c>
      <c r="T43" s="57">
        <v>7</v>
      </c>
      <c r="U43" s="57">
        <v>4.1618576125479212</v>
      </c>
      <c r="V43" s="57">
        <v>8.497780518138498E-2</v>
      </c>
      <c r="W43"/>
      <c r="X43" s="57">
        <v>18.571428571428569</v>
      </c>
      <c r="Y43" s="57">
        <v>0.54991376722405472</v>
      </c>
      <c r="Z43"/>
      <c r="AA43"/>
      <c r="AB43"/>
      <c r="AD43" s="57"/>
      <c r="AE43" s="57"/>
      <c r="AF43" s="57"/>
      <c r="AG43"/>
      <c r="AH43" s="57"/>
      <c r="AI43" s="57"/>
      <c r="AJ43"/>
      <c r="AK43"/>
      <c r="AL43"/>
    </row>
    <row r="44" spans="2:38" x14ac:dyDescent="0.2">
      <c r="B44" s="11">
        <v>30</v>
      </c>
      <c r="C44" s="73">
        <v>807.4023574092796</v>
      </c>
      <c r="D44" s="1">
        <f t="shared" si="3"/>
        <v>2.9836172739341836E-12</v>
      </c>
      <c r="E44" s="1">
        <f t="shared" si="6"/>
        <v>0</v>
      </c>
      <c r="F44" s="3"/>
      <c r="G44" s="53">
        <f t="shared" si="4"/>
        <v>651898.56675005727</v>
      </c>
      <c r="I44" s="39">
        <f>'SMX DATOS'!AG11</f>
        <v>96.763207588493685</v>
      </c>
      <c r="J44" s="39">
        <f>'SMX DATOS'!AH11</f>
        <v>49.368983463517196</v>
      </c>
      <c r="L44" s="1">
        <f t="shared" si="5"/>
        <v>0.15818401257586159</v>
      </c>
      <c r="T44" s="57">
        <v>8</v>
      </c>
      <c r="U44" s="57">
        <v>4.1472874069451375</v>
      </c>
      <c r="V44" s="57">
        <v>-8.8750797240297885E-3</v>
      </c>
      <c r="W44"/>
      <c r="X44" s="57">
        <v>21.428571428571427</v>
      </c>
      <c r="Y44" s="57">
        <v>0.65611715858857911</v>
      </c>
      <c r="Z44"/>
      <c r="AA44"/>
      <c r="AB44"/>
      <c r="AD44" s="57"/>
      <c r="AE44" s="57"/>
      <c r="AF44" s="57"/>
      <c r="AG44"/>
      <c r="AH44" s="57"/>
      <c r="AI44" s="57"/>
      <c r="AJ44"/>
      <c r="AK44"/>
      <c r="AL44"/>
    </row>
    <row r="45" spans="2:38" s="21" customFormat="1" x14ac:dyDescent="0.2">
      <c r="B45" s="11">
        <v>15</v>
      </c>
      <c r="C45" s="66">
        <v>785.20389652052188</v>
      </c>
      <c r="D45" s="1">
        <f t="shared" si="3"/>
        <v>5.3120944086726079E-5</v>
      </c>
      <c r="E45" s="1">
        <f t="shared" si="6"/>
        <v>0</v>
      </c>
      <c r="F45" s="3"/>
      <c r="G45" s="53">
        <f t="shared" si="4"/>
        <v>616545.07568946865</v>
      </c>
      <c r="H45" s="1"/>
      <c r="I45" s="39">
        <f>'SMX DATOS'!AG12</f>
        <v>58.051059951705994</v>
      </c>
      <c r="J45" s="39">
        <f>'SMX DATOS'!AH12</f>
        <v>29.617887730462243</v>
      </c>
      <c r="L45" s="1">
        <f t="shared" si="5"/>
        <v>0.18606271589823262</v>
      </c>
      <c r="T45" s="57">
        <v>9</v>
      </c>
      <c r="U45" s="57">
        <v>4.0813930452449494</v>
      </c>
      <c r="V45" s="57">
        <v>9.241708957861583E-3</v>
      </c>
      <c r="W45"/>
      <c r="X45" s="57">
        <v>24.285714285714285</v>
      </c>
      <c r="Y45" s="57">
        <v>0.71420588471206525</v>
      </c>
      <c r="Z45"/>
      <c r="AA45"/>
      <c r="AB45"/>
      <c r="AD45" s="57"/>
      <c r="AE45" s="57"/>
      <c r="AF45" s="57"/>
      <c r="AG45"/>
      <c r="AH45" s="57"/>
      <c r="AI45" s="57"/>
      <c r="AJ45"/>
      <c r="AK45"/>
      <c r="AL45"/>
    </row>
    <row r="46" spans="2:38" s="21" customFormat="1" x14ac:dyDescent="0.2">
      <c r="B46" s="11">
        <v>0</v>
      </c>
      <c r="C46" s="73">
        <v>945.7763652588792</v>
      </c>
      <c r="D46" s="1">
        <f>$C$46*(EXP(-$G$52*B46))</f>
        <v>945.7763652588792</v>
      </c>
      <c r="E46" s="1">
        <f t="shared" si="6"/>
        <v>0</v>
      </c>
      <c r="F46" s="3"/>
      <c r="G46" s="53">
        <f t="shared" si="4"/>
        <v>0</v>
      </c>
      <c r="H46" s="1"/>
      <c r="I46" s="39">
        <f>'SMX DATOS'!AG13</f>
        <v>66.190765859453776</v>
      </c>
      <c r="J46" s="39">
        <f>'SMX DATOS'!AH13</f>
        <v>33.770798907884576</v>
      </c>
      <c r="K46" s="15"/>
      <c r="L46" s="1">
        <f t="shared" si="5"/>
        <v>0</v>
      </c>
      <c r="T46" s="57">
        <v>10</v>
      </c>
      <c r="U46" s="57">
        <v>4.0300688891475485</v>
      </c>
      <c r="V46" s="57">
        <v>-2.7743287115001181E-2</v>
      </c>
      <c r="W46"/>
      <c r="X46" s="57">
        <v>27.142857142857142</v>
      </c>
      <c r="Y46" s="57">
        <v>0.82164190902988932</v>
      </c>
      <c r="Z46"/>
      <c r="AA46"/>
      <c r="AB46"/>
      <c r="AD46" s="57"/>
      <c r="AE46" s="57"/>
      <c r="AF46" s="57"/>
      <c r="AG46"/>
      <c r="AH46" s="57"/>
      <c r="AI46" s="57"/>
      <c r="AJ46"/>
      <c r="AK46"/>
      <c r="AL46"/>
    </row>
    <row r="47" spans="2:38" s="21" customFormat="1" x14ac:dyDescent="0.2">
      <c r="B47" s="1"/>
      <c r="C47" s="1"/>
      <c r="D47" s="1"/>
      <c r="E47" s="1"/>
      <c r="F47" s="1"/>
      <c r="G47" s="53">
        <f>SUM(G13:G46)</f>
        <v>4756653.1839422425</v>
      </c>
      <c r="H47" s="1"/>
      <c r="I47" s="4"/>
      <c r="K47" s="15"/>
      <c r="T47" s="57">
        <v>11</v>
      </c>
      <c r="U47" s="57">
        <v>3.8982801657471748</v>
      </c>
      <c r="V47" s="57">
        <v>7.0264006211930408E-2</v>
      </c>
      <c r="W47"/>
      <c r="X47" s="57">
        <v>30</v>
      </c>
      <c r="Y47" s="57">
        <v>0.90873568933061</v>
      </c>
      <c r="Z47"/>
      <c r="AA47"/>
      <c r="AB47"/>
      <c r="AD47" s="57"/>
      <c r="AE47" s="57"/>
      <c r="AF47" s="57"/>
      <c r="AG47"/>
      <c r="AH47" s="57"/>
      <c r="AI47" s="57"/>
      <c r="AJ47"/>
      <c r="AK47"/>
      <c r="AL47"/>
    </row>
    <row r="48" spans="2:38" s="21" customFormat="1" x14ac:dyDescent="0.2">
      <c r="B48" s="1"/>
      <c r="C48" s="1"/>
      <c r="D48" s="1"/>
      <c r="E48" s="1"/>
      <c r="F48" s="1"/>
      <c r="G48" s="1"/>
      <c r="H48" s="1"/>
      <c r="I48" s="4"/>
      <c r="K48" s="14"/>
      <c r="T48" s="57">
        <v>12</v>
      </c>
      <c r="U48" s="57">
        <v>3.8323858040469885</v>
      </c>
      <c r="V48" s="57">
        <v>-5.7680751389414642E-2</v>
      </c>
      <c r="W48"/>
      <c r="X48" s="57">
        <v>32.857142857142861</v>
      </c>
      <c r="Y48" s="57">
        <v>1.0905995830277682</v>
      </c>
      <c r="Z48"/>
      <c r="AA48"/>
      <c r="AB48"/>
      <c r="AD48" s="57"/>
      <c r="AE48" s="57"/>
      <c r="AF48" s="57"/>
      <c r="AG48"/>
      <c r="AH48" s="57"/>
      <c r="AI48" s="57"/>
      <c r="AJ48"/>
      <c r="AK48"/>
      <c r="AL48"/>
    </row>
    <row r="49" spans="1:38" s="21" customFormat="1" ht="17" x14ac:dyDescent="0.2">
      <c r="A49" s="29" t="s">
        <v>10</v>
      </c>
      <c r="B49" s="1"/>
      <c r="C49" s="1"/>
      <c r="D49" s="1"/>
      <c r="E49" s="1"/>
      <c r="F49" s="8" t="s">
        <v>5</v>
      </c>
      <c r="G49" s="9">
        <f>RSQ(C13:C46,D13:D46)</f>
        <v>0.15525925491751827</v>
      </c>
      <c r="H49" s="1"/>
      <c r="I49" s="1"/>
      <c r="K49" s="15"/>
      <c r="T49" s="57">
        <v>13</v>
      </c>
      <c r="U49" s="57">
        <v>3.7664914423468017</v>
      </c>
      <c r="V49" s="57">
        <v>-0.11903074693447024</v>
      </c>
      <c r="W49"/>
      <c r="X49" s="57">
        <v>35.714285714285715</v>
      </c>
      <c r="Y49" s="57">
        <v>1.1908705197162377</v>
      </c>
      <c r="Z49"/>
      <c r="AA49"/>
      <c r="AB49"/>
      <c r="AD49" s="57"/>
      <c r="AE49" s="57"/>
      <c r="AF49" s="57"/>
      <c r="AG49"/>
      <c r="AH49" s="57"/>
      <c r="AI49" s="57"/>
      <c r="AJ49"/>
      <c r="AK49"/>
      <c r="AL49"/>
    </row>
    <row r="50" spans="1:38" s="21" customFormat="1" x14ac:dyDescent="0.2">
      <c r="B50" s="1"/>
      <c r="C50" s="1"/>
      <c r="D50" s="1"/>
      <c r="E50" s="1"/>
      <c r="F50" s="1"/>
      <c r="G50" s="1"/>
      <c r="H50" s="1"/>
      <c r="I50" s="1"/>
      <c r="K50" s="15"/>
      <c r="N50" s="21" t="s">
        <v>20</v>
      </c>
      <c r="T50" s="57">
        <v>14</v>
      </c>
      <c r="U50" s="57">
        <v>3.7005970806466149</v>
      </c>
      <c r="V50" s="57">
        <v>-0.25081567444866781</v>
      </c>
      <c r="W50"/>
      <c r="X50" s="57">
        <v>38.571428571428577</v>
      </c>
      <c r="Y50" s="57">
        <v>1.2510088864737796</v>
      </c>
      <c r="Z50"/>
      <c r="AA50"/>
      <c r="AB50"/>
      <c r="AD50" s="57"/>
      <c r="AE50" s="57"/>
      <c r="AF50" s="57"/>
      <c r="AG50"/>
      <c r="AH50" s="57"/>
      <c r="AI50" s="57"/>
      <c r="AJ50"/>
      <c r="AK50"/>
      <c r="AL50"/>
    </row>
    <row r="51" spans="1:38" s="21" customFormat="1" x14ac:dyDescent="0.2">
      <c r="B51" s="1"/>
      <c r="C51" s="1"/>
      <c r="D51" s="1"/>
      <c r="E51" s="1"/>
      <c r="F51" s="104" t="s">
        <v>74</v>
      </c>
      <c r="G51" s="19">
        <v>0</v>
      </c>
      <c r="H51" s="1"/>
      <c r="I51" s="1"/>
      <c r="K51" s="14"/>
      <c r="T51" s="57">
        <v>15</v>
      </c>
      <c r="U51" s="57">
        <v>3.634702718946428</v>
      </c>
      <c r="V51" s="57">
        <v>-0.21192130223953143</v>
      </c>
      <c r="W51"/>
      <c r="X51" s="57">
        <v>41.428571428571431</v>
      </c>
      <c r="Y51" s="57">
        <v>1.2937958017028615</v>
      </c>
      <c r="Z51"/>
      <c r="AA51"/>
      <c r="AB51"/>
      <c r="AD51" s="57"/>
      <c r="AE51" s="57"/>
      <c r="AF51" s="57"/>
      <c r="AG51"/>
      <c r="AH51" s="57"/>
      <c r="AI51" s="57"/>
      <c r="AJ51"/>
      <c r="AK51"/>
      <c r="AL51"/>
    </row>
    <row r="52" spans="1:38" s="21" customFormat="1" x14ac:dyDescent="0.2">
      <c r="B52" s="1"/>
      <c r="C52" s="1"/>
      <c r="D52" s="1"/>
      <c r="E52" s="1"/>
      <c r="F52" s="5" t="s">
        <v>9</v>
      </c>
      <c r="G52" s="78">
        <v>1.1129963613987575</v>
      </c>
      <c r="H52" s="1"/>
      <c r="I52" s="7" t="s">
        <v>4</v>
      </c>
      <c r="K52" s="15"/>
      <c r="T52" s="57">
        <v>16</v>
      </c>
      <c r="U52" s="57">
        <v>3.5688083572462417</v>
      </c>
      <c r="V52" s="57">
        <v>-0.22537067693606883</v>
      </c>
      <c r="W52"/>
      <c r="X52" s="57">
        <v>44.285714285714292</v>
      </c>
      <c r="Y52" s="57">
        <v>1.4421479603657335</v>
      </c>
      <c r="Z52"/>
      <c r="AA52"/>
      <c r="AB52"/>
      <c r="AD52" s="57"/>
      <c r="AE52" s="57"/>
      <c r="AF52" s="57"/>
      <c r="AG52"/>
      <c r="AH52" s="57"/>
      <c r="AI52" s="57"/>
      <c r="AJ52"/>
      <c r="AK52"/>
      <c r="AL52"/>
    </row>
    <row r="53" spans="1:38" s="21" customFormat="1" x14ac:dyDescent="0.2">
      <c r="B53" s="1"/>
      <c r="C53" s="1"/>
      <c r="D53" s="1"/>
      <c r="E53" s="1"/>
      <c r="F53" s="1"/>
      <c r="G53" s="1"/>
      <c r="H53" s="1"/>
      <c r="I53" s="1"/>
      <c r="K53" s="14"/>
      <c r="T53" s="57">
        <v>17</v>
      </c>
      <c r="U53" s="57">
        <v>3.5029139955460549</v>
      </c>
      <c r="V53" s="57">
        <v>-0.26934458255867799</v>
      </c>
      <c r="W53"/>
      <c r="X53" s="57">
        <v>47.142857142857146</v>
      </c>
      <c r="Y53" s="57">
        <v>1.4969222528007307</v>
      </c>
      <c r="Z53"/>
      <c r="AA53"/>
      <c r="AB53"/>
      <c r="AD53" s="57"/>
      <c r="AE53" s="57"/>
      <c r="AF53" s="57"/>
      <c r="AG53"/>
      <c r="AH53" s="57"/>
      <c r="AI53" s="57"/>
      <c r="AJ53"/>
      <c r="AK53"/>
      <c r="AL53"/>
    </row>
    <row r="54" spans="1:38" s="21" customFormat="1" x14ac:dyDescent="0.2">
      <c r="B54" s="1"/>
      <c r="C54" s="1"/>
      <c r="D54" s="1" t="s">
        <v>15</v>
      </c>
      <c r="E54" s="1" t="s">
        <v>15</v>
      </c>
      <c r="F54" s="1"/>
      <c r="G54" s="1"/>
      <c r="H54" s="1"/>
      <c r="I54" s="33" t="s">
        <v>71</v>
      </c>
      <c r="J54" s="96" t="s">
        <v>72</v>
      </c>
      <c r="K54" s="14"/>
      <c r="O54" s="85" t="s">
        <v>68</v>
      </c>
      <c r="T54" s="57">
        <v>18</v>
      </c>
      <c r="U54" s="57">
        <v>1.607512154974938</v>
      </c>
      <c r="V54" s="57">
        <v>-5.3392341637519269E-2</v>
      </c>
      <c r="W54"/>
      <c r="X54" s="57">
        <v>50</v>
      </c>
      <c r="Y54" s="57">
        <v>1.5541198133374188</v>
      </c>
      <c r="Z54"/>
      <c r="AA54"/>
      <c r="AB54"/>
      <c r="AD54" s="57"/>
      <c r="AE54" s="57"/>
      <c r="AF54" s="57"/>
      <c r="AG54"/>
      <c r="AH54" s="57"/>
      <c r="AI54" s="57"/>
      <c r="AJ54"/>
      <c r="AK54"/>
      <c r="AL54"/>
    </row>
    <row r="55" spans="1:38" s="21" customFormat="1" x14ac:dyDescent="0.2">
      <c r="B55" s="10"/>
      <c r="C55" s="1" t="s">
        <v>6</v>
      </c>
      <c r="D55" s="21" t="s">
        <v>14</v>
      </c>
      <c r="E55" s="21" t="s">
        <v>13</v>
      </c>
      <c r="H55" s="21" t="s">
        <v>7</v>
      </c>
      <c r="I55" s="43" t="s">
        <v>32</v>
      </c>
      <c r="J55" s="43" t="s">
        <v>32</v>
      </c>
      <c r="K55" s="14"/>
      <c r="L55" s="21" t="s">
        <v>7</v>
      </c>
      <c r="M55" s="52" t="s">
        <v>69</v>
      </c>
      <c r="T55" s="57">
        <v>19</v>
      </c>
      <c r="U55" s="57">
        <v>1.4757234315745646</v>
      </c>
      <c r="V55" s="57">
        <v>2.1198821226166009E-2</v>
      </c>
      <c r="W55"/>
      <c r="X55" s="57">
        <v>52.857142857142861</v>
      </c>
      <c r="Y55" s="57">
        <v>3.2335694129873769</v>
      </c>
      <c r="Z55"/>
      <c r="AA55"/>
      <c r="AB55"/>
      <c r="AD55" s="57"/>
      <c r="AE55" s="57"/>
      <c r="AF55" s="57"/>
      <c r="AG55"/>
      <c r="AH55" s="57"/>
      <c r="AI55" s="57"/>
      <c r="AJ55"/>
      <c r="AK55"/>
      <c r="AL55"/>
    </row>
    <row r="56" spans="1:38" s="21" customFormat="1" x14ac:dyDescent="0.2">
      <c r="B56" s="10"/>
      <c r="C56" s="1"/>
      <c r="I56" s="43"/>
      <c r="K56" s="14"/>
      <c r="T56" s="57">
        <v>20</v>
      </c>
      <c r="U56" s="57">
        <v>1.3439347081741913</v>
      </c>
      <c r="V56" s="57">
        <v>9.82132521915422E-2</v>
      </c>
      <c r="W56"/>
      <c r="X56" s="57">
        <v>55.714285714285715</v>
      </c>
      <c r="Y56" s="57">
        <v>3.3434376803101729</v>
      </c>
      <c r="Z56"/>
      <c r="AA56"/>
      <c r="AB56"/>
      <c r="AD56" s="57"/>
      <c r="AE56" s="57"/>
      <c r="AF56" s="57"/>
      <c r="AG56"/>
      <c r="AH56" s="57"/>
      <c r="AI56" s="57"/>
      <c r="AJ56"/>
      <c r="AK56"/>
      <c r="AL56"/>
    </row>
    <row r="57" spans="1:38" s="21" customFormat="1" x14ac:dyDescent="0.2">
      <c r="B57" s="74">
        <v>1049.2862441428258</v>
      </c>
      <c r="C57" s="75">
        <v>4.6308459678459322</v>
      </c>
      <c r="D57" s="47">
        <f t="shared" ref="D57:D92" si="7">LN(C57/$C$92)+$G$52*(C57-$C$92)+$G$51*B57</f>
        <v>-1052.810805092563</v>
      </c>
      <c r="E57" s="80">
        <f t="shared" ref="E57:E92" si="8">LN(H57/$C$92)+$G$52*(H57-$C$92)+$G$51*B57</f>
        <v>-1046.9257590178536</v>
      </c>
      <c r="F57" s="47"/>
      <c r="G57" s="81" t="s">
        <v>7</v>
      </c>
      <c r="H57" s="82">
        <v>9.2926425857496362</v>
      </c>
      <c r="I57" s="77">
        <f>'SMX DATOS'!X44</f>
        <v>0.27334048660862903</v>
      </c>
      <c r="J57" s="84">
        <f>I57/1.96</f>
        <v>0.13945943194317809</v>
      </c>
      <c r="K57" s="83">
        <v>1049.2057665103478</v>
      </c>
      <c r="L57" s="82">
        <v>9.2926425857496362</v>
      </c>
      <c r="T57" s="57">
        <v>21</v>
      </c>
      <c r="U57" s="57">
        <v>1.2780403464740044</v>
      </c>
      <c r="V57" s="57">
        <v>1.5755455228857018E-2</v>
      </c>
      <c r="W57"/>
      <c r="X57" s="57">
        <v>58.571428571428577</v>
      </c>
      <c r="Y57" s="57">
        <v>3.4227814167068966</v>
      </c>
      <c r="Z57"/>
      <c r="AA57"/>
      <c r="AB57"/>
      <c r="AD57" s="57"/>
      <c r="AE57" s="57"/>
      <c r="AF57" s="57"/>
      <c r="AG57"/>
      <c r="AH57" s="57"/>
      <c r="AI57" s="57"/>
      <c r="AJ57"/>
      <c r="AK57"/>
      <c r="AL57"/>
    </row>
    <row r="58" spans="1:38" s="21" customFormat="1" x14ac:dyDescent="0.2">
      <c r="B58" s="74">
        <v>1019.2862441428258</v>
      </c>
      <c r="C58" s="75">
        <v>7.4451814339311602</v>
      </c>
      <c r="D58" s="47">
        <f t="shared" si="7"/>
        <v>-1049.2036324891576</v>
      </c>
      <c r="E58" s="80">
        <f t="shared" si="8"/>
        <v>-1045.2915146054561</v>
      </c>
      <c r="F58" s="47"/>
      <c r="G58" s="81" t="s">
        <v>7</v>
      </c>
      <c r="H58" s="82">
        <v>10.63937281374538</v>
      </c>
      <c r="I58" s="77">
        <f>'SMX DATOS'!X45</f>
        <v>1.5497554194876775</v>
      </c>
      <c r="J58" s="84">
        <f t="shared" ref="J58:J74" si="9">I58/1.96</f>
        <v>0.79069154055493751</v>
      </c>
      <c r="K58" s="83">
        <v>1019.2057665103478</v>
      </c>
      <c r="L58" s="82">
        <v>10.63937281374538</v>
      </c>
      <c r="T58" s="57">
        <v>22</v>
      </c>
      <c r="U58" s="57">
        <v>1.2121459847738179</v>
      </c>
      <c r="V58" s="57">
        <v>3.886290169996176E-2</v>
      </c>
      <c r="W58"/>
      <c r="X58" s="57">
        <v>61.428571428571431</v>
      </c>
      <c r="Y58" s="57">
        <v>3.449781406197947</v>
      </c>
      <c r="Z58"/>
      <c r="AA58"/>
      <c r="AB58"/>
      <c r="AD58" s="57"/>
      <c r="AE58" s="57"/>
      <c r="AF58" s="57"/>
      <c r="AG58"/>
      <c r="AH58" s="57"/>
      <c r="AI58" s="57"/>
      <c r="AJ58"/>
      <c r="AK58"/>
      <c r="AL58"/>
    </row>
    <row r="59" spans="1:38" s="21" customFormat="1" x14ac:dyDescent="0.2">
      <c r="A59" s="21">
        <f>100-((C59*100)/$C$92)</f>
        <v>98.843839101927259</v>
      </c>
      <c r="B59" s="27">
        <v>989.28624414282581</v>
      </c>
      <c r="C59" s="69">
        <v>10.934696518336736</v>
      </c>
      <c r="D59" s="21">
        <f t="shared" si="7"/>
        <v>-1044.9354410324054</v>
      </c>
      <c r="E59" s="23">
        <f t="shared" si="8"/>
        <v>-1041.8134399672022</v>
      </c>
      <c r="G59" s="5" t="s">
        <v>7</v>
      </c>
      <c r="H59" s="32">
        <v>13.547246521740066</v>
      </c>
      <c r="I59" s="39">
        <f>'SMX DATOS'!X46</f>
        <v>0.41198977066816317</v>
      </c>
      <c r="J59" s="84">
        <f t="shared" si="9"/>
        <v>0.21019886258579754</v>
      </c>
      <c r="K59" s="27">
        <v>989.28624414282581</v>
      </c>
      <c r="L59" s="32">
        <v>13.547246521740066</v>
      </c>
      <c r="M59" s="21">
        <f>$C$92*EXP(-$G$51*K59)</f>
        <v>945.7763652588792</v>
      </c>
      <c r="T59" s="57">
        <v>23</v>
      </c>
      <c r="U59" s="57">
        <v>1.146251623073631</v>
      </c>
      <c r="V59" s="57">
        <v>4.4618896642606654E-2</v>
      </c>
      <c r="W59"/>
      <c r="X59" s="57">
        <v>64.285714285714292</v>
      </c>
      <c r="Y59" s="57">
        <v>3.6474606954123314</v>
      </c>
      <c r="Z59"/>
      <c r="AA59"/>
      <c r="AB59"/>
      <c r="AD59" s="57"/>
      <c r="AE59" s="57"/>
      <c r="AF59" s="57"/>
      <c r="AG59"/>
      <c r="AH59" s="57"/>
      <c r="AI59" s="57"/>
      <c r="AJ59"/>
      <c r="AK59"/>
      <c r="AL59"/>
    </row>
    <row r="60" spans="1:38" s="21" customFormat="1" x14ac:dyDescent="0.2">
      <c r="A60" s="21">
        <f t="shared" ref="A60:A74" si="10">100-((C60*100)/$C$92)</f>
        <v>98.579746922309312</v>
      </c>
      <c r="B60" s="27">
        <v>974.28624414282581</v>
      </c>
      <c r="C60" s="69">
        <v>13.432417935660355</v>
      </c>
      <c r="D60" s="21">
        <f t="shared" si="7"/>
        <v>-1041.9497560494262</v>
      </c>
      <c r="E60" s="23">
        <f t="shared" si="8"/>
        <v>-1040.7464573184368</v>
      </c>
      <c r="G60" s="5" t="s">
        <v>7</v>
      </c>
      <c r="H60" s="32">
        <v>14.448063124336668</v>
      </c>
      <c r="I60" s="39">
        <f>'SMX DATOS'!X47</f>
        <v>1.6622100830265281</v>
      </c>
      <c r="J60" s="84">
        <f t="shared" si="9"/>
        <v>0.84806636889108578</v>
      </c>
      <c r="K60" s="27">
        <v>974.28624414282581</v>
      </c>
      <c r="L60" s="32">
        <v>14.448063124336668</v>
      </c>
      <c r="M60" s="21">
        <f t="shared" ref="M60:M100" si="11">$C$92*EXP(-$G$51*K60)</f>
        <v>945.7763652588792</v>
      </c>
      <c r="T60" s="57">
        <v>24</v>
      </c>
      <c r="U60" s="57">
        <v>1.0803572613734445</v>
      </c>
      <c r="V60" s="57">
        <v>1.0242321654323705E-2</v>
      </c>
      <c r="W60"/>
      <c r="X60" s="57">
        <v>67.142857142857153</v>
      </c>
      <c r="Y60" s="57">
        <v>3.7747050526575738</v>
      </c>
      <c r="Z60"/>
      <c r="AA60"/>
      <c r="AB60"/>
      <c r="AD60" s="57"/>
      <c r="AE60" s="57"/>
      <c r="AF60" s="57"/>
      <c r="AG60"/>
      <c r="AH60" s="57"/>
      <c r="AI60" s="57"/>
      <c r="AJ60"/>
      <c r="AK60"/>
      <c r="AL60"/>
    </row>
    <row r="61" spans="1:38" s="21" customFormat="1" x14ac:dyDescent="0.2">
      <c r="A61" s="21">
        <f t="shared" si="10"/>
        <v>98.551143797475078</v>
      </c>
      <c r="B61" s="27">
        <v>959.28624414282581</v>
      </c>
      <c r="C61" s="69">
        <v>13.702939530068083</v>
      </c>
      <c r="D61" s="21">
        <f t="shared" si="7"/>
        <v>-1041.6287271593292</v>
      </c>
      <c r="E61" s="23">
        <f t="shared" si="8"/>
        <v>-1039.6128069343167</v>
      </c>
      <c r="G61" s="5" t="s">
        <v>7</v>
      </c>
      <c r="H61" s="32">
        <v>15.40877905431338</v>
      </c>
      <c r="I61" s="39">
        <f>'SMX DATOS'!X48</f>
        <v>0.4164830682135085</v>
      </c>
      <c r="J61" s="84">
        <f t="shared" si="9"/>
        <v>0.2124913613334227</v>
      </c>
      <c r="K61" s="27">
        <v>959.28624414282581</v>
      </c>
      <c r="L61" s="32">
        <v>15.40877905431338</v>
      </c>
      <c r="M61" s="21">
        <f t="shared" si="11"/>
        <v>945.7763652588792</v>
      </c>
      <c r="T61" s="57">
        <v>25</v>
      </c>
      <c r="U61" s="57">
        <v>1.0144628996732576</v>
      </c>
      <c r="V61" s="57">
        <v>-0.10572721034264765</v>
      </c>
      <c r="W61"/>
      <c r="X61" s="57">
        <v>70</v>
      </c>
      <c r="Y61" s="57">
        <v>3.9685441719591052</v>
      </c>
      <c r="Z61"/>
      <c r="AA61"/>
      <c r="AB61"/>
      <c r="AD61" s="57"/>
      <c r="AE61" s="57"/>
      <c r="AF61" s="57"/>
      <c r="AG61"/>
      <c r="AH61" s="57"/>
      <c r="AI61" s="57"/>
      <c r="AJ61"/>
      <c r="AK61"/>
      <c r="AL61"/>
    </row>
    <row r="62" spans="1:38" s="21" customFormat="1" x14ac:dyDescent="0.2">
      <c r="A62" s="21">
        <f t="shared" si="10"/>
        <v>98.384690522423213</v>
      </c>
      <c r="B62" s="27">
        <v>944.28624414282581</v>
      </c>
      <c r="C62" s="69">
        <v>15.2772152647079</v>
      </c>
      <c r="D62" s="21">
        <f t="shared" si="7"/>
        <v>-1039.7678118488384</v>
      </c>
      <c r="E62" s="23">
        <f t="shared" si="8"/>
        <v>-1038.408055002036</v>
      </c>
      <c r="G62" s="5" t="s">
        <v>7</v>
      </c>
      <c r="H62" s="32">
        <v>16.433377947917577</v>
      </c>
      <c r="I62" s="39">
        <f>'SMX DATOS'!X49</f>
        <v>2.7609886181158387</v>
      </c>
      <c r="J62" s="84">
        <f t="shared" si="9"/>
        <v>1.4086676623039993</v>
      </c>
      <c r="K62" s="27">
        <v>944.28624414282581</v>
      </c>
      <c r="L62" s="32">
        <v>16.433377947917577</v>
      </c>
      <c r="M62" s="21">
        <f t="shared" si="11"/>
        <v>945.7763652588792</v>
      </c>
      <c r="T62" s="57">
        <v>26</v>
      </c>
      <c r="U62" s="57">
        <v>0.94856853797307095</v>
      </c>
      <c r="V62" s="57">
        <v>-0.12692662894318163</v>
      </c>
      <c r="W62"/>
      <c r="X62" s="57">
        <v>72.857142857142861</v>
      </c>
      <c r="Y62" s="57">
        <v>4.0023256020325473</v>
      </c>
      <c r="Z62"/>
      <c r="AA62"/>
      <c r="AB62"/>
      <c r="AD62" s="57"/>
      <c r="AE62" s="57"/>
      <c r="AF62" s="57"/>
      <c r="AG62"/>
      <c r="AH62" s="57"/>
      <c r="AI62" s="57"/>
      <c r="AJ62"/>
      <c r="AK62"/>
      <c r="AL62"/>
    </row>
    <row r="63" spans="1:38" s="21" customFormat="1" x14ac:dyDescent="0.2">
      <c r="A63" s="21">
        <f t="shared" si="10"/>
        <v>98.131966565232162</v>
      </c>
      <c r="B63" s="27">
        <v>929.28624414282581</v>
      </c>
      <c r="C63" s="69">
        <v>17.667418721167866</v>
      </c>
      <c r="D63" s="21">
        <f t="shared" si="7"/>
        <v>-1036.9621644257502</v>
      </c>
      <c r="E63" s="23">
        <f t="shared" si="8"/>
        <v>-1037.1274753034177</v>
      </c>
      <c r="G63" s="5" t="s">
        <v>7</v>
      </c>
      <c r="H63" s="32">
        <v>17.526106272756572</v>
      </c>
      <c r="I63" s="39">
        <f>'SMX DATOS'!X50</f>
        <v>1.0946316317264284</v>
      </c>
      <c r="J63" s="84">
        <f t="shared" si="9"/>
        <v>0.55848552639103488</v>
      </c>
      <c r="K63" s="27">
        <v>929.28624414282581</v>
      </c>
      <c r="L63" s="32">
        <v>17.526106272756572</v>
      </c>
      <c r="M63" s="21">
        <f t="shared" si="11"/>
        <v>945.7763652588792</v>
      </c>
      <c r="T63" s="57">
        <v>27</v>
      </c>
      <c r="U63" s="57">
        <v>0.72082567019606214</v>
      </c>
      <c r="V63" s="57">
        <v>-6.6197854839968873E-3</v>
      </c>
      <c r="W63"/>
      <c r="X63" s="57">
        <v>75.714285714285722</v>
      </c>
      <c r="Y63" s="57">
        <v>4.090634754202811</v>
      </c>
      <c r="Z63"/>
      <c r="AA63"/>
      <c r="AB63"/>
      <c r="AD63" s="57"/>
      <c r="AE63" s="57"/>
      <c r="AF63" s="57"/>
      <c r="AG63"/>
      <c r="AH63" s="57"/>
      <c r="AI63" s="57"/>
      <c r="AJ63"/>
      <c r="AK63"/>
      <c r="AL63"/>
    </row>
    <row r="64" spans="1:38" s="21" customFormat="1" x14ac:dyDescent="0.2">
      <c r="A64" s="21">
        <f t="shared" si="10"/>
        <v>98.269594778831703</v>
      </c>
      <c r="B64" s="27">
        <v>917.60296318225096</v>
      </c>
      <c r="C64" s="70">
        <v>16.365763605015374</v>
      </c>
      <c r="D64" s="21">
        <f t="shared" si="7"/>
        <v>-1038.4874324591976</v>
      </c>
      <c r="E64" s="23">
        <f t="shared" si="8"/>
        <v>-1036.0742936263205</v>
      </c>
      <c r="G64" s="5" t="s">
        <v>7</v>
      </c>
      <c r="H64" s="32">
        <v>18.42731253651392</v>
      </c>
      <c r="I64" s="39">
        <f>'SMX DATOS'!X31</f>
        <v>3.2914581780830106</v>
      </c>
      <c r="J64" s="84">
        <f t="shared" si="9"/>
        <v>1.6793153969811279</v>
      </c>
      <c r="K64" s="27">
        <v>917.60296318225096</v>
      </c>
      <c r="L64" s="32">
        <v>18.42731253651392</v>
      </c>
      <c r="M64" s="21">
        <f t="shared" si="11"/>
        <v>945.7763652588792</v>
      </c>
      <c r="T64" s="57">
        <v>28</v>
      </c>
      <c r="U64" s="57">
        <v>0.58903694679568874</v>
      </c>
      <c r="V64" s="57">
        <v>6.7080211792890365E-2</v>
      </c>
      <c r="W64"/>
      <c r="X64" s="57">
        <v>78.571428571428569</v>
      </c>
      <c r="Y64" s="57">
        <v>4.1384123272211077</v>
      </c>
      <c r="Z64"/>
      <c r="AA64"/>
      <c r="AB64"/>
      <c r="AD64" s="57"/>
      <c r="AE64" s="57"/>
      <c r="AF64" s="57"/>
      <c r="AG64"/>
      <c r="AH64" s="57"/>
      <c r="AI64" s="57"/>
      <c r="AJ64"/>
      <c r="AK64"/>
      <c r="AL64"/>
    </row>
    <row r="65" spans="1:38" s="21" customFormat="1" x14ac:dyDescent="0.2">
      <c r="A65" s="21">
        <f t="shared" si="10"/>
        <v>98.07216629055543</v>
      </c>
      <c r="B65" s="27">
        <v>914.28624414282581</v>
      </c>
      <c r="C65" s="69">
        <v>18.232995585420333</v>
      </c>
      <c r="D65" s="21">
        <f t="shared" si="7"/>
        <v>-1036.3011687299099</v>
      </c>
      <c r="E65" s="23">
        <f t="shared" si="8"/>
        <v>-1035.7660237677389</v>
      </c>
      <c r="G65" s="5" t="s">
        <v>7</v>
      </c>
      <c r="H65" s="32">
        <v>18.6914959184849</v>
      </c>
      <c r="I65" s="39">
        <f>'SMX DATOS'!X51</f>
        <v>0.78660425202413553</v>
      </c>
      <c r="J65" s="84">
        <f t="shared" si="9"/>
        <v>0.40132870001231408</v>
      </c>
      <c r="K65" s="27">
        <v>914.28624414282581</v>
      </c>
      <c r="L65" s="32">
        <v>18.6914959184849</v>
      </c>
      <c r="M65" s="21">
        <f t="shared" si="11"/>
        <v>945.7763652588792</v>
      </c>
      <c r="T65" s="57">
        <v>29</v>
      </c>
      <c r="U65" s="57">
        <v>0.45724822339531529</v>
      </c>
      <c r="V65" s="57">
        <v>9.2665543828739427E-2</v>
      </c>
      <c r="W65"/>
      <c r="X65" s="57">
        <v>81.428571428571431</v>
      </c>
      <c r="Y65" s="57">
        <v>4.2309407196034545</v>
      </c>
      <c r="Z65"/>
      <c r="AA65"/>
      <c r="AB65"/>
      <c r="AD65" s="57"/>
      <c r="AE65" s="57"/>
      <c r="AF65" s="57"/>
      <c r="AG65"/>
      <c r="AH65" s="57"/>
      <c r="AI65" s="57"/>
      <c r="AJ65"/>
      <c r="AK65"/>
      <c r="AL65"/>
    </row>
    <row r="66" spans="1:38" s="21" customFormat="1" x14ac:dyDescent="0.2">
      <c r="A66" s="21">
        <f t="shared" si="10"/>
        <v>97.978190712190099</v>
      </c>
      <c r="B66" s="27">
        <v>899.28624414282581</v>
      </c>
      <c r="C66" s="69">
        <v>19.121794394714854</v>
      </c>
      <c r="D66" s="21">
        <f t="shared" si="7"/>
        <v>-1035.2643430337705</v>
      </c>
      <c r="E66" s="23">
        <f t="shared" si="8"/>
        <v>-1034.3183261682352</v>
      </c>
      <c r="G66" s="5" t="s">
        <v>7</v>
      </c>
      <c r="H66" s="32">
        <v>19.934375629644066</v>
      </c>
      <c r="I66" s="39">
        <f>'SMX DATOS'!X52</f>
        <v>0.15020274773441672</v>
      </c>
      <c r="J66" s="84">
        <f t="shared" si="9"/>
        <v>7.6634054966539147E-2</v>
      </c>
      <c r="K66" s="27">
        <v>899.28624414282581</v>
      </c>
      <c r="L66" s="32">
        <v>19.934375629644066</v>
      </c>
      <c r="M66" s="21">
        <f t="shared" si="11"/>
        <v>945.7763652588792</v>
      </c>
      <c r="T66" s="57">
        <v>30</v>
      </c>
      <c r="U66" s="57">
        <v>0.39135386169512859</v>
      </c>
      <c r="V66" s="57">
        <v>7.1204714746869568E-2</v>
      </c>
      <c r="W66"/>
      <c r="X66" s="57">
        <v>84.285714285714292</v>
      </c>
      <c r="Y66" s="57">
        <v>4.2468354177293062</v>
      </c>
      <c r="Z66"/>
      <c r="AA66"/>
      <c r="AB66"/>
      <c r="AD66" s="57"/>
      <c r="AE66" s="57"/>
      <c r="AF66" s="57"/>
      <c r="AG66"/>
      <c r="AH66" s="57"/>
      <c r="AI66" s="57"/>
      <c r="AJ66"/>
      <c r="AK66"/>
      <c r="AL66"/>
    </row>
    <row r="67" spans="1:38" s="21" customFormat="1" x14ac:dyDescent="0.2">
      <c r="A67" s="21">
        <f t="shared" si="10"/>
        <v>97.792319237266028</v>
      </c>
      <c r="B67" s="27">
        <v>887.60296318225096</v>
      </c>
      <c r="C67" s="70">
        <v>20.879722874304868</v>
      </c>
      <c r="D67" s="21">
        <f t="shared" si="7"/>
        <v>-1033.2198252940805</v>
      </c>
      <c r="E67" s="23">
        <f t="shared" si="8"/>
        <v>-1033.127317175755</v>
      </c>
      <c r="G67" s="5" t="s">
        <v>7</v>
      </c>
      <c r="H67" s="32">
        <v>20.959416390754733</v>
      </c>
      <c r="I67" s="39">
        <f>'SMX DATOS'!X32</f>
        <v>1.8023250453547646</v>
      </c>
      <c r="J67" s="84">
        <f t="shared" si="9"/>
        <v>0.9195535945687574</v>
      </c>
      <c r="K67" s="27">
        <v>887.60296318225096</v>
      </c>
      <c r="L67" s="32">
        <v>20.959416390754733</v>
      </c>
      <c r="M67" s="21">
        <f t="shared" si="11"/>
        <v>945.7763652588792</v>
      </c>
      <c r="T67" s="57">
        <v>31</v>
      </c>
      <c r="U67" s="57">
        <v>0.32545949999494189</v>
      </c>
      <c r="V67" s="57">
        <v>3.9087025556207078E-2</v>
      </c>
      <c r="W67"/>
      <c r="X67" s="57">
        <v>87.142857142857153</v>
      </c>
      <c r="Y67" s="57">
        <v>4.3158870224440227</v>
      </c>
      <c r="Z67"/>
      <c r="AA67"/>
      <c r="AB67"/>
      <c r="AD67" s="57"/>
      <c r="AE67" s="57"/>
      <c r="AF67" s="57"/>
      <c r="AG67"/>
      <c r="AH67" s="57"/>
      <c r="AI67" s="57"/>
      <c r="AJ67"/>
      <c r="AK67"/>
      <c r="AL67"/>
    </row>
    <row r="68" spans="1:38" s="21" customFormat="1" x14ac:dyDescent="0.2">
      <c r="A68" s="21">
        <f t="shared" si="10"/>
        <v>97.716800070444336</v>
      </c>
      <c r="B68" s="27">
        <v>857.60296318225096</v>
      </c>
      <c r="C68" s="70">
        <v>21.593965305344835</v>
      </c>
      <c r="D68" s="21">
        <f t="shared" si="7"/>
        <v>-1032.3912406661559</v>
      </c>
      <c r="E68" s="23">
        <f t="shared" si="8"/>
        <v>-1029.7930863119464</v>
      </c>
      <c r="G68" s="5" t="s">
        <v>7</v>
      </c>
      <c r="H68" s="32">
        <v>23.839458813992042</v>
      </c>
      <c r="I68" s="39">
        <f>'SMX DATOS'!X33</f>
        <v>1.2847194158341113</v>
      </c>
      <c r="J68" s="84">
        <f t="shared" si="9"/>
        <v>0.65546908971128126</v>
      </c>
      <c r="K68" s="27">
        <v>857.60296318225096</v>
      </c>
      <c r="L68" s="32">
        <v>23.839458813992042</v>
      </c>
      <c r="M68" s="21">
        <f t="shared" si="11"/>
        <v>945.7763652588792</v>
      </c>
      <c r="T68" s="57">
        <v>32</v>
      </c>
      <c r="U68" s="57">
        <v>0.25956513829475514</v>
      </c>
      <c r="V68" s="57">
        <v>9.2862267531958642E-2</v>
      </c>
      <c r="W68"/>
      <c r="X68" s="57">
        <v>90</v>
      </c>
      <c r="Y68" s="57">
        <v>4.4249610339389429</v>
      </c>
      <c r="Z68"/>
      <c r="AA68"/>
      <c r="AB68"/>
      <c r="AD68" s="57"/>
      <c r="AE68" s="57"/>
      <c r="AF68" s="57"/>
      <c r="AG68"/>
      <c r="AH68" s="57"/>
      <c r="AI68" s="57"/>
      <c r="AJ68"/>
      <c r="AK68"/>
      <c r="AL68"/>
    </row>
    <row r="69" spans="1:38" s="21" customFormat="1" ht="17" thickBot="1" x14ac:dyDescent="0.25">
      <c r="A69" s="21">
        <f t="shared" si="10"/>
        <v>97.477296511648461</v>
      </c>
      <c r="B69" s="27">
        <v>842.60296318225096</v>
      </c>
      <c r="C69" s="70">
        <v>23.859133358390192</v>
      </c>
      <c r="D69" s="21">
        <f t="shared" si="7"/>
        <v>-1029.770363662738</v>
      </c>
      <c r="E69" s="23">
        <f t="shared" si="8"/>
        <v>-1027.9643964431978</v>
      </c>
      <c r="G69" s="5" t="s">
        <v>7</v>
      </c>
      <c r="H69" s="32">
        <v>25.424650704593592</v>
      </c>
      <c r="I69" s="39">
        <f>'SMX DATOS'!X34</f>
        <v>0.12823423925265939</v>
      </c>
      <c r="J69" s="84">
        <f t="shared" si="9"/>
        <v>6.5425632271764997E-2</v>
      </c>
      <c r="K69" s="27">
        <v>842.60296318225096</v>
      </c>
      <c r="L69" s="32">
        <v>25.424650704593592</v>
      </c>
      <c r="M69" s="21">
        <f t="shared" si="11"/>
        <v>945.7763652588792</v>
      </c>
      <c r="T69" s="57">
        <v>33</v>
      </c>
      <c r="U69" s="57">
        <v>0.19367077659456847</v>
      </c>
      <c r="V69" s="57">
        <v>-7.1957742118463619E-3</v>
      </c>
      <c r="W69"/>
      <c r="X69" s="57">
        <v>92.857142857142861</v>
      </c>
      <c r="Y69" s="57">
        <v>4.4449556827493923</v>
      </c>
      <c r="Z69"/>
      <c r="AA69"/>
      <c r="AB69"/>
      <c r="AD69" s="58"/>
      <c r="AE69" s="58"/>
      <c r="AF69" s="58"/>
      <c r="AG69"/>
      <c r="AH69" s="58"/>
      <c r="AI69" s="58"/>
      <c r="AJ69"/>
      <c r="AK69"/>
      <c r="AL69"/>
    </row>
    <row r="70" spans="1:38" s="21" customFormat="1" x14ac:dyDescent="0.2">
      <c r="A70" s="21">
        <f t="shared" si="10"/>
        <v>96.857558876997658</v>
      </c>
      <c r="B70" s="27">
        <v>827.60296318225096</v>
      </c>
      <c r="C70" s="70">
        <v>29.720465433531903</v>
      </c>
      <c r="D70" s="21">
        <f t="shared" si="7"/>
        <v>-1023.0270536038768</v>
      </c>
      <c r="E70" s="23">
        <f t="shared" si="8"/>
        <v>-1026.0183895574621</v>
      </c>
      <c r="G70" s="5" t="s">
        <v>7</v>
      </c>
      <c r="H70" s="32">
        <v>27.115249064855441</v>
      </c>
      <c r="I70" s="39">
        <f>'SMX DATOS'!X35</f>
        <v>4.3815220623861224</v>
      </c>
      <c r="J70" s="84">
        <f t="shared" si="9"/>
        <v>2.2354704399929197</v>
      </c>
      <c r="K70" s="27">
        <v>827.60296318225096</v>
      </c>
      <c r="L70" s="32">
        <v>27.115249064855441</v>
      </c>
      <c r="M70" s="21">
        <f t="shared" si="11"/>
        <v>945.7763652588792</v>
      </c>
      <c r="T70" s="57">
        <v>34</v>
      </c>
      <c r="U70" s="57">
        <v>0.12777641489438174</v>
      </c>
      <c r="V70" s="57">
        <v>5.4266297254821905E-3</v>
      </c>
      <c r="W70"/>
      <c r="X70" s="57">
        <v>95.714285714285722</v>
      </c>
      <c r="Y70" s="57">
        <v>4.6511964832550019</v>
      </c>
      <c r="Z70"/>
      <c r="AA70"/>
      <c r="AB70"/>
    </row>
    <row r="71" spans="1:38" s="21" customFormat="1" ht="17" thickBot="1" x14ac:dyDescent="0.25">
      <c r="A71" s="21">
        <f t="shared" si="10"/>
        <v>96.175755873972392</v>
      </c>
      <c r="B71" s="27">
        <v>812.60296318225096</v>
      </c>
      <c r="C71" s="70">
        <v>36.168797093770067</v>
      </c>
      <c r="D71" s="21">
        <f t="shared" si="7"/>
        <v>-1015.653723020887</v>
      </c>
      <c r="E71" s="23">
        <f t="shared" si="8"/>
        <v>-1023.9472647201994</v>
      </c>
      <c r="G71" s="5" t="s">
        <v>7</v>
      </c>
      <c r="H71" s="32">
        <v>28.91826284349737</v>
      </c>
      <c r="I71" s="39">
        <f>'SMX DATOS'!X36</f>
        <v>4.0513191886550315</v>
      </c>
      <c r="J71" s="84">
        <f t="shared" si="9"/>
        <v>2.0669995860484853</v>
      </c>
      <c r="K71" s="27">
        <v>812.60296318225096</v>
      </c>
      <c r="L71" s="32">
        <v>28.91826284349737</v>
      </c>
      <c r="M71" s="21">
        <f t="shared" si="11"/>
        <v>945.7763652588792</v>
      </c>
      <c r="T71" s="58">
        <v>35</v>
      </c>
      <c r="U71" s="58">
        <v>6.1882053194195041E-2</v>
      </c>
      <c r="V71" s="58">
        <v>-6.1882053194195041E-2</v>
      </c>
      <c r="W71"/>
      <c r="X71" s="58">
        <v>98.571428571428569</v>
      </c>
      <c r="Y71" s="58">
        <v>5.0362837900665678</v>
      </c>
      <c r="Z71"/>
      <c r="AA71"/>
      <c r="AB71"/>
    </row>
    <row r="72" spans="1:38" s="21" customFormat="1" x14ac:dyDescent="0.2">
      <c r="A72" s="21">
        <f t="shared" si="10"/>
        <v>95.678681551256432</v>
      </c>
      <c r="B72" s="27">
        <v>797.60296318225096</v>
      </c>
      <c r="C72" s="70">
        <v>40.87000855578831</v>
      </c>
      <c r="D72" s="21">
        <f t="shared" si="7"/>
        <v>-1010.2990920509729</v>
      </c>
      <c r="E72" s="23">
        <f t="shared" si="8"/>
        <v>-1021.7427001053585</v>
      </c>
      <c r="G72" s="5" t="s">
        <v>7</v>
      </c>
      <c r="H72" s="32">
        <v>30.841168942276166</v>
      </c>
      <c r="I72" s="39">
        <f>'SMX DATOS'!X37</f>
        <v>4.7404417038176945</v>
      </c>
      <c r="J72" s="84">
        <f t="shared" si="9"/>
        <v>2.4185927060294361</v>
      </c>
      <c r="K72" s="27">
        <v>797.60296318225096</v>
      </c>
      <c r="L72" s="32">
        <v>30.841168942276166</v>
      </c>
      <c r="M72" s="21">
        <f t="shared" si="11"/>
        <v>945.7763652588792</v>
      </c>
    </row>
    <row r="73" spans="1:38" s="21" customFormat="1" x14ac:dyDescent="0.2">
      <c r="A73" s="21">
        <f t="shared" si="10"/>
        <v>95.750158891755319</v>
      </c>
      <c r="B73" s="27">
        <v>782.60296318225096</v>
      </c>
      <c r="C73" s="70">
        <v>40.193992762834228</v>
      </c>
      <c r="D73" s="21">
        <f t="shared" si="7"/>
        <v>-1011.0681741249983</v>
      </c>
      <c r="E73" s="23">
        <f t="shared" si="8"/>
        <v>-1019.3958275257329</v>
      </c>
      <c r="G73" s="5" t="s">
        <v>7</v>
      </c>
      <c r="H73" s="32">
        <v>32.891935332149522</v>
      </c>
      <c r="I73" s="39">
        <f>'SMX DATOS'!X38</f>
        <v>2.4035768895691292</v>
      </c>
      <c r="J73" s="84">
        <f t="shared" si="9"/>
        <v>1.2263147395760863</v>
      </c>
      <c r="K73" s="27">
        <v>782.60296318225096</v>
      </c>
      <c r="L73" s="32">
        <v>32.891935332149522</v>
      </c>
      <c r="M73" s="21">
        <f t="shared" si="11"/>
        <v>945.7763652588792</v>
      </c>
    </row>
    <row r="74" spans="1:38" s="21" customFormat="1" x14ac:dyDescent="0.2">
      <c r="A74" s="21">
        <f t="shared" si="10"/>
        <v>95.261104019177566</v>
      </c>
      <c r="B74" s="27">
        <v>767.60296318225096</v>
      </c>
      <c r="C74" s="70">
        <v>44.819358160821601</v>
      </c>
      <c r="D74" s="21">
        <f t="shared" si="7"/>
        <v>-1005.811236669701</v>
      </c>
      <c r="E74" s="23">
        <f t="shared" si="8"/>
        <v>-1016.8971816585732</v>
      </c>
      <c r="G74" s="5" t="s">
        <v>7</v>
      </c>
      <c r="H74" s="32">
        <v>35.079066307214951</v>
      </c>
      <c r="I74" s="39">
        <f>'SMX DATOS'!X39</f>
        <v>1.3327799629608374</v>
      </c>
      <c r="J74" s="84">
        <f t="shared" si="9"/>
        <v>0.67998977702083541</v>
      </c>
      <c r="K74" s="27">
        <v>767.60296318225096</v>
      </c>
      <c r="L74" s="32">
        <v>35.079066307214951</v>
      </c>
      <c r="M74" s="21">
        <f t="shared" si="11"/>
        <v>945.7763652588792</v>
      </c>
    </row>
    <row r="75" spans="1:38" s="21" customFormat="1" x14ac:dyDescent="0.2">
      <c r="B75" s="53">
        <v>336.13922523870258</v>
      </c>
      <c r="C75" s="71">
        <v>231.35469884666313</v>
      </c>
      <c r="D75" s="21">
        <f t="shared" si="7"/>
        <v>-796.55676933627694</v>
      </c>
      <c r="E75" s="23">
        <f t="shared" si="8"/>
        <v>-805.34580266648231</v>
      </c>
      <c r="G75" s="5" t="s">
        <v>7</v>
      </c>
      <c r="H75" s="32">
        <v>223.48904536659677</v>
      </c>
      <c r="I75" s="39">
        <f>'SMX DATOS'!X18</f>
        <v>13.483537748393708</v>
      </c>
      <c r="J75" s="84">
        <f t="shared" ref="J75:J92" si="12">I75/1.96</f>
        <v>6.8793559940784226</v>
      </c>
      <c r="K75" s="21">
        <v>750</v>
      </c>
      <c r="L75" s="21">
        <v>37.831912132727176</v>
      </c>
      <c r="M75" s="21">
        <f t="shared" si="11"/>
        <v>945.7763652588792</v>
      </c>
    </row>
    <row r="76" spans="1:38" s="21" customFormat="1" x14ac:dyDescent="0.2">
      <c r="B76" s="53">
        <v>306.13922523870258</v>
      </c>
      <c r="C76" s="71">
        <v>244.32464215463915</v>
      </c>
      <c r="D76" s="21">
        <f t="shared" si="7"/>
        <v>-782.06672381105693</v>
      </c>
      <c r="E76" s="23">
        <f t="shared" si="8"/>
        <v>-771.03723532361744</v>
      </c>
      <c r="G76" s="5" t="s">
        <v>7</v>
      </c>
      <c r="H76" s="32">
        <v>254.19877129383909</v>
      </c>
      <c r="I76" s="39">
        <f>'SMX DATOS'!X19</f>
        <v>24.012415577332828</v>
      </c>
      <c r="J76" s="84">
        <f t="shared" si="12"/>
        <v>12.251232437414709</v>
      </c>
      <c r="K76" s="21">
        <v>700</v>
      </c>
      <c r="L76" s="21">
        <v>46.887128381700101</v>
      </c>
      <c r="M76" s="21">
        <f t="shared" si="11"/>
        <v>945.7763652588792</v>
      </c>
    </row>
    <row r="77" spans="1:38" s="21" customFormat="1" x14ac:dyDescent="0.2">
      <c r="A77" s="21">
        <f>B59/60</f>
        <v>16.488104069047097</v>
      </c>
      <c r="B77" s="53">
        <v>276.13922523870258</v>
      </c>
      <c r="C77" s="71">
        <v>257.39206309690496</v>
      </c>
      <c r="D77" s="21">
        <f t="shared" si="7"/>
        <v>-767.47062923125713</v>
      </c>
      <c r="E77" s="23">
        <f t="shared" si="8"/>
        <v>-732.03200513443994</v>
      </c>
      <c r="G77" s="5" t="s">
        <v>7</v>
      </c>
      <c r="H77" s="32">
        <v>289.12833387931863</v>
      </c>
      <c r="I77" s="39">
        <f>'SMX DATOS'!X20</f>
        <v>25.454528669018195</v>
      </c>
      <c r="J77" s="84">
        <f t="shared" si="12"/>
        <v>12.987004422968468</v>
      </c>
      <c r="K77" s="21">
        <v>650</v>
      </c>
      <c r="L77" s="21">
        <v>58.109745908657572</v>
      </c>
      <c r="M77" s="21">
        <f t="shared" si="11"/>
        <v>945.7763652588792</v>
      </c>
    </row>
    <row r="78" spans="1:38" s="21" customFormat="1" x14ac:dyDescent="0.2">
      <c r="B78" s="53">
        <v>261.13922523870258</v>
      </c>
      <c r="C78" s="71">
        <v>296.19534014481178</v>
      </c>
      <c r="D78" s="21">
        <f t="shared" si="7"/>
        <v>-724.14230435679042</v>
      </c>
      <c r="E78" s="23">
        <f t="shared" si="8"/>
        <v>-710.56979214278624</v>
      </c>
      <c r="G78" s="5" t="s">
        <v>7</v>
      </c>
      <c r="H78" s="32">
        <v>308.35376593878743</v>
      </c>
      <c r="I78" s="39">
        <f>'SMX DATOS'!X21</f>
        <v>47.361896165248979</v>
      </c>
      <c r="J78" s="84">
        <f t="shared" si="12"/>
        <v>24.164232737371929</v>
      </c>
      <c r="K78" s="21">
        <v>600</v>
      </c>
      <c r="L78" s="21">
        <v>72.018540972364875</v>
      </c>
      <c r="M78" s="21">
        <f t="shared" si="11"/>
        <v>945.7763652588792</v>
      </c>
    </row>
    <row r="79" spans="1:38" s="21" customFormat="1" x14ac:dyDescent="0.2">
      <c r="B79" s="53">
        <v>246.13922523870261</v>
      </c>
      <c r="C79" s="71">
        <v>308.37480889052438</v>
      </c>
      <c r="D79" s="21">
        <f t="shared" si="7"/>
        <v>-710.54630317350973</v>
      </c>
      <c r="E79" s="23">
        <f t="shared" si="8"/>
        <v>-687.68474162335224</v>
      </c>
      <c r="G79" s="5" t="s">
        <v>7</v>
      </c>
      <c r="H79" s="32">
        <v>328.85758270561013</v>
      </c>
      <c r="I79" s="39">
        <f>'SMX DATOS'!X22</f>
        <v>48.957351170363204</v>
      </c>
      <c r="J79" s="84">
        <f t="shared" si="12"/>
        <v>24.978240393042451</v>
      </c>
      <c r="K79" s="21">
        <v>550</v>
      </c>
      <c r="L79" s="21">
        <v>89.256461596682286</v>
      </c>
      <c r="M79" s="21">
        <f t="shared" si="11"/>
        <v>945.7763652588792</v>
      </c>
    </row>
    <row r="80" spans="1:38" s="21" customFormat="1" x14ac:dyDescent="0.2">
      <c r="B80" s="53">
        <v>231.13922523870261</v>
      </c>
      <c r="C80" s="71">
        <v>326.29151403385777</v>
      </c>
      <c r="D80" s="21">
        <f t="shared" si="7"/>
        <v>-690.54860029922122</v>
      </c>
      <c r="E80" s="23">
        <f t="shared" si="8"/>
        <v>-663.28224271832482</v>
      </c>
      <c r="G80" s="5" t="s">
        <v>7</v>
      </c>
      <c r="H80" s="32">
        <v>350.72478972066625</v>
      </c>
      <c r="I80" s="39">
        <f>'SMX DATOS'!X23</f>
        <v>53.732771503979286</v>
      </c>
      <c r="J80" s="84">
        <f t="shared" si="12"/>
        <v>27.414679338764941</v>
      </c>
      <c r="K80" s="21">
        <v>500</v>
      </c>
      <c r="L80" s="21">
        <v>110.62034447756336</v>
      </c>
      <c r="M80" s="21">
        <f t="shared" si="11"/>
        <v>945.7763652588792</v>
      </c>
    </row>
    <row r="81" spans="2:13" s="21" customFormat="1" x14ac:dyDescent="0.2">
      <c r="B81" s="53">
        <v>216.13922523870261</v>
      </c>
      <c r="C81" s="71">
        <v>358.34917035920267</v>
      </c>
      <c r="D81" s="21">
        <f t="shared" si="7"/>
        <v>-654.77482880349476</v>
      </c>
      <c r="E81" s="23">
        <f t="shared" si="8"/>
        <v>-637.26139338775829</v>
      </c>
      <c r="G81" s="5" t="s">
        <v>7</v>
      </c>
      <c r="H81" s="32">
        <v>374.04604499789815</v>
      </c>
      <c r="I81" s="39">
        <f>'SMX DATOS'!X24</f>
        <v>49.857393905816906</v>
      </c>
      <c r="J81" s="84">
        <f t="shared" si="12"/>
        <v>25.437445870314747</v>
      </c>
      <c r="K81" s="21">
        <v>450</v>
      </c>
      <c r="L81" s="21">
        <v>137.09775283210294</v>
      </c>
      <c r="M81" s="21">
        <f t="shared" si="11"/>
        <v>945.7763652588792</v>
      </c>
    </row>
    <row r="82" spans="2:13" s="21" customFormat="1" x14ac:dyDescent="0.2">
      <c r="B82" s="53">
        <v>201.13922523870261</v>
      </c>
      <c r="C82" s="71">
        <v>424.08419701737142</v>
      </c>
      <c r="D82" s="21">
        <f t="shared" si="7"/>
        <v>-581.44355915038159</v>
      </c>
      <c r="E82" s="23">
        <f t="shared" si="8"/>
        <v>-609.51458200740376</v>
      </c>
      <c r="G82" s="5" t="s">
        <v>7</v>
      </c>
      <c r="H82" s="31">
        <v>398.91803494832038</v>
      </c>
      <c r="I82" s="39">
        <f>'SMX DATOS'!X25</f>
        <v>18.976855924337638</v>
      </c>
      <c r="J82" s="84">
        <f t="shared" si="12"/>
        <v>9.6820693491518561</v>
      </c>
      <c r="K82" s="21">
        <v>400</v>
      </c>
      <c r="L82" s="21">
        <v>169.91264675035606</v>
      </c>
      <c r="M82" s="21">
        <f t="shared" si="11"/>
        <v>945.7763652588792</v>
      </c>
    </row>
    <row r="83" spans="2:13" s="21" customFormat="1" x14ac:dyDescent="0.2">
      <c r="B83" s="53">
        <v>186.13922523870261</v>
      </c>
      <c r="C83" s="71">
        <v>459.35132084731799</v>
      </c>
      <c r="D83" s="21">
        <f t="shared" si="7"/>
        <v>-542.11149534185722</v>
      </c>
      <c r="E83" s="23">
        <f t="shared" si="8"/>
        <v>-579.92704112093838</v>
      </c>
      <c r="G83" s="5" t="s">
        <v>7</v>
      </c>
      <c r="H83" s="31">
        <v>425.44387532261021</v>
      </c>
      <c r="I83" s="39">
        <f>'SMX DATOS'!X26</f>
        <v>14.361907564483168</v>
      </c>
      <c r="J83" s="84">
        <f t="shared" si="12"/>
        <v>7.3275038594301876</v>
      </c>
      <c r="K83" s="53">
        <v>336.13922523870258</v>
      </c>
      <c r="L83" s="32">
        <v>223.48904536659677</v>
      </c>
      <c r="M83" s="21">
        <f t="shared" si="11"/>
        <v>945.7763652588792</v>
      </c>
    </row>
    <row r="84" spans="2:13" s="21" customFormat="1" x14ac:dyDescent="0.2">
      <c r="B84" s="11">
        <v>150</v>
      </c>
      <c r="C84" s="72">
        <v>545.71255856391952</v>
      </c>
      <c r="D84" s="21">
        <f t="shared" si="7"/>
        <v>-445.81947493196526</v>
      </c>
      <c r="E84" s="23">
        <f t="shared" si="8"/>
        <v>-500.32630341426716</v>
      </c>
      <c r="G84" s="5" t="s">
        <v>7</v>
      </c>
      <c r="H84" s="31">
        <v>496.82383485547535</v>
      </c>
      <c r="I84" s="39">
        <f>'SMX DATOS'!X5</f>
        <v>45.563211546753287</v>
      </c>
      <c r="J84" s="84">
        <f t="shared" si="12"/>
        <v>23.246536503445554</v>
      </c>
      <c r="K84" s="53">
        <v>306.13922523870258</v>
      </c>
      <c r="L84" s="32">
        <v>254.19877129383909</v>
      </c>
      <c r="M84" s="21">
        <f t="shared" si="11"/>
        <v>945.7763652588792</v>
      </c>
    </row>
    <row r="85" spans="2:13" s="21" customFormat="1" x14ac:dyDescent="0.2">
      <c r="B85" s="11">
        <v>120</v>
      </c>
      <c r="C85" s="73">
        <v>533.84696234008982</v>
      </c>
      <c r="D85" s="21">
        <f t="shared" si="7"/>
        <v>-459.04782353201148</v>
      </c>
      <c r="E85" s="23">
        <f t="shared" si="8"/>
        <v>-424.21465570360198</v>
      </c>
      <c r="G85" s="5" t="s">
        <v>7</v>
      </c>
      <c r="H85" s="31">
        <v>565.09260574320626</v>
      </c>
      <c r="I85" s="39">
        <f>'SMX DATOS'!X6</f>
        <v>52.096298227881782</v>
      </c>
      <c r="J85" s="84">
        <f t="shared" si="12"/>
        <v>26.579743993817235</v>
      </c>
      <c r="K85" s="53">
        <v>276.13922523870258</v>
      </c>
      <c r="L85" s="32">
        <v>289.12833387931863</v>
      </c>
      <c r="M85" s="21">
        <f t="shared" si="11"/>
        <v>945.7763652588792</v>
      </c>
    </row>
    <row r="86" spans="2:13" s="21" customFormat="1" x14ac:dyDescent="0.2">
      <c r="B86" s="11">
        <v>90</v>
      </c>
      <c r="C86" s="66">
        <v>635.35001115260627</v>
      </c>
      <c r="D86" s="21">
        <f t="shared" si="7"/>
        <v>-345.90123269760426</v>
      </c>
      <c r="E86" s="23">
        <f t="shared" si="8"/>
        <v>-337.662159062321</v>
      </c>
      <c r="G86" s="5" t="s">
        <v>7</v>
      </c>
      <c r="H86" s="31">
        <v>642.74222393817831</v>
      </c>
      <c r="I86" s="39">
        <f>'SMX DATOS'!X7</f>
        <v>83.910962344147009</v>
      </c>
      <c r="J86" s="84">
        <f t="shared" si="12"/>
        <v>42.811715481707658</v>
      </c>
      <c r="K86" s="53">
        <v>261.13922523870258</v>
      </c>
      <c r="L86" s="32">
        <v>308.35376593878743</v>
      </c>
      <c r="M86" s="21">
        <f t="shared" si="11"/>
        <v>945.7763652588792</v>
      </c>
    </row>
    <row r="87" spans="2:13" s="21" customFormat="1" x14ac:dyDescent="0.2">
      <c r="B87" s="11">
        <v>75</v>
      </c>
      <c r="C87" s="72">
        <v>697.81685970231615</v>
      </c>
      <c r="D87" s="21">
        <f t="shared" si="7"/>
        <v>-276.28207690974887</v>
      </c>
      <c r="E87" s="23">
        <f t="shared" si="8"/>
        <v>-290.02965447141094</v>
      </c>
      <c r="G87" s="5" t="s">
        <v>7</v>
      </c>
      <c r="H87" s="31">
        <v>685.48102271047173</v>
      </c>
      <c r="I87" s="39">
        <f>'SMX DATOS'!X8</f>
        <v>43.607809701080328</v>
      </c>
      <c r="J87" s="84">
        <f t="shared" si="12"/>
        <v>22.248882500551186</v>
      </c>
      <c r="K87" s="53">
        <v>246.13922523870261</v>
      </c>
      <c r="L87" s="32">
        <v>328.85758270561013</v>
      </c>
      <c r="M87" s="21">
        <f t="shared" si="11"/>
        <v>945.7763652588792</v>
      </c>
    </row>
    <row r="88" spans="2:13" s="21" customFormat="1" x14ac:dyDescent="0.2">
      <c r="B88" s="11">
        <v>60</v>
      </c>
      <c r="C88" s="73">
        <v>691.85392117462334</v>
      </c>
      <c r="D88" s="21">
        <f t="shared" si="7"/>
        <v>-282.92738764723532</v>
      </c>
      <c r="E88" s="23">
        <f t="shared" si="8"/>
        <v>-239.2341324000644</v>
      </c>
      <c r="G88" s="5" t="s">
        <v>7</v>
      </c>
      <c r="H88" s="31">
        <v>731.06171530168638</v>
      </c>
      <c r="I88" s="39">
        <f>'SMX DATOS'!X9</f>
        <v>39.94999751271741</v>
      </c>
      <c r="J88" s="84">
        <f t="shared" si="12"/>
        <v>20.382651792202761</v>
      </c>
      <c r="K88" s="53">
        <v>231.13922523870261</v>
      </c>
      <c r="L88" s="32">
        <v>350.72478972066625</v>
      </c>
      <c r="M88" s="21">
        <f t="shared" si="11"/>
        <v>945.7763652588792</v>
      </c>
    </row>
    <row r="89" spans="2:13" s="21" customFormat="1" x14ac:dyDescent="0.2">
      <c r="B89" s="11">
        <v>45</v>
      </c>
      <c r="C89" s="72">
        <v>732.90501763829457</v>
      </c>
      <c r="D89" s="21">
        <f t="shared" si="7"/>
        <v>-237.18002537531711</v>
      </c>
      <c r="E89" s="23">
        <f t="shared" si="8"/>
        <v>-185.06527072553436</v>
      </c>
      <c r="G89" s="5" t="s">
        <v>7</v>
      </c>
      <c r="H89" s="31">
        <v>779.67327099445663</v>
      </c>
      <c r="I89" s="39">
        <f>'SMX DATOS'!X10</f>
        <v>41.02325123052929</v>
      </c>
      <c r="J89" s="84">
        <f t="shared" si="12"/>
        <v>20.930230219657801</v>
      </c>
      <c r="K89" s="53">
        <v>216.13922523870261</v>
      </c>
      <c r="L89" s="32">
        <v>374.04604499789815</v>
      </c>
      <c r="M89" s="21">
        <f t="shared" si="11"/>
        <v>945.7763652588792</v>
      </c>
    </row>
    <row r="90" spans="2:13" s="21" customFormat="1" x14ac:dyDescent="0.2">
      <c r="B90" s="11">
        <v>30</v>
      </c>
      <c r="C90" s="73">
        <v>807.4023574092796</v>
      </c>
      <c r="D90" s="21">
        <f t="shared" si="7"/>
        <v>-154.16795126134332</v>
      </c>
      <c r="E90" s="23">
        <f t="shared" si="8"/>
        <v>-127.29876174564085</v>
      </c>
      <c r="G90" s="5" t="s">
        <v>7</v>
      </c>
      <c r="H90" s="31">
        <v>831.5172247718483</v>
      </c>
      <c r="I90" s="39">
        <f>'SMX DATOS'!X11</f>
        <v>76.092447909289845</v>
      </c>
      <c r="J90" s="84">
        <f t="shared" si="12"/>
        <v>38.822677504739715</v>
      </c>
      <c r="K90" s="53">
        <v>201.13922523870261</v>
      </c>
      <c r="L90" s="31">
        <v>398.91803494832038</v>
      </c>
      <c r="M90" s="21">
        <f t="shared" si="11"/>
        <v>945.7763652588792</v>
      </c>
    </row>
    <row r="91" spans="2:13" s="21" customFormat="1" x14ac:dyDescent="0.2">
      <c r="B91" s="11">
        <v>15</v>
      </c>
      <c r="C91" s="66">
        <v>785.20389652052188</v>
      </c>
      <c r="D91" s="21">
        <f t="shared" si="7"/>
        <v>-178.90263616250564</v>
      </c>
      <c r="E91" s="23">
        <f t="shared" si="8"/>
        <v>-65.695381911501556</v>
      </c>
      <c r="G91" s="5" t="s">
        <v>7</v>
      </c>
      <c r="H91" s="31">
        <v>886.80851313956657</v>
      </c>
      <c r="I91" s="39">
        <f>'SMX DATOS'!X12</f>
        <v>30.854692126533077</v>
      </c>
      <c r="J91" s="84">
        <f t="shared" si="12"/>
        <v>15.74218986047606</v>
      </c>
      <c r="K91" s="53">
        <v>186.13922523870261</v>
      </c>
      <c r="L91" s="31">
        <v>425.44387532261021</v>
      </c>
      <c r="M91" s="21">
        <f t="shared" si="11"/>
        <v>945.7763652588792</v>
      </c>
    </row>
    <row r="92" spans="2:13" s="21" customFormat="1" x14ac:dyDescent="0.2">
      <c r="B92" s="11">
        <v>0</v>
      </c>
      <c r="C92" s="73">
        <v>945.7763652588792</v>
      </c>
      <c r="D92" s="21">
        <f t="shared" si="7"/>
        <v>0</v>
      </c>
      <c r="E92" s="23">
        <f t="shared" si="8"/>
        <v>7.7711920868065424E-5</v>
      </c>
      <c r="G92" s="5" t="s">
        <v>7</v>
      </c>
      <c r="H92" s="31">
        <v>945.77643501487148</v>
      </c>
      <c r="I92" s="39">
        <f>'SMX DATOS'!X13</f>
        <v>42.052175456019818</v>
      </c>
      <c r="J92" s="84">
        <f t="shared" si="12"/>
        <v>21.455191559193786</v>
      </c>
      <c r="K92" s="11">
        <v>150</v>
      </c>
      <c r="L92" s="31">
        <v>496.82383485547535</v>
      </c>
      <c r="M92" s="21">
        <f t="shared" si="11"/>
        <v>945.7763652588792</v>
      </c>
    </row>
    <row r="93" spans="2:13" s="21" customFormat="1" x14ac:dyDescent="0.2">
      <c r="B93" s="24"/>
      <c r="D93" s="23"/>
      <c r="E93" s="23"/>
      <c r="K93" s="11">
        <v>120</v>
      </c>
      <c r="L93" s="31">
        <v>565.09260574320626</v>
      </c>
      <c r="M93" s="21">
        <f t="shared" si="11"/>
        <v>945.7763652588792</v>
      </c>
    </row>
    <row r="94" spans="2:13" s="21" customFormat="1" ht="17" x14ac:dyDescent="0.2">
      <c r="B94" s="24"/>
      <c r="D94" s="23"/>
      <c r="E94" s="23"/>
      <c r="H94" s="8" t="s">
        <v>5</v>
      </c>
      <c r="I94" s="9">
        <f>RSQ(H59:H92,C59:C92)</f>
        <v>0.99397808142126887</v>
      </c>
      <c r="K94" s="11">
        <v>90</v>
      </c>
      <c r="L94" s="31">
        <v>642.74222393817831</v>
      </c>
      <c r="M94" s="21">
        <f t="shared" si="11"/>
        <v>945.7763652588792</v>
      </c>
    </row>
    <row r="95" spans="2:13" s="21" customFormat="1" x14ac:dyDescent="0.2">
      <c r="K95" s="11">
        <v>75</v>
      </c>
      <c r="L95" s="31">
        <v>685.48102271047173</v>
      </c>
      <c r="M95" s="21">
        <f t="shared" si="11"/>
        <v>945.7763652588792</v>
      </c>
    </row>
    <row r="96" spans="2:13" s="21" customFormat="1" x14ac:dyDescent="0.2">
      <c r="K96" s="11">
        <v>60</v>
      </c>
      <c r="L96" s="31">
        <v>731.06171530168638</v>
      </c>
      <c r="M96" s="21">
        <f t="shared" si="11"/>
        <v>945.7763652588792</v>
      </c>
    </row>
    <row r="97" spans="2:13" s="21" customFormat="1" x14ac:dyDescent="0.2">
      <c r="K97" s="11">
        <v>45</v>
      </c>
      <c r="L97" s="31">
        <v>779.67327099445663</v>
      </c>
      <c r="M97" s="21">
        <f t="shared" si="11"/>
        <v>945.7763652588792</v>
      </c>
    </row>
    <row r="98" spans="2:13" s="21" customFormat="1" x14ac:dyDescent="0.2">
      <c r="K98" s="11">
        <v>30</v>
      </c>
      <c r="L98" s="31">
        <v>831.5172247718483</v>
      </c>
      <c r="M98" s="21">
        <f t="shared" si="11"/>
        <v>945.7763652588792</v>
      </c>
    </row>
    <row r="99" spans="2:13" s="21" customFormat="1" x14ac:dyDescent="0.2">
      <c r="K99" s="11">
        <v>15</v>
      </c>
      <c r="L99" s="31">
        <v>886.80851313956657</v>
      </c>
      <c r="M99" s="21">
        <f t="shared" si="11"/>
        <v>945.7763652588792</v>
      </c>
    </row>
    <row r="100" spans="2:13" s="21" customFormat="1" x14ac:dyDescent="0.2">
      <c r="K100" s="11">
        <v>0</v>
      </c>
      <c r="L100" s="31">
        <v>945.77643501487148</v>
      </c>
      <c r="M100" s="21">
        <f t="shared" si="11"/>
        <v>945.7763652588792</v>
      </c>
    </row>
    <row r="101" spans="2:13" s="21" customFormat="1" x14ac:dyDescent="0.2"/>
    <row r="102" spans="2:13" s="21" customFormat="1" x14ac:dyDescent="0.2"/>
    <row r="103" spans="2:13" s="21" customFormat="1" x14ac:dyDescent="0.2"/>
    <row r="104" spans="2:13" s="21" customFormat="1" x14ac:dyDescent="0.2"/>
    <row r="105" spans="2:13" s="21" customFormat="1" x14ac:dyDescent="0.2">
      <c r="B105" s="23"/>
      <c r="C105" s="23"/>
    </row>
    <row r="106" spans="2:13" s="21" customFormat="1" x14ac:dyDescent="0.2">
      <c r="B106" s="23"/>
    </row>
    <row r="107" spans="2:13" s="21" customFormat="1" x14ac:dyDescent="0.2"/>
    <row r="108" spans="2:13" s="21" customFormat="1" x14ac:dyDescent="0.2"/>
    <row r="109" spans="2:13" s="21" customFormat="1" x14ac:dyDescent="0.2">
      <c r="B109" s="24"/>
      <c r="C109" s="27"/>
      <c r="D109" s="23"/>
      <c r="E109" s="23"/>
    </row>
    <row r="110" spans="2:13" s="21" customFormat="1" x14ac:dyDescent="0.2">
      <c r="B110" s="24"/>
      <c r="C110" s="27"/>
      <c r="D110" s="23"/>
      <c r="E110" s="23"/>
    </row>
    <row r="111" spans="2:13" s="21" customFormat="1" x14ac:dyDescent="0.2">
      <c r="B111" s="24"/>
      <c r="C111" s="27"/>
      <c r="D111" s="23"/>
      <c r="E111" s="23"/>
    </row>
    <row r="112" spans="2:13" s="21" customFormat="1" x14ac:dyDescent="0.2">
      <c r="B112" s="24"/>
      <c r="C112" s="27"/>
      <c r="D112" s="23"/>
      <c r="E112" s="23"/>
    </row>
    <row r="113" spans="2:10" s="21" customFormat="1" x14ac:dyDescent="0.2">
      <c r="B113" s="24"/>
      <c r="C113" s="27"/>
      <c r="D113" s="23"/>
      <c r="E113" s="23"/>
    </row>
    <row r="114" spans="2:10" s="21" customFormat="1" x14ac:dyDescent="0.2">
      <c r="B114" s="24"/>
      <c r="C114" s="27"/>
      <c r="D114" s="23"/>
      <c r="E114" s="23"/>
    </row>
    <row r="115" spans="2:10" s="21" customFormat="1" x14ac:dyDescent="0.2">
      <c r="B115" s="24"/>
      <c r="C115" s="27"/>
      <c r="D115" s="23"/>
      <c r="E115" s="23"/>
    </row>
    <row r="116" spans="2:10" s="21" customFormat="1" x14ac:dyDescent="0.2">
      <c r="B116" s="24"/>
      <c r="C116" s="27"/>
      <c r="D116" s="23"/>
      <c r="E116" s="23"/>
      <c r="J116" s="25"/>
    </row>
    <row r="117" spans="2:10" s="21" customFormat="1" x14ac:dyDescent="0.2">
      <c r="B117" s="24"/>
      <c r="C117" s="27"/>
      <c r="D117" s="23"/>
      <c r="E117" s="23"/>
      <c r="J117" s="22"/>
    </row>
    <row r="118" spans="2:10" s="21" customFormat="1" x14ac:dyDescent="0.2">
      <c r="B118" s="24"/>
      <c r="C118" s="27"/>
      <c r="D118" s="23"/>
      <c r="E118" s="23"/>
    </row>
    <row r="119" spans="2:10" s="21" customFormat="1" x14ac:dyDescent="0.2">
      <c r="B119" s="24"/>
      <c r="C119" s="27"/>
      <c r="D119" s="23"/>
      <c r="E119" s="23"/>
    </row>
    <row r="120" spans="2:10" s="21" customFormat="1" x14ac:dyDescent="0.2">
      <c r="B120" s="24"/>
      <c r="C120" s="27"/>
      <c r="D120" s="23"/>
      <c r="E120" s="23"/>
    </row>
    <row r="121" spans="2:10" s="21" customFormat="1" x14ac:dyDescent="0.2">
      <c r="B121" s="24"/>
      <c r="C121" s="27"/>
      <c r="D121" s="23"/>
      <c r="E121" s="23"/>
    </row>
    <row r="122" spans="2:10" s="21" customFormat="1" x14ac:dyDescent="0.2">
      <c r="B122" s="24"/>
      <c r="C122" s="27"/>
      <c r="D122" s="23"/>
      <c r="E122" s="23"/>
    </row>
    <row r="123" spans="2:10" s="21" customFormat="1" x14ac:dyDescent="0.2">
      <c r="B123" s="24"/>
      <c r="C123" s="27"/>
      <c r="D123" s="23"/>
      <c r="E123" s="23"/>
    </row>
    <row r="124" spans="2:10" s="21" customFormat="1" x14ac:dyDescent="0.2">
      <c r="B124" s="24"/>
      <c r="C124" s="27"/>
      <c r="D124" s="23"/>
      <c r="E124" s="23"/>
    </row>
    <row r="125" spans="2:10" s="21" customFormat="1" x14ac:dyDescent="0.2">
      <c r="B125" s="24"/>
      <c r="C125" s="27"/>
      <c r="D125" s="23"/>
      <c r="E125" s="23"/>
    </row>
    <row r="126" spans="2:10" s="21" customFormat="1" x14ac:dyDescent="0.2">
      <c r="B126" s="24"/>
      <c r="C126" s="27"/>
      <c r="D126" s="23"/>
      <c r="E126" s="23"/>
    </row>
    <row r="127" spans="2:10" s="21" customFormat="1" x14ac:dyDescent="0.2">
      <c r="B127" s="24"/>
      <c r="C127" s="27"/>
      <c r="D127" s="23"/>
      <c r="E127" s="23"/>
    </row>
    <row r="128" spans="2:10" s="21" customFormat="1" x14ac:dyDescent="0.2">
      <c r="B128" s="24"/>
      <c r="C128" s="27"/>
      <c r="D128" s="23"/>
      <c r="E128" s="23"/>
    </row>
    <row r="129" spans="2:5" s="21" customFormat="1" x14ac:dyDescent="0.2">
      <c r="B129" s="24"/>
      <c r="C129" s="27"/>
      <c r="D129" s="23"/>
      <c r="E129" s="23"/>
    </row>
    <row r="130" spans="2:5" s="21" customFormat="1" x14ac:dyDescent="0.2">
      <c r="B130" s="24"/>
      <c r="C130" s="27"/>
      <c r="D130" s="23"/>
      <c r="E130" s="23"/>
    </row>
    <row r="131" spans="2:5" s="21" customFormat="1" x14ac:dyDescent="0.2">
      <c r="B131" s="24"/>
      <c r="C131" s="27"/>
      <c r="D131" s="23"/>
      <c r="E131" s="23"/>
    </row>
    <row r="132" spans="2:5" s="21" customFormat="1" x14ac:dyDescent="0.2">
      <c r="B132" s="24"/>
      <c r="C132" s="27"/>
      <c r="D132" s="23"/>
      <c r="E132" s="23"/>
    </row>
    <row r="133" spans="2:5" s="21" customFormat="1" x14ac:dyDescent="0.2">
      <c r="B133" s="24"/>
      <c r="C133" s="27"/>
      <c r="D133" s="23"/>
      <c r="E133" s="23"/>
    </row>
    <row r="134" spans="2:5" s="21" customFormat="1" x14ac:dyDescent="0.2">
      <c r="B134" s="24"/>
      <c r="C134" s="27"/>
      <c r="D134" s="23"/>
      <c r="E134" s="23"/>
    </row>
    <row r="135" spans="2:5" s="21" customFormat="1" x14ac:dyDescent="0.2">
      <c r="B135" s="24"/>
      <c r="C135" s="27"/>
      <c r="D135" s="23"/>
      <c r="E135" s="23"/>
    </row>
    <row r="136" spans="2:5" s="21" customFormat="1" x14ac:dyDescent="0.2">
      <c r="B136" s="24"/>
      <c r="C136" s="27"/>
      <c r="D136" s="23"/>
      <c r="E136" s="23"/>
    </row>
    <row r="137" spans="2:5" s="21" customFormat="1" x14ac:dyDescent="0.2">
      <c r="B137" s="24"/>
      <c r="C137" s="27"/>
      <c r="D137" s="23"/>
      <c r="E137" s="23"/>
    </row>
    <row r="138" spans="2:5" s="21" customFormat="1" x14ac:dyDescent="0.2">
      <c r="B138" s="24"/>
      <c r="C138" s="27"/>
      <c r="D138" s="23"/>
      <c r="E138" s="23"/>
    </row>
    <row r="139" spans="2:5" s="21" customFormat="1" x14ac:dyDescent="0.2">
      <c r="B139" s="24"/>
      <c r="C139" s="27"/>
      <c r="D139" s="23"/>
      <c r="E139" s="23"/>
    </row>
    <row r="140" spans="2:5" s="21" customFormat="1" x14ac:dyDescent="0.2">
      <c r="B140" s="24"/>
      <c r="C140" s="27"/>
      <c r="D140" s="23"/>
      <c r="E140" s="23"/>
    </row>
    <row r="141" spans="2:5" s="21" customFormat="1" x14ac:dyDescent="0.2">
      <c r="B141" s="24"/>
      <c r="C141" s="27"/>
      <c r="D141" s="23"/>
      <c r="E141" s="23"/>
    </row>
    <row r="142" spans="2:5" s="21" customFormat="1" x14ac:dyDescent="0.2">
      <c r="B142" s="24"/>
      <c r="C142" s="27"/>
      <c r="D142" s="23"/>
      <c r="E142" s="23"/>
    </row>
    <row r="143" spans="2:5" s="21" customFormat="1" x14ac:dyDescent="0.2">
      <c r="B143" s="24"/>
      <c r="C143" s="27"/>
      <c r="D143" s="23"/>
      <c r="E143" s="23"/>
    </row>
    <row r="144" spans="2:5" s="21" customFormat="1" x14ac:dyDescent="0.2">
      <c r="B144" s="24"/>
      <c r="C144" s="27"/>
      <c r="D144" s="23"/>
      <c r="E144" s="23"/>
    </row>
    <row r="145" spans="2:10" s="21" customFormat="1" x14ac:dyDescent="0.2"/>
    <row r="146" spans="2:10" s="21" customFormat="1" x14ac:dyDescent="0.2"/>
    <row r="147" spans="2:10" s="21" customFormat="1" x14ac:dyDescent="0.2">
      <c r="B147" s="23"/>
      <c r="C147" s="23"/>
      <c r="F147" s="26"/>
    </row>
    <row r="148" spans="2:10" s="21" customFormat="1" x14ac:dyDescent="0.2">
      <c r="B148" s="23"/>
      <c r="C148" s="23"/>
    </row>
    <row r="149" spans="2:10" s="21" customFormat="1" x14ac:dyDescent="0.2">
      <c r="B149" s="23"/>
    </row>
    <row r="150" spans="2:10" s="21" customFormat="1" x14ac:dyDescent="0.2">
      <c r="B150" s="23"/>
      <c r="C150" s="23"/>
    </row>
    <row r="151" spans="2:10" s="21" customFormat="1" x14ac:dyDescent="0.2"/>
    <row r="152" spans="2:10" s="21" customFormat="1" x14ac:dyDescent="0.2"/>
    <row r="153" spans="2:10" s="21" customFormat="1" x14ac:dyDescent="0.2">
      <c r="B153" s="24"/>
      <c r="C153" s="27"/>
      <c r="D153" s="23"/>
      <c r="E153" s="23"/>
    </row>
    <row r="154" spans="2:10" s="21" customFormat="1" x14ac:dyDescent="0.2">
      <c r="B154" s="24"/>
      <c r="C154" s="27"/>
      <c r="D154" s="23"/>
      <c r="E154" s="23"/>
    </row>
    <row r="155" spans="2:10" s="21" customFormat="1" x14ac:dyDescent="0.2">
      <c r="B155" s="24"/>
      <c r="C155" s="27"/>
      <c r="D155" s="23"/>
      <c r="E155" s="23"/>
    </row>
    <row r="156" spans="2:10" s="21" customFormat="1" x14ac:dyDescent="0.2">
      <c r="B156" s="24"/>
      <c r="C156" s="27"/>
      <c r="D156" s="23"/>
      <c r="E156" s="23"/>
    </row>
    <row r="157" spans="2:10" s="21" customFormat="1" x14ac:dyDescent="0.2">
      <c r="B157" s="24"/>
      <c r="C157" s="27"/>
      <c r="D157" s="23"/>
      <c r="E157" s="23"/>
    </row>
    <row r="158" spans="2:10" s="21" customFormat="1" x14ac:dyDescent="0.2">
      <c r="B158" s="24"/>
      <c r="C158" s="27"/>
      <c r="D158" s="23"/>
      <c r="E158" s="23"/>
    </row>
    <row r="159" spans="2:10" s="21" customFormat="1" x14ac:dyDescent="0.2">
      <c r="B159" s="24"/>
      <c r="C159" s="27"/>
      <c r="D159" s="23"/>
      <c r="E159" s="23"/>
    </row>
    <row r="160" spans="2:10" s="21" customFormat="1" x14ac:dyDescent="0.2">
      <c r="B160" s="24"/>
      <c r="C160" s="27"/>
      <c r="D160" s="23"/>
      <c r="E160" s="23"/>
      <c r="J160" s="28"/>
    </row>
    <row r="161" spans="2:10" s="21" customFormat="1" x14ac:dyDescent="0.2">
      <c r="B161" s="24"/>
      <c r="C161" s="27"/>
      <c r="D161" s="23"/>
      <c r="E161" s="23"/>
      <c r="J161" s="22"/>
    </row>
    <row r="162" spans="2:10" s="21" customFormat="1" x14ac:dyDescent="0.2">
      <c r="B162" s="24"/>
      <c r="C162" s="27"/>
      <c r="D162" s="23"/>
      <c r="E162" s="23"/>
    </row>
    <row r="163" spans="2:10" s="21" customFormat="1" x14ac:dyDescent="0.2">
      <c r="B163" s="24"/>
      <c r="C163" s="27"/>
      <c r="D163" s="23"/>
      <c r="E163" s="23"/>
    </row>
    <row r="164" spans="2:10" s="21" customFormat="1" x14ac:dyDescent="0.2">
      <c r="B164" s="24"/>
      <c r="C164" s="27"/>
      <c r="D164" s="23"/>
      <c r="E164" s="23"/>
    </row>
    <row r="165" spans="2:10" s="21" customFormat="1" x14ac:dyDescent="0.2">
      <c r="B165" s="24"/>
      <c r="C165" s="27"/>
      <c r="D165" s="23"/>
      <c r="E165" s="23"/>
    </row>
    <row r="166" spans="2:10" s="21" customFormat="1" x14ac:dyDescent="0.2">
      <c r="B166" s="24"/>
      <c r="C166" s="27"/>
      <c r="D166" s="23"/>
      <c r="E166" s="23"/>
    </row>
    <row r="167" spans="2:10" s="21" customFormat="1" x14ac:dyDescent="0.2">
      <c r="B167" s="24"/>
      <c r="C167" s="27"/>
      <c r="D167" s="23"/>
      <c r="E167" s="23"/>
    </row>
    <row r="168" spans="2:10" s="21" customFormat="1" x14ac:dyDescent="0.2">
      <c r="B168" s="24"/>
      <c r="C168" s="27"/>
      <c r="D168" s="23"/>
      <c r="E168" s="23"/>
    </row>
    <row r="169" spans="2:10" s="21" customFormat="1" x14ac:dyDescent="0.2">
      <c r="B169" s="24"/>
      <c r="C169" s="27"/>
      <c r="D169" s="23"/>
      <c r="E169" s="23"/>
    </row>
    <row r="170" spans="2:10" s="21" customFormat="1" x14ac:dyDescent="0.2">
      <c r="B170" s="24"/>
      <c r="C170" s="27"/>
      <c r="D170" s="23"/>
      <c r="E170" s="23"/>
    </row>
    <row r="171" spans="2:10" s="21" customFormat="1" x14ac:dyDescent="0.2">
      <c r="B171" s="24"/>
      <c r="C171" s="27"/>
      <c r="D171" s="23"/>
      <c r="E171" s="23"/>
    </row>
    <row r="172" spans="2:10" s="21" customFormat="1" x14ac:dyDescent="0.2">
      <c r="B172" s="24"/>
      <c r="C172" s="27"/>
      <c r="D172" s="23"/>
      <c r="E172" s="23"/>
    </row>
    <row r="173" spans="2:10" s="21" customFormat="1" x14ac:dyDescent="0.2">
      <c r="B173" s="24"/>
      <c r="C173" s="27"/>
      <c r="D173" s="23"/>
      <c r="E173" s="23"/>
    </row>
    <row r="174" spans="2:10" s="21" customFormat="1" x14ac:dyDescent="0.2">
      <c r="B174" s="24"/>
      <c r="C174" s="27"/>
      <c r="D174" s="23"/>
      <c r="E174" s="23"/>
    </row>
    <row r="175" spans="2:10" x14ac:dyDescent="0.2">
      <c r="B175" s="24"/>
      <c r="C175" s="27"/>
      <c r="D175" s="23"/>
      <c r="E175" s="23"/>
      <c r="F175" s="21"/>
      <c r="G175" s="21"/>
      <c r="H175" s="21"/>
      <c r="I175" s="21"/>
    </row>
    <row r="176" spans="2:10" x14ac:dyDescent="0.2">
      <c r="B176" s="24"/>
      <c r="C176" s="27"/>
      <c r="D176" s="23"/>
      <c r="E176" s="23"/>
      <c r="F176" s="21"/>
      <c r="G176" s="21"/>
      <c r="H176" s="21"/>
      <c r="I176" s="21"/>
    </row>
    <row r="177" spans="2:9" x14ac:dyDescent="0.2">
      <c r="B177" s="24"/>
      <c r="C177" s="27"/>
      <c r="D177" s="23"/>
      <c r="E177" s="23"/>
      <c r="F177" s="21"/>
      <c r="G177" s="21"/>
      <c r="H177" s="21"/>
      <c r="I177" s="21"/>
    </row>
    <row r="178" spans="2:9" x14ac:dyDescent="0.2">
      <c r="B178" s="24"/>
      <c r="C178" s="27"/>
      <c r="D178" s="23"/>
      <c r="E178" s="23"/>
      <c r="F178" s="21"/>
      <c r="G178" s="21"/>
      <c r="H178" s="21"/>
      <c r="I178" s="21"/>
    </row>
    <row r="179" spans="2:9" x14ac:dyDescent="0.2">
      <c r="B179" s="24"/>
      <c r="C179" s="27"/>
      <c r="D179" s="23"/>
      <c r="E179" s="23"/>
      <c r="F179" s="21"/>
      <c r="G179" s="21"/>
      <c r="H179" s="21"/>
      <c r="I179" s="21"/>
    </row>
    <row r="180" spans="2:9" x14ac:dyDescent="0.2">
      <c r="B180" s="24"/>
      <c r="C180" s="27"/>
      <c r="D180" s="23"/>
      <c r="E180" s="23"/>
      <c r="F180" s="21"/>
      <c r="G180" s="21"/>
      <c r="H180" s="21"/>
      <c r="I180" s="21"/>
    </row>
    <row r="181" spans="2:9" x14ac:dyDescent="0.2">
      <c r="B181" s="24"/>
      <c r="C181" s="27"/>
      <c r="D181" s="23"/>
      <c r="E181" s="23"/>
      <c r="F181" s="21"/>
      <c r="G181" s="21"/>
      <c r="H181" s="21"/>
      <c r="I181" s="21"/>
    </row>
    <row r="182" spans="2:9" x14ac:dyDescent="0.2">
      <c r="B182" s="24"/>
      <c r="C182" s="27"/>
      <c r="D182" s="23"/>
      <c r="E182" s="23"/>
      <c r="F182" s="21"/>
      <c r="G182" s="21"/>
      <c r="H182" s="21"/>
      <c r="I182" s="21"/>
    </row>
    <row r="183" spans="2:9" x14ac:dyDescent="0.2">
      <c r="B183" s="24"/>
      <c r="C183" s="27"/>
      <c r="D183" s="23"/>
      <c r="E183" s="23"/>
      <c r="F183" s="21"/>
      <c r="G183" s="21"/>
      <c r="H183" s="21"/>
      <c r="I183" s="21"/>
    </row>
    <row r="184" spans="2:9" x14ac:dyDescent="0.2">
      <c r="B184" s="24"/>
      <c r="C184" s="27"/>
      <c r="D184" s="23"/>
      <c r="E184" s="23"/>
      <c r="F184" s="21"/>
      <c r="G184" s="21"/>
      <c r="H184" s="21"/>
      <c r="I184" s="21"/>
    </row>
    <row r="185" spans="2:9" x14ac:dyDescent="0.2">
      <c r="B185" s="24"/>
      <c r="C185" s="27"/>
      <c r="D185" s="23"/>
      <c r="E185" s="23"/>
      <c r="F185" s="21"/>
      <c r="G185" s="21"/>
      <c r="H185" s="21"/>
      <c r="I185" s="21"/>
    </row>
    <row r="186" spans="2:9" x14ac:dyDescent="0.2">
      <c r="B186" s="24"/>
      <c r="C186" s="27"/>
      <c r="D186" s="23"/>
      <c r="E186" s="23"/>
      <c r="F186" s="21"/>
      <c r="G186" s="21"/>
      <c r="H186" s="21"/>
      <c r="I186" s="21"/>
    </row>
    <row r="187" spans="2:9" x14ac:dyDescent="0.2">
      <c r="B187" s="24"/>
      <c r="C187" s="27"/>
      <c r="D187" s="23"/>
      <c r="E187" s="23"/>
      <c r="F187" s="21"/>
      <c r="G187" s="21"/>
      <c r="H187" s="21"/>
      <c r="I187" s="21"/>
    </row>
    <row r="188" spans="2:9" x14ac:dyDescent="0.2">
      <c r="B188" s="24"/>
      <c r="C188" s="27"/>
      <c r="D188" s="23"/>
      <c r="E188" s="23"/>
      <c r="F188" s="21"/>
      <c r="G188" s="21"/>
      <c r="H188" s="21"/>
      <c r="I188" s="21"/>
    </row>
    <row r="189" spans="2:9" x14ac:dyDescent="0.2">
      <c r="B189" s="21"/>
      <c r="C189" s="21"/>
      <c r="D189" s="21"/>
      <c r="E189" s="21"/>
      <c r="F189" s="21"/>
      <c r="G189" s="21"/>
      <c r="H189" s="21"/>
      <c r="I189" s="21"/>
    </row>
    <row r="190" spans="2:9" x14ac:dyDescent="0.2">
      <c r="B190" s="21"/>
      <c r="C190" s="21"/>
      <c r="D190" s="21"/>
      <c r="E190" s="21"/>
      <c r="F190" s="21"/>
      <c r="G190" s="21"/>
      <c r="H190" s="21"/>
      <c r="I190" s="21"/>
    </row>
    <row r="191" spans="2:9" x14ac:dyDescent="0.2">
      <c r="B191" s="23"/>
      <c r="C191" s="23"/>
      <c r="D191" s="21"/>
      <c r="E191" s="21"/>
      <c r="F191" s="26"/>
      <c r="G191" s="21"/>
      <c r="H191" s="21"/>
      <c r="I191" s="21"/>
    </row>
    <row r="192" spans="2:9" x14ac:dyDescent="0.2">
      <c r="B192" s="23"/>
      <c r="C192" s="23"/>
      <c r="D192" s="21"/>
      <c r="E192" s="21"/>
      <c r="F192" s="21"/>
      <c r="G192" s="21"/>
      <c r="H192" s="21"/>
      <c r="I192" s="21"/>
    </row>
    <row r="193" spans="2:9" x14ac:dyDescent="0.2">
      <c r="B193" s="23"/>
      <c r="C193" s="21"/>
      <c r="D193" s="21"/>
      <c r="E193" s="21"/>
      <c r="F193" s="21"/>
      <c r="G193" s="21"/>
      <c r="H193" s="21"/>
      <c r="I193" s="21"/>
    </row>
    <row r="194" spans="2:9" x14ac:dyDescent="0.2">
      <c r="B194" s="23"/>
      <c r="C194" s="23"/>
      <c r="D194" s="21"/>
      <c r="E194" s="21"/>
      <c r="F194" s="21"/>
      <c r="G194" s="21"/>
      <c r="H194" s="21"/>
      <c r="I194" s="21"/>
    </row>
    <row r="195" spans="2:9" x14ac:dyDescent="0.2">
      <c r="B195" s="3"/>
      <c r="C195" s="3"/>
    </row>
    <row r="196" spans="2:9" x14ac:dyDescent="0.2">
      <c r="B196" s="3"/>
      <c r="C196" s="3"/>
    </row>
  </sheetData>
  <sortState xmlns:xlrd2="http://schemas.microsoft.com/office/spreadsheetml/2017/richdata2" ref="AI37:AI69">
    <sortCondition ref="AI37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2:AI189"/>
  <sheetViews>
    <sheetView topLeftCell="A23" zoomScale="80" zoomScaleNormal="80" workbookViewId="0">
      <selection activeCell="F50" sqref="F50:G50"/>
    </sheetView>
  </sheetViews>
  <sheetFormatPr baseColWidth="10" defaultColWidth="11.5" defaultRowHeight="16" x14ac:dyDescent="0.2"/>
  <cols>
    <col min="1" max="2" width="11.5" style="1"/>
    <col min="3" max="3" width="12.83203125" style="1" bestFit="1" customWidth="1"/>
    <col min="4" max="4" width="11.5" style="1"/>
    <col min="5" max="5" width="12.83203125" style="1" bestFit="1" customWidth="1"/>
    <col min="6" max="6" width="11.5" style="1"/>
    <col min="7" max="7" width="12.5" style="1" bestFit="1" customWidth="1"/>
    <col min="8" max="8" width="14.6640625" style="1" customWidth="1"/>
    <col min="9" max="9" width="11.5" style="1"/>
    <col min="10" max="10" width="12.6640625" style="1" bestFit="1" customWidth="1"/>
    <col min="11" max="16384" width="11.5" style="1"/>
  </cols>
  <sheetData>
    <row r="2" spans="1:35" ht="21" x14ac:dyDescent="0.25">
      <c r="B2" s="36" t="s">
        <v>17</v>
      </c>
    </row>
    <row r="3" spans="1:35" x14ac:dyDescent="0.2">
      <c r="N3" s="51" t="s">
        <v>8</v>
      </c>
      <c r="O3" s="51" t="s">
        <v>33</v>
      </c>
      <c r="P3" s="51" t="s">
        <v>35</v>
      </c>
      <c r="Q3" s="51" t="s">
        <v>36</v>
      </c>
      <c r="R3" s="51" t="s">
        <v>37</v>
      </c>
    </row>
    <row r="4" spans="1:35" x14ac:dyDescent="0.2">
      <c r="B4" s="10"/>
      <c r="D4" s="3"/>
      <c r="E4" s="3"/>
      <c r="G4" s="1" t="s">
        <v>18</v>
      </c>
      <c r="I4" s="33"/>
      <c r="J4" s="15"/>
      <c r="K4" s="21"/>
      <c r="L4" s="34"/>
      <c r="M4" s="21"/>
      <c r="N4" s="52" t="s">
        <v>9</v>
      </c>
      <c r="O4" s="51" t="s">
        <v>34</v>
      </c>
    </row>
    <row r="5" spans="1:35" x14ac:dyDescent="0.2">
      <c r="B5" s="10"/>
      <c r="D5" s="3"/>
      <c r="E5" s="3"/>
      <c r="I5" s="33"/>
      <c r="J5" s="15"/>
      <c r="K5" s="21"/>
      <c r="L5" s="34"/>
      <c r="M5" s="21"/>
      <c r="N5" s="21"/>
    </row>
    <row r="6" spans="1:35" x14ac:dyDescent="0.2">
      <c r="B6" s="10"/>
      <c r="D6" s="3"/>
      <c r="E6" s="3"/>
      <c r="I6" s="33"/>
      <c r="J6" s="15"/>
      <c r="K6" s="21"/>
      <c r="L6" s="34"/>
      <c r="M6" s="12"/>
      <c r="N6" s="21"/>
    </row>
    <row r="7" spans="1:35" x14ac:dyDescent="0.2">
      <c r="B7" s="10"/>
      <c r="C7" s="2" t="s">
        <v>2</v>
      </c>
      <c r="D7" s="1" t="s">
        <v>3</v>
      </c>
      <c r="E7" s="3"/>
      <c r="I7" s="33"/>
      <c r="J7" s="15"/>
      <c r="K7" s="21"/>
      <c r="L7" s="34"/>
      <c r="M7" s="12"/>
      <c r="N7" s="21"/>
    </row>
    <row r="8" spans="1:35" x14ac:dyDescent="0.2">
      <c r="B8" s="10"/>
      <c r="D8" s="3"/>
      <c r="E8" s="3"/>
      <c r="I8" s="96" t="s">
        <v>71</v>
      </c>
      <c r="J8" s="96" t="s">
        <v>72</v>
      </c>
      <c r="K8" s="21"/>
      <c r="L8" s="34"/>
      <c r="M8" s="12"/>
      <c r="N8" s="1" t="s">
        <v>19</v>
      </c>
    </row>
    <row r="9" spans="1:35" ht="17" x14ac:dyDescent="0.2">
      <c r="B9" s="10"/>
      <c r="C9" s="1" t="s">
        <v>6</v>
      </c>
      <c r="D9" s="3" t="s">
        <v>11</v>
      </c>
      <c r="E9" s="30" t="s">
        <v>12</v>
      </c>
      <c r="G9" s="1" t="s">
        <v>16</v>
      </c>
      <c r="I9" s="43" t="s">
        <v>32</v>
      </c>
      <c r="J9" s="43" t="s">
        <v>32</v>
      </c>
      <c r="M9" s="12"/>
      <c r="U9" s="47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</row>
    <row r="10" spans="1:35" x14ac:dyDescent="0.2">
      <c r="B10" s="10"/>
      <c r="D10" s="3"/>
      <c r="E10" s="30"/>
      <c r="I10" s="43"/>
      <c r="J10" s="15"/>
      <c r="M10" s="79" t="s">
        <v>73</v>
      </c>
      <c r="N10" s="21"/>
      <c r="U10" s="47"/>
      <c r="V10" s="49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</row>
    <row r="11" spans="1:35" x14ac:dyDescent="0.2">
      <c r="B11" s="53"/>
      <c r="C11" s="63"/>
      <c r="F11" s="3"/>
      <c r="I11" s="39"/>
      <c r="J11" s="15"/>
      <c r="M11" s="21"/>
      <c r="N11" s="21"/>
      <c r="U11" s="47"/>
      <c r="V11" s="47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</row>
    <row r="12" spans="1:35" x14ac:dyDescent="0.2">
      <c r="A12" s="21"/>
      <c r="B12" s="53">
        <v>428.82267040157706</v>
      </c>
      <c r="C12" s="63">
        <v>3.6553937013712758</v>
      </c>
      <c r="D12" s="1">
        <f t="shared" ref="D12:D41" si="0">$C$42*(EXP(-$G$51*B12))</f>
        <v>0</v>
      </c>
      <c r="E12" s="1">
        <f>$G$50*B12</f>
        <v>0</v>
      </c>
      <c r="F12" s="3"/>
      <c r="G12" s="1">
        <f>(D12-C12)^2</f>
        <v>13.361903112024796</v>
      </c>
      <c r="I12" s="39">
        <f>'SDZ DATOS'!AG46</f>
        <v>110.06860414598228</v>
      </c>
      <c r="J12" s="39">
        <f>'SDZ DATOS'!AH46</f>
        <v>56.157451094888913</v>
      </c>
      <c r="L12" s="1">
        <f>-LN(C12/$C$42)</f>
        <v>5.5352546895482675</v>
      </c>
      <c r="M12" s="21"/>
      <c r="N12" s="21"/>
      <c r="U12" s="47"/>
      <c r="V12" s="47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</row>
    <row r="13" spans="1:35" x14ac:dyDescent="0.2">
      <c r="B13" s="53">
        <v>413.82267040157706</v>
      </c>
      <c r="C13" s="63">
        <v>4.9938046912303244</v>
      </c>
      <c r="D13" s="1">
        <f t="shared" si="0"/>
        <v>0</v>
      </c>
      <c r="E13" s="1">
        <f t="shared" ref="E12:E42" si="1">$G$50*B13</f>
        <v>0</v>
      </c>
      <c r="F13" s="3"/>
      <c r="G13" s="1">
        <f t="shared" ref="G13:G42" si="2">(D13-C13)^2</f>
        <v>24.938085294153996</v>
      </c>
      <c r="I13" s="39">
        <f>'SDZ DATOS'!AG47</f>
        <v>110.04508066492023</v>
      </c>
      <c r="J13" s="39">
        <f>'SDZ DATOS'!AH47</f>
        <v>56.145449318836867</v>
      </c>
      <c r="L13" s="1">
        <f t="shared" ref="L13:L42" si="3">-LN(C13/$C$42)</f>
        <v>5.2232604103740687</v>
      </c>
      <c r="M13" s="21"/>
      <c r="N13" s="21"/>
      <c r="U13" s="47"/>
      <c r="V13" s="47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50"/>
      <c r="AH13" s="48">
        <f>1/29.356</f>
        <v>3.406458645592042E-2</v>
      </c>
      <c r="AI13" s="48"/>
    </row>
    <row r="14" spans="1:35" x14ac:dyDescent="0.2">
      <c r="B14" s="53">
        <v>398.82267040157706</v>
      </c>
      <c r="C14" s="63">
        <v>6.0856774222453005</v>
      </c>
      <c r="D14" s="1">
        <f t="shared" si="0"/>
        <v>0</v>
      </c>
      <c r="E14" s="1">
        <f t="shared" si="1"/>
        <v>0</v>
      </c>
      <c r="F14" s="3"/>
      <c r="G14" s="1">
        <f t="shared" si="2"/>
        <v>37.035469687626204</v>
      </c>
      <c r="I14" s="39">
        <f>'SDZ DATOS'!AG48</f>
        <v>110.10400224923131</v>
      </c>
      <c r="J14" s="39">
        <f>'SDZ DATOS'!AH48</f>
        <v>56.175511351648623</v>
      </c>
      <c r="L14" s="1">
        <f t="shared" si="3"/>
        <v>5.0255204459583966</v>
      </c>
      <c r="N14" s="12"/>
      <c r="U14" s="47"/>
      <c r="V14" s="47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50"/>
      <c r="AH14" s="48">
        <f>AH13*0.1329</f>
        <v>4.5271835399918236E-3</v>
      </c>
      <c r="AI14" s="48"/>
    </row>
    <row r="15" spans="1:35" x14ac:dyDescent="0.2">
      <c r="B15" s="53">
        <v>383.82267040157706</v>
      </c>
      <c r="C15" s="63">
        <v>10.400450128517434</v>
      </c>
      <c r="D15" s="1">
        <f t="shared" si="0"/>
        <v>0</v>
      </c>
      <c r="E15" s="1">
        <f t="shared" si="1"/>
        <v>0</v>
      </c>
      <c r="F15" s="3"/>
      <c r="G15" s="1">
        <f t="shared" si="2"/>
        <v>108.16936287577832</v>
      </c>
      <c r="I15" s="39">
        <f>'SDZ DATOS'!AG49</f>
        <v>110.03771258459594</v>
      </c>
      <c r="J15" s="39">
        <f>'SDZ DATOS'!AH49</f>
        <v>56.141690094181598</v>
      </c>
      <c r="L15" s="1">
        <f t="shared" si="3"/>
        <v>4.4896094059836082</v>
      </c>
      <c r="M15" s="17"/>
      <c r="N15" s="12"/>
      <c r="U15" s="47"/>
      <c r="V15" s="47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</row>
    <row r="16" spans="1:35" x14ac:dyDescent="0.2">
      <c r="B16" s="53">
        <v>368.82267040157706</v>
      </c>
      <c r="C16" s="63">
        <v>12.664621971607227</v>
      </c>
      <c r="D16" s="1">
        <f t="shared" si="0"/>
        <v>0</v>
      </c>
      <c r="E16" s="1">
        <f t="shared" si="1"/>
        <v>0</v>
      </c>
      <c r="F16" s="3"/>
      <c r="G16" s="1">
        <f t="shared" si="2"/>
        <v>160.39264968371651</v>
      </c>
      <c r="I16" s="39">
        <f>'SDZ DATOS'!AG50</f>
        <v>110.17324021188597</v>
      </c>
      <c r="J16" s="39">
        <f>'SDZ DATOS'!AH50</f>
        <v>56.210836842798976</v>
      </c>
      <c r="L16" s="1">
        <f t="shared" si="3"/>
        <v>4.2926460580485619</v>
      </c>
      <c r="M16" s="35"/>
      <c r="N16" s="21"/>
      <c r="U16" s="47"/>
      <c r="V16" s="47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</row>
    <row r="17" spans="2:35" x14ac:dyDescent="0.2">
      <c r="B17" s="53">
        <v>353.82267040157706</v>
      </c>
      <c r="C17" s="63">
        <v>13.612508938155267</v>
      </c>
      <c r="D17" s="1">
        <f t="shared" si="0"/>
        <v>0</v>
      </c>
      <c r="E17" s="1">
        <f t="shared" si="1"/>
        <v>0</v>
      </c>
      <c r="F17" s="3"/>
      <c r="G17" s="1">
        <f t="shared" si="2"/>
        <v>185.30039959135703</v>
      </c>
      <c r="I17" s="39">
        <f>'SDZ DATOS'!AG51</f>
        <v>110.20964220265606</v>
      </c>
      <c r="J17" s="39">
        <f>'SDZ DATOS'!AH51</f>
        <v>56.229409287069416</v>
      </c>
      <c r="L17" s="1">
        <f t="shared" si="3"/>
        <v>4.2204693479098729</v>
      </c>
      <c r="M17" s="21"/>
      <c r="N17" s="21"/>
      <c r="U17" s="47"/>
      <c r="V17" s="47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</row>
    <row r="18" spans="2:35" x14ac:dyDescent="0.2">
      <c r="B18" s="53">
        <v>348.64621397751932</v>
      </c>
      <c r="C18" s="64">
        <v>16.673959440263229</v>
      </c>
      <c r="D18" s="1">
        <f t="shared" si="0"/>
        <v>0</v>
      </c>
      <c r="E18" s="1">
        <f t="shared" si="1"/>
        <v>0</v>
      </c>
      <c r="F18" s="3"/>
      <c r="G18" s="1">
        <f t="shared" si="2"/>
        <v>278.02092341554322</v>
      </c>
      <c r="I18" s="39">
        <f>'SDZ DATOS'!AG31</f>
        <v>110.04756432149449</v>
      </c>
      <c r="J18" s="39">
        <f>'SDZ DATOS'!AH31</f>
        <v>56.146716490558418</v>
      </c>
      <c r="L18" s="1">
        <f t="shared" si="3"/>
        <v>4.0176103053109662</v>
      </c>
      <c r="M18" s="21"/>
      <c r="N18" s="21"/>
      <c r="U18" s="47"/>
      <c r="V18" s="47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</row>
    <row r="19" spans="2:35" x14ac:dyDescent="0.2">
      <c r="B19" s="53">
        <v>338.82267040157706</v>
      </c>
      <c r="C19" s="63">
        <v>18.273396483282102</v>
      </c>
      <c r="D19" s="1">
        <f t="shared" si="0"/>
        <v>0</v>
      </c>
      <c r="E19" s="1">
        <f t="shared" si="1"/>
        <v>0</v>
      </c>
      <c r="F19" s="3"/>
      <c r="G19" s="1">
        <f t="shared" si="2"/>
        <v>333.9170190352267</v>
      </c>
      <c r="I19" s="39">
        <f>'SDZ DATOS'!AG52</f>
        <v>110.0804953904498</v>
      </c>
      <c r="J19" s="39">
        <f>'SDZ DATOS'!AH52</f>
        <v>56.16351805635194</v>
      </c>
      <c r="L19" s="1">
        <f t="shared" si="3"/>
        <v>3.9260122347292477</v>
      </c>
      <c r="M19" s="27"/>
      <c r="N19" s="21"/>
      <c r="U19" s="47"/>
      <c r="V19" s="47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</row>
    <row r="20" spans="2:35" x14ac:dyDescent="0.2">
      <c r="B20" s="53">
        <v>318.64621397751932</v>
      </c>
      <c r="C20" s="64">
        <v>21.558460732452357</v>
      </c>
      <c r="D20" s="1">
        <f t="shared" si="0"/>
        <v>0</v>
      </c>
      <c r="E20" s="1">
        <f t="shared" si="1"/>
        <v>0</v>
      </c>
      <c r="F20" s="3"/>
      <c r="G20" s="1">
        <f t="shared" si="2"/>
        <v>464.76722915269022</v>
      </c>
      <c r="I20" s="39">
        <f>'SDZ DATOS'!AG32</f>
        <v>111.43202687915016</v>
      </c>
      <c r="J20" s="39">
        <f>'SDZ DATOS'!AH32</f>
        <v>56.853074938341919</v>
      </c>
      <c r="L20" s="1">
        <f t="shared" si="3"/>
        <v>3.7606901438891334</v>
      </c>
      <c r="M20" s="21"/>
      <c r="N20" s="21"/>
      <c r="U20" s="47"/>
      <c r="V20" s="47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</row>
    <row r="21" spans="2:35" x14ac:dyDescent="0.2">
      <c r="B21" s="53">
        <v>288.64621397751932</v>
      </c>
      <c r="C21" s="64">
        <v>23.302614519353597</v>
      </c>
      <c r="D21" s="1">
        <f t="shared" si="0"/>
        <v>0</v>
      </c>
      <c r="E21" s="1">
        <f t="shared" si="1"/>
        <v>0</v>
      </c>
      <c r="F21" s="3"/>
      <c r="G21" s="1">
        <f t="shared" si="2"/>
        <v>543.01184343758905</v>
      </c>
      <c r="I21" s="39">
        <f>'SDZ DATOS'!AG33</f>
        <v>110.68510653015075</v>
      </c>
      <c r="J21" s="39">
        <f>'SDZ DATOS'!AH33</f>
        <v>56.471993127627925</v>
      </c>
      <c r="L21" s="1">
        <f t="shared" si="3"/>
        <v>3.6828929273750171</v>
      </c>
      <c r="M21" s="18"/>
      <c r="N21" s="12"/>
      <c r="U21" s="47"/>
      <c r="V21" s="47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</row>
    <row r="22" spans="2:35" x14ac:dyDescent="0.2">
      <c r="B22" s="53">
        <v>273.64621397751932</v>
      </c>
      <c r="C22" s="64">
        <v>22.898399671000934</v>
      </c>
      <c r="D22" s="1">
        <f t="shared" si="0"/>
        <v>0</v>
      </c>
      <c r="E22" s="1">
        <f t="shared" si="1"/>
        <v>0</v>
      </c>
      <c r="F22" s="3"/>
      <c r="G22" s="1">
        <f t="shared" si="2"/>
        <v>524.3367074928957</v>
      </c>
      <c r="I22" s="39">
        <f>'SDZ DATOS'!AG34</f>
        <v>110.13390827765363</v>
      </c>
      <c r="J22" s="39">
        <f>'SDZ DATOS'!AH34</f>
        <v>56.190769529415128</v>
      </c>
      <c r="L22" s="1">
        <f t="shared" si="3"/>
        <v>3.7003914680266963</v>
      </c>
      <c r="M22" s="18"/>
      <c r="N22" s="12"/>
      <c r="U22" s="47"/>
      <c r="V22" s="47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</row>
    <row r="23" spans="2:35" x14ac:dyDescent="0.2">
      <c r="B23" s="53">
        <v>258.64621397751932</v>
      </c>
      <c r="C23" s="64">
        <v>32.718271820536387</v>
      </c>
      <c r="D23" s="1">
        <f t="shared" si="0"/>
        <v>0</v>
      </c>
      <c r="E23" s="1">
        <f t="shared" si="1"/>
        <v>0</v>
      </c>
      <c r="F23" s="3"/>
      <c r="G23" s="1">
        <f t="shared" si="2"/>
        <v>1070.4853109225055</v>
      </c>
      <c r="I23" s="39">
        <f>'SDZ DATOS'!AG35</f>
        <v>110.03403029455508</v>
      </c>
      <c r="J23" s="39">
        <f>'SDZ DATOS'!AH35</f>
        <v>56.139811374773004</v>
      </c>
      <c r="L23" s="1">
        <f t="shared" si="3"/>
        <v>3.3435247996636326</v>
      </c>
      <c r="M23" s="21"/>
      <c r="N23" s="21"/>
      <c r="U23" s="47"/>
      <c r="V23" s="47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</row>
    <row r="24" spans="2:35" x14ac:dyDescent="0.2">
      <c r="B24" s="53">
        <v>243.64621397751935</v>
      </c>
      <c r="C24" s="64">
        <v>36.867525667390119</v>
      </c>
      <c r="D24" s="1">
        <f t="shared" si="0"/>
        <v>1.8616579211427589E-305</v>
      </c>
      <c r="E24" s="1">
        <f t="shared" si="1"/>
        <v>0</v>
      </c>
      <c r="F24" s="3"/>
      <c r="G24" s="1">
        <f t="shared" si="2"/>
        <v>1359.2144488356691</v>
      </c>
      <c r="I24" s="39">
        <f>'SDZ DATOS'!AG36</f>
        <v>110.12615299673752</v>
      </c>
      <c r="J24" s="39">
        <f>'SDZ DATOS'!AH36</f>
        <v>56.186812753437501</v>
      </c>
      <c r="L24" s="1">
        <f t="shared" si="3"/>
        <v>3.2241273924333949</v>
      </c>
      <c r="M24" s="21"/>
      <c r="N24" s="21"/>
      <c r="U24" s="47"/>
      <c r="V24" s="47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</row>
    <row r="25" spans="2:35" x14ac:dyDescent="0.2">
      <c r="B25" s="53">
        <v>228.64621397751935</v>
      </c>
      <c r="C25" s="64">
        <v>45.604097653113385</v>
      </c>
      <c r="D25" s="1">
        <f t="shared" si="0"/>
        <v>1.6336670466694277E-286</v>
      </c>
      <c r="E25" s="1">
        <f t="shared" si="1"/>
        <v>0</v>
      </c>
      <c r="F25" s="3"/>
      <c r="G25" s="1">
        <f t="shared" si="2"/>
        <v>2079.7337227547018</v>
      </c>
      <c r="I25" s="39">
        <f>'SDZ DATOS'!AG37</f>
        <v>111.13806842209664</v>
      </c>
      <c r="J25" s="39">
        <f>'SDZ DATOS'!AH37</f>
        <v>56.703096133722767</v>
      </c>
      <c r="L25" s="1">
        <f t="shared" si="3"/>
        <v>3.0114609194855402</v>
      </c>
      <c r="M25" s="21"/>
      <c r="N25" s="21"/>
      <c r="U25" s="47"/>
      <c r="V25" s="47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</row>
    <row r="26" spans="2:35" x14ac:dyDescent="0.2">
      <c r="B26" s="53">
        <v>213.64621397751935</v>
      </c>
      <c r="C26" s="64">
        <v>58.110053213563376</v>
      </c>
      <c r="D26" s="1">
        <f t="shared" si="0"/>
        <v>1.4335974343424778E-267</v>
      </c>
      <c r="E26" s="1">
        <f t="shared" si="1"/>
        <v>0</v>
      </c>
      <c r="F26" s="3"/>
      <c r="G26" s="1">
        <f t="shared" si="2"/>
        <v>3376.7782844831672</v>
      </c>
      <c r="I26" s="39">
        <f>'SDZ DATOS'!AG38</f>
        <v>110.76605619307138</v>
      </c>
      <c r="J26" s="39">
        <f>'SDZ DATOS'!AH38</f>
        <v>56.513293976056836</v>
      </c>
      <c r="L26" s="1">
        <f t="shared" si="3"/>
        <v>2.7691198109574495</v>
      </c>
      <c r="M26" s="27"/>
      <c r="N26" s="21"/>
      <c r="U26" s="47"/>
      <c r="V26" s="47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</row>
    <row r="27" spans="2:35" x14ac:dyDescent="0.2">
      <c r="B27" s="53">
        <v>198.64621397751935</v>
      </c>
      <c r="C27" s="64">
        <v>83.767981287684378</v>
      </c>
      <c r="D27" s="1">
        <f t="shared" si="0"/>
        <v>1.2580296627415775E-248</v>
      </c>
      <c r="E27" s="1">
        <f t="shared" si="1"/>
        <v>0</v>
      </c>
      <c r="F27" s="3"/>
      <c r="G27" s="1">
        <f t="shared" si="2"/>
        <v>7017.0746890138398</v>
      </c>
      <c r="I27" s="39">
        <f>'SDZ DATOS'!AG39</f>
        <v>110.05127022170561</v>
      </c>
      <c r="J27" s="39">
        <f>'SDZ DATOS'!AH39</f>
        <v>56.148607255972252</v>
      </c>
      <c r="L27" s="1">
        <f t="shared" si="3"/>
        <v>2.4034076431800173</v>
      </c>
      <c r="M27" s="21"/>
      <c r="N27" s="21"/>
      <c r="U27" s="47"/>
      <c r="V27" s="47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</row>
    <row r="28" spans="2:35" x14ac:dyDescent="0.2">
      <c r="B28" s="53">
        <v>186.30991099002722</v>
      </c>
      <c r="C28" s="65">
        <v>111.07909683243119</v>
      </c>
      <c r="D28" s="1">
        <f t="shared" si="0"/>
        <v>4.7754418228239671E-233</v>
      </c>
      <c r="E28" s="1">
        <f t="shared" si="1"/>
        <v>0</v>
      </c>
      <c r="F28" s="3"/>
      <c r="G28" s="1">
        <f t="shared" si="2"/>
        <v>12338.565753108625</v>
      </c>
      <c r="I28" s="39">
        <f>'SDZ DATOS'!AG20</f>
        <v>111.08795998344898</v>
      </c>
      <c r="J28" s="39">
        <f>'SDZ DATOS'!AH20</f>
        <v>56.677530603800506</v>
      </c>
      <c r="L28" s="1">
        <f t="shared" si="3"/>
        <v>2.1212159611617247</v>
      </c>
      <c r="M28" s="18"/>
      <c r="N28" s="13"/>
      <c r="U28" s="47"/>
      <c r="V28" s="47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</row>
    <row r="29" spans="2:35" x14ac:dyDescent="0.2">
      <c r="B29" s="53">
        <v>171.30991099002722</v>
      </c>
      <c r="C29" s="65">
        <v>144.28732247236289</v>
      </c>
      <c r="D29" s="1">
        <f t="shared" si="0"/>
        <v>4.1906098057185735E-214</v>
      </c>
      <c r="E29" s="1">
        <f t="shared" si="1"/>
        <v>0</v>
      </c>
      <c r="F29" s="3"/>
      <c r="G29" s="1">
        <f t="shared" si="2"/>
        <v>20818.831426243636</v>
      </c>
      <c r="I29" s="39">
        <f>'SDZ DATOS'!AG21</f>
        <v>112.67700782633889</v>
      </c>
      <c r="J29" s="39">
        <f>'SDZ DATOS'!AH21</f>
        <v>57.488269299152499</v>
      </c>
      <c r="L29" s="1">
        <f t="shared" si="3"/>
        <v>1.8596518862165925</v>
      </c>
      <c r="M29" s="18"/>
      <c r="N29" s="13"/>
      <c r="U29" s="47"/>
      <c r="V29" s="47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</row>
    <row r="30" spans="2:35" x14ac:dyDescent="0.2">
      <c r="B30" s="53">
        <v>156.30991099002722</v>
      </c>
      <c r="C30" s="65">
        <v>195.60044259441531</v>
      </c>
      <c r="D30" s="1">
        <f t="shared" si="0"/>
        <v>3.6774001642848617E-195</v>
      </c>
      <c r="E30" s="1">
        <f t="shared" si="1"/>
        <v>0</v>
      </c>
      <c r="F30" s="3"/>
      <c r="G30" s="1">
        <f t="shared" si="2"/>
        <v>38259.533143131157</v>
      </c>
      <c r="I30" s="39">
        <f>'SDZ DATOS'!AG22</f>
        <v>190.72389994537119</v>
      </c>
      <c r="J30" s="39">
        <f>'SDZ DATOS'!AH22</f>
        <v>97.308112217026121</v>
      </c>
      <c r="L30" s="1">
        <f t="shared" si="3"/>
        <v>1.5553844724317381</v>
      </c>
      <c r="M30" s="21"/>
      <c r="N30" s="21"/>
      <c r="U30" s="47"/>
      <c r="V30" s="47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</row>
    <row r="31" spans="2:35" x14ac:dyDescent="0.2">
      <c r="B31" s="53">
        <v>141.30991099002722</v>
      </c>
      <c r="C31" s="65">
        <v>247.09486645000746</v>
      </c>
      <c r="D31" s="1">
        <f t="shared" si="0"/>
        <v>3.2270415512862793E-176</v>
      </c>
      <c r="E31" s="1">
        <f t="shared" si="1"/>
        <v>0</v>
      </c>
      <c r="F31" s="3"/>
      <c r="G31" s="1">
        <f t="shared" si="2"/>
        <v>61055.873025947025</v>
      </c>
      <c r="I31" s="39">
        <f>'SDZ DATOS'!AG23</f>
        <v>155.88994459882656</v>
      </c>
      <c r="J31" s="39">
        <f>'SDZ DATOS'!AH23</f>
        <v>79.535686019809461</v>
      </c>
      <c r="L31" s="1">
        <f t="shared" si="3"/>
        <v>1.3216861551959722</v>
      </c>
      <c r="M31" s="21"/>
      <c r="N31" s="21"/>
      <c r="U31" s="47"/>
      <c r="V31" s="47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</row>
    <row r="32" spans="2:35" x14ac:dyDescent="0.2">
      <c r="B32" s="53">
        <v>126.30991099002721</v>
      </c>
      <c r="C32" s="65">
        <v>345.86104659781341</v>
      </c>
      <c r="D32" s="1">
        <f t="shared" si="0"/>
        <v>2.8318368163650486E-157</v>
      </c>
      <c r="E32" s="1">
        <f t="shared" si="1"/>
        <v>0</v>
      </c>
      <c r="F32" s="3"/>
      <c r="G32" s="1">
        <f t="shared" si="2"/>
        <v>119619.86355373486</v>
      </c>
      <c r="I32" s="39">
        <f>'SDZ DATOS'!AG24</f>
        <v>300.50897472840074</v>
      </c>
      <c r="J32" s="39">
        <f>'SDZ DATOS'!AH24</f>
        <v>153.32090547367386</v>
      </c>
      <c r="L32" s="1">
        <f t="shared" si="3"/>
        <v>0.98542139781573745</v>
      </c>
      <c r="M32" s="21"/>
      <c r="N32" s="21"/>
      <c r="U32" s="47"/>
      <c r="V32" s="47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</row>
    <row r="33" spans="1:35" x14ac:dyDescent="0.2">
      <c r="B33" s="11">
        <v>120</v>
      </c>
      <c r="C33" s="67">
        <v>429.60693723969911</v>
      </c>
      <c r="D33" s="1">
        <f t="shared" si="0"/>
        <v>2.6348469692544612E-149</v>
      </c>
      <c r="E33" s="1">
        <f t="shared" si="1"/>
        <v>0</v>
      </c>
      <c r="F33" s="3"/>
      <c r="G33" s="1">
        <f t="shared" si="2"/>
        <v>184562.12052447477</v>
      </c>
      <c r="I33" s="39">
        <f>'SDZ DATOS'!AG6</f>
        <v>161.36257806290865</v>
      </c>
      <c r="J33" s="39">
        <f>'SDZ DATOS'!AH6</f>
        <v>82.327845950463598</v>
      </c>
      <c r="L33" s="1">
        <f t="shared" si="3"/>
        <v>0.76858780158115214</v>
      </c>
      <c r="M33" s="27"/>
      <c r="N33" s="21"/>
      <c r="U33" s="47"/>
      <c r="V33" s="47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</row>
    <row r="34" spans="1:35" x14ac:dyDescent="0.2">
      <c r="B34" s="53">
        <v>111.30991099002721</v>
      </c>
      <c r="C34" s="65">
        <v>412.80211315067385</v>
      </c>
      <c r="D34" s="1">
        <f t="shared" si="0"/>
        <v>2.4850314528251528E-138</v>
      </c>
      <c r="E34" s="1">
        <f t="shared" si="1"/>
        <v>0</v>
      </c>
      <c r="F34" s="3"/>
      <c r="G34" s="1">
        <f t="shared" si="2"/>
        <v>170405.58462166172</v>
      </c>
      <c r="I34" s="39">
        <f>'SDZ DATOS'!AG25</f>
        <v>209.59781383433159</v>
      </c>
      <c r="J34" s="39">
        <f>'SDZ DATOS'!AH25</f>
        <v>106.93766011955695</v>
      </c>
      <c r="L34" s="1">
        <f t="shared" si="3"/>
        <v>0.8084901595617241</v>
      </c>
      <c r="U34" s="47"/>
      <c r="V34" s="47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</row>
    <row r="35" spans="1:35" x14ac:dyDescent="0.2">
      <c r="B35" s="53">
        <v>96.309910990027205</v>
      </c>
      <c r="C35" s="65">
        <v>462.30232032799887</v>
      </c>
      <c r="D35" s="1">
        <f t="shared" si="0"/>
        <v>2.1806981552902547E-119</v>
      </c>
      <c r="E35" s="1">
        <f t="shared" si="1"/>
        <v>0</v>
      </c>
      <c r="F35" s="3"/>
      <c r="G35" s="1">
        <f t="shared" si="2"/>
        <v>213723.43538065167</v>
      </c>
      <c r="I35" s="39">
        <f>'SDZ DATOS'!AG26</f>
        <v>180.45486191231356</v>
      </c>
      <c r="J35" s="39">
        <f>'SDZ DATOS'!AH26</f>
        <v>92.06880709811918</v>
      </c>
      <c r="L35" s="1">
        <f t="shared" si="3"/>
        <v>0.69523944270512272</v>
      </c>
      <c r="U35" s="47"/>
      <c r="V35" s="47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x14ac:dyDescent="0.2">
      <c r="B36" s="11">
        <v>90</v>
      </c>
      <c r="C36" s="67">
        <v>471.0108126002383</v>
      </c>
      <c r="D36" s="1">
        <f t="shared" si="0"/>
        <v>2.0290031869495143E-111</v>
      </c>
      <c r="E36" s="1">
        <f t="shared" si="1"/>
        <v>0</v>
      </c>
      <c r="F36" s="3"/>
      <c r="G36" s="1">
        <f t="shared" si="2"/>
        <v>221851.1855863368</v>
      </c>
      <c r="I36" s="39">
        <f>'SDZ DATOS'!AG7</f>
        <v>110.59164070696028</v>
      </c>
      <c r="J36" s="39">
        <f>'SDZ DATOS'!AH7</f>
        <v>56.424306483142999</v>
      </c>
      <c r="L36" s="1">
        <f t="shared" si="3"/>
        <v>0.67657744234120842</v>
      </c>
      <c r="U36" s="47"/>
      <c r="V36" s="47"/>
    </row>
    <row r="37" spans="1:35" x14ac:dyDescent="0.2">
      <c r="B37" s="11">
        <v>75</v>
      </c>
      <c r="C37" s="67">
        <v>515.71467795395893</v>
      </c>
      <c r="D37" s="1">
        <f t="shared" si="0"/>
        <v>1.7805181104764762E-92</v>
      </c>
      <c r="E37" s="1">
        <f t="shared" si="1"/>
        <v>0</v>
      </c>
      <c r="F37" s="3"/>
      <c r="G37" s="1">
        <f t="shared" si="2"/>
        <v>265961.62905715557</v>
      </c>
      <c r="I37" s="39">
        <f>'SDZ DATOS'!AG8</f>
        <v>111.40375867973337</v>
      </c>
      <c r="J37" s="39">
        <f>'SDZ DATOS'!AH8</f>
        <v>56.838652387619064</v>
      </c>
      <c r="L37" s="1">
        <f t="shared" si="3"/>
        <v>0.58590482993566195</v>
      </c>
    </row>
    <row r="38" spans="1:35" x14ac:dyDescent="0.2">
      <c r="B38" s="11">
        <v>60</v>
      </c>
      <c r="C38" s="67">
        <v>623.44138934169234</v>
      </c>
      <c r="D38" s="1">
        <f t="shared" si="0"/>
        <v>1.5624641509316682E-73</v>
      </c>
      <c r="E38" s="1">
        <f t="shared" si="1"/>
        <v>0</v>
      </c>
      <c r="F38" s="3"/>
      <c r="G38" s="1">
        <f t="shared" si="2"/>
        <v>388679.1659442996</v>
      </c>
      <c r="I38" s="39">
        <f>'SDZ DATOS'!AG9</f>
        <v>130.04231240769622</v>
      </c>
      <c r="J38" s="39">
        <f>'SDZ DATOS'!AH9</f>
        <v>66.348118575355215</v>
      </c>
      <c r="L38" s="1">
        <f t="shared" si="3"/>
        <v>0.39620373474064091</v>
      </c>
      <c r="S38" s="51"/>
    </row>
    <row r="39" spans="1:35" x14ac:dyDescent="0.2">
      <c r="B39" s="11">
        <v>45</v>
      </c>
      <c r="C39" s="67">
        <v>680.89039784089664</v>
      </c>
      <c r="D39" s="1">
        <f t="shared" si="0"/>
        <v>1.3711145135689657E-54</v>
      </c>
      <c r="E39" s="1">
        <f t="shared" si="1"/>
        <v>0</v>
      </c>
      <c r="F39" s="3"/>
      <c r="G39" s="1">
        <f t="shared" si="2"/>
        <v>463611.73387193453</v>
      </c>
      <c r="I39" s="39">
        <f>'SDZ DATOS'!AG10</f>
        <v>196.64531284509678</v>
      </c>
      <c r="J39" s="39">
        <f>'SDZ DATOS'!AH10</f>
        <v>100.32924124749836</v>
      </c>
      <c r="L39" s="1">
        <f t="shared" si="3"/>
        <v>0.30805714255063554</v>
      </c>
    </row>
    <row r="40" spans="1:35" x14ac:dyDescent="0.2">
      <c r="B40" s="11">
        <v>30</v>
      </c>
      <c r="C40" s="67">
        <v>728.61720963612936</v>
      </c>
      <c r="D40" s="1">
        <f t="shared" si="0"/>
        <v>1.2031988114405225E-35</v>
      </c>
      <c r="E40" s="1">
        <f t="shared" si="1"/>
        <v>0</v>
      </c>
      <c r="F40" s="3"/>
      <c r="G40" s="1">
        <f t="shared" si="2"/>
        <v>530883.03817793925</v>
      </c>
      <c r="I40" s="39">
        <f>'SDZ DATOS'!AG11</f>
        <v>204.66159360783456</v>
      </c>
      <c r="J40" s="39">
        <f>'SDZ DATOS'!AH11</f>
        <v>104.4191804121605</v>
      </c>
      <c r="L40" s="1">
        <f t="shared" si="3"/>
        <v>0.24030998834410025</v>
      </c>
    </row>
    <row r="41" spans="1:35" x14ac:dyDescent="0.2">
      <c r="B41" s="11">
        <v>15</v>
      </c>
      <c r="C41" s="67">
        <v>858.2258595458411</v>
      </c>
      <c r="D41" s="1">
        <f t="shared" si="0"/>
        <v>1.055847170695921E-16</v>
      </c>
      <c r="E41" s="1">
        <f t="shared" si="1"/>
        <v>0</v>
      </c>
      <c r="G41" s="1">
        <f t="shared" si="2"/>
        <v>736551.62599319778</v>
      </c>
      <c r="I41" s="39">
        <f>'SDZ DATOS'!AG12</f>
        <v>213.5322213583766</v>
      </c>
      <c r="J41" s="39">
        <f>'SDZ DATOS'!AH12</f>
        <v>108.94501089713094</v>
      </c>
      <c r="L41" s="1">
        <f t="shared" si="3"/>
        <v>7.6591188372104699E-2</v>
      </c>
    </row>
    <row r="42" spans="1:35" x14ac:dyDescent="0.2">
      <c r="B42" s="11">
        <v>0</v>
      </c>
      <c r="C42" s="67">
        <v>926.54118111360003</v>
      </c>
      <c r="D42" s="1">
        <f>$C$42*(EXP(-$G$51*B42))</f>
        <v>926.54118111360003</v>
      </c>
      <c r="E42" s="1">
        <f t="shared" si="1"/>
        <v>0</v>
      </c>
      <c r="G42" s="1">
        <f t="shared" si="2"/>
        <v>0</v>
      </c>
      <c r="I42" s="39">
        <f>'SDZ DATOS'!AG13</f>
        <v>155.60888668959262</v>
      </c>
      <c r="J42" s="39">
        <f>'SDZ DATOS'!AH13</f>
        <v>79.392289127343176</v>
      </c>
      <c r="L42" s="1">
        <f t="shared" si="3"/>
        <v>0</v>
      </c>
    </row>
    <row r="43" spans="1:35" x14ac:dyDescent="0.2">
      <c r="G43" s="1">
        <f>SUM(G12:G42)</f>
        <v>3445898.7241086052</v>
      </c>
      <c r="I43" s="4"/>
    </row>
    <row r="44" spans="1:35" x14ac:dyDescent="0.2">
      <c r="I44" s="4"/>
    </row>
    <row r="45" spans="1:35" x14ac:dyDescent="0.2">
      <c r="I45" s="4"/>
    </row>
    <row r="46" spans="1:35" x14ac:dyDescent="0.2">
      <c r="I46" s="4"/>
    </row>
    <row r="47" spans="1:35" x14ac:dyDescent="0.2">
      <c r="I47" s="4"/>
      <c r="J47" s="7"/>
      <c r="K47" s="7"/>
    </row>
    <row r="48" spans="1:35" ht="17" x14ac:dyDescent="0.2">
      <c r="A48" s="29" t="s">
        <v>10</v>
      </c>
      <c r="F48" s="8" t="s">
        <v>5</v>
      </c>
      <c r="G48" s="9">
        <f>RSQ(C12:C42,D12:D42)</f>
        <v>0.19579142239478661</v>
      </c>
    </row>
    <row r="50" spans="1:14" s="21" customFormat="1" x14ac:dyDescent="0.2">
      <c r="B50" s="1"/>
      <c r="C50" s="1"/>
      <c r="D50" s="1"/>
      <c r="E50" s="1"/>
      <c r="F50" s="104" t="s">
        <v>74</v>
      </c>
      <c r="G50" s="19">
        <v>0</v>
      </c>
      <c r="H50" s="1"/>
      <c r="I50" s="1"/>
    </row>
    <row r="51" spans="1:14" s="21" customFormat="1" x14ac:dyDescent="0.2">
      <c r="B51" s="1"/>
      <c r="C51" s="1"/>
      <c r="D51" s="1"/>
      <c r="E51" s="1"/>
      <c r="F51" s="5" t="s">
        <v>9</v>
      </c>
      <c r="G51" s="6">
        <v>2.9078984353731063</v>
      </c>
      <c r="H51" s="1"/>
      <c r="I51" s="7" t="s">
        <v>4</v>
      </c>
      <c r="K51" s="15"/>
    </row>
    <row r="52" spans="1:14" s="21" customFormat="1" x14ac:dyDescent="0.2">
      <c r="B52" s="1"/>
      <c r="C52" s="1"/>
      <c r="D52" s="1"/>
      <c r="E52" s="1"/>
      <c r="F52" s="1"/>
      <c r="G52" s="1"/>
      <c r="H52" s="1"/>
      <c r="I52" s="1"/>
      <c r="K52" s="15"/>
    </row>
    <row r="53" spans="1:14" s="21" customFormat="1" x14ac:dyDescent="0.2">
      <c r="B53" s="1"/>
      <c r="C53" s="1"/>
      <c r="D53" s="1" t="s">
        <v>15</v>
      </c>
      <c r="E53" s="1" t="s">
        <v>15</v>
      </c>
      <c r="F53" s="1"/>
      <c r="G53" s="1"/>
      <c r="H53" s="1"/>
      <c r="I53" s="96" t="s">
        <v>71</v>
      </c>
      <c r="J53" s="96" t="s">
        <v>72</v>
      </c>
      <c r="K53" s="14"/>
    </row>
    <row r="54" spans="1:14" s="21" customFormat="1" x14ac:dyDescent="0.2">
      <c r="B54" s="10"/>
      <c r="C54" s="1" t="s">
        <v>6</v>
      </c>
      <c r="D54" s="21" t="s">
        <v>14</v>
      </c>
      <c r="E54" s="21" t="s">
        <v>13</v>
      </c>
      <c r="H54" s="21" t="s">
        <v>7</v>
      </c>
      <c r="I54" s="43" t="s">
        <v>32</v>
      </c>
      <c r="J54" s="43" t="s">
        <v>32</v>
      </c>
      <c r="K54" s="15"/>
    </row>
    <row r="55" spans="1:14" s="21" customFormat="1" x14ac:dyDescent="0.2">
      <c r="B55" s="10"/>
      <c r="C55" s="1"/>
      <c r="I55" s="43"/>
      <c r="K55" s="15"/>
      <c r="N55" s="21" t="s">
        <v>20</v>
      </c>
    </row>
    <row r="56" spans="1:14" s="21" customFormat="1" x14ac:dyDescent="0.2">
      <c r="A56" s="21">
        <f>100-((C56*100)/$C$86)</f>
        <v>99.605479629412926</v>
      </c>
      <c r="B56" s="53">
        <v>428.82267040157706</v>
      </c>
      <c r="C56" s="63">
        <v>3.6553937013712758</v>
      </c>
      <c r="D56" s="21">
        <f>LN(C56/$C$85)+$G$51*(C56-$C$85)+$G$50*B56</f>
        <v>-2490.4627840463763</v>
      </c>
      <c r="E56" s="23">
        <f>LN(H56/$C$86)+$G$51*(H56-$C$86)+$G$50*B56</f>
        <v>-2687.3963323394796</v>
      </c>
      <c r="G56" s="5" t="s">
        <v>7</v>
      </c>
      <c r="H56" s="32">
        <v>4.223692011738656</v>
      </c>
      <c r="I56" s="39">
        <f>'SDZ DATOS'!X46</f>
        <v>0.97049912548608863</v>
      </c>
      <c r="J56" s="39">
        <f>I56/1.96</f>
        <v>0.49515261504392277</v>
      </c>
      <c r="K56" s="14"/>
    </row>
    <row r="57" spans="1:14" s="21" customFormat="1" x14ac:dyDescent="0.2">
      <c r="A57" s="21">
        <f t="shared" ref="A57:A71" si="4">100-((C57*100)/$C$86)</f>
        <v>99.461027227604887</v>
      </c>
      <c r="B57" s="53">
        <v>413.82267040157706</v>
      </c>
      <c r="C57" s="63">
        <v>4.9938046912303244</v>
      </c>
      <c r="D57" s="21">
        <f t="shared" ref="D57:D85" si="5">LN(C57/$C$85)+$G$51*(C57-$C$85)+$G$50*B57</f>
        <v>-2486.2588265439049</v>
      </c>
      <c r="E57" s="23">
        <f t="shared" ref="E57:E86" si="6">LN(H57/$C$86)+$G$51*(H57-$C$86)+$G$50*B57</f>
        <v>-2684.302619026972</v>
      </c>
      <c r="G57" s="5" t="s">
        <v>7</v>
      </c>
      <c r="H57" s="32">
        <v>5.2150841726495614</v>
      </c>
      <c r="I57" s="39">
        <f>'SDZ DATOS'!X47</f>
        <v>0.57989090887082528</v>
      </c>
      <c r="J57" s="39">
        <f t="shared" ref="J57:J86" si="7">I57/1.96</f>
        <v>0.29586270860756392</v>
      </c>
      <c r="K57" s="15"/>
    </row>
    <row r="58" spans="1:14" s="21" customFormat="1" x14ac:dyDescent="0.2">
      <c r="A58" s="21">
        <f t="shared" si="4"/>
        <v>99.343183277085316</v>
      </c>
      <c r="B58" s="53">
        <v>398.82267040157706</v>
      </c>
      <c r="C58" s="63">
        <v>6.0856774222453005</v>
      </c>
      <c r="D58" s="21">
        <f t="shared" si="5"/>
        <v>-2482.8860315733441</v>
      </c>
      <c r="E58" s="23">
        <f t="shared" si="6"/>
        <v>-2680.5354891558691</v>
      </c>
      <c r="G58" s="5" t="s">
        <v>7</v>
      </c>
      <c r="H58" s="32">
        <v>6.4381149592721068</v>
      </c>
      <c r="I58" s="39">
        <f>'SDZ DATOS'!X48</f>
        <v>1.3659927693462137</v>
      </c>
      <c r="J58" s="39">
        <f t="shared" si="7"/>
        <v>0.69693508640112944</v>
      </c>
      <c r="K58" s="14"/>
      <c r="L58" s="85" t="s">
        <v>68</v>
      </c>
    </row>
    <row r="59" spans="1:14" s="21" customFormat="1" x14ac:dyDescent="0.2">
      <c r="A59" s="21">
        <f t="shared" si="4"/>
        <v>98.877497261803597</v>
      </c>
      <c r="B59" s="53">
        <v>383.82267040157706</v>
      </c>
      <c r="C59" s="63">
        <v>10.400450128517434</v>
      </c>
      <c r="D59" s="21">
        <f t="shared" si="5"/>
        <v>-2469.8031997318103</v>
      </c>
      <c r="E59" s="23">
        <f t="shared" si="6"/>
        <v>-2675.9392073234458</v>
      </c>
      <c r="G59" s="5" t="s">
        <v>7</v>
      </c>
      <c r="H59" s="32">
        <v>7.9463534949096752</v>
      </c>
      <c r="I59" s="39">
        <f>'SDZ DATOS'!X49</f>
        <v>0.38201833370252725</v>
      </c>
      <c r="J59" s="39">
        <f t="shared" si="7"/>
        <v>0.19490731311353432</v>
      </c>
      <c r="K59" s="14"/>
    </row>
    <row r="60" spans="1:14" s="21" customFormat="1" x14ac:dyDescent="0.2">
      <c r="A60" s="21">
        <f t="shared" si="4"/>
        <v>98.633129079445155</v>
      </c>
      <c r="B60" s="53">
        <v>368.82267040157706</v>
      </c>
      <c r="C60" s="63">
        <v>12.664621971607227</v>
      </c>
      <c r="D60" s="21">
        <f t="shared" si="5"/>
        <v>-2463.0222546239388</v>
      </c>
      <c r="E60" s="23">
        <f t="shared" si="6"/>
        <v>-2670.3228548717079</v>
      </c>
      <c r="G60" s="5" t="s">
        <v>7</v>
      </c>
      <c r="H60" s="32">
        <v>9.8054710717155054</v>
      </c>
      <c r="I60" s="39">
        <f>'SDZ DATOS'!X50</f>
        <v>1.9164680129703855</v>
      </c>
      <c r="J60" s="39">
        <f t="shared" si="7"/>
        <v>0.97778980253591097</v>
      </c>
      <c r="K60" s="14"/>
    </row>
    <row r="61" spans="1:14" s="21" customFormat="1" x14ac:dyDescent="0.2">
      <c r="A61" s="21">
        <f t="shared" si="4"/>
        <v>98.530825265446424</v>
      </c>
      <c r="B61" s="53">
        <v>353.82267040157706</v>
      </c>
      <c r="C61" s="63">
        <v>13.612508938155267</v>
      </c>
      <c r="D61" s="21">
        <f t="shared" si="5"/>
        <v>-2460.1937188868642</v>
      </c>
      <c r="E61" s="23">
        <f t="shared" si="6"/>
        <v>-2663.4528090574754</v>
      </c>
      <c r="G61" s="5" t="s">
        <v>7</v>
      </c>
      <c r="H61" s="32">
        <v>12.095828130006367</v>
      </c>
      <c r="I61" s="39">
        <f>'SDZ DATOS'!X51</f>
        <v>2.1497307864619719</v>
      </c>
      <c r="J61" s="39">
        <f t="shared" si="7"/>
        <v>1.0968014216642714</v>
      </c>
      <c r="K61" s="14"/>
    </row>
    <row r="62" spans="1:14" s="21" customFormat="1" x14ac:dyDescent="0.2">
      <c r="A62" s="21">
        <f t="shared" si="4"/>
        <v>98.200408165320511</v>
      </c>
      <c r="B62" s="53">
        <v>348.64621397751932</v>
      </c>
      <c r="C62" s="64">
        <v>16.673959440263229</v>
      </c>
      <c r="D62" s="21">
        <f t="shared" si="5"/>
        <v>-2451.0884727192133</v>
      </c>
      <c r="E62" s="23">
        <f t="shared" si="6"/>
        <v>-2660.7409827225638</v>
      </c>
      <c r="G62" s="5" t="s">
        <v>7</v>
      </c>
      <c r="H62" s="32">
        <v>13.00351701381145</v>
      </c>
      <c r="I62" s="39">
        <f>'SDZ DATOS'!X31</f>
        <v>0.63430476847681927</v>
      </c>
      <c r="J62" s="39">
        <f t="shared" si="7"/>
        <v>0.32362488187592819</v>
      </c>
      <c r="K62" s="16"/>
    </row>
    <row r="63" spans="1:14" s="21" customFormat="1" x14ac:dyDescent="0.2">
      <c r="A63" s="21">
        <f t="shared" si="4"/>
        <v>98.02778366944041</v>
      </c>
      <c r="B63" s="53">
        <v>338.82267040157706</v>
      </c>
      <c r="C63" s="63">
        <v>18.273396483282102</v>
      </c>
      <c r="D63" s="21">
        <f t="shared" si="5"/>
        <v>-2446.3458741737595</v>
      </c>
      <c r="E63" s="23">
        <f t="shared" si="6"/>
        <v>-2655.0438329676394</v>
      </c>
      <c r="G63" s="5" t="s">
        <v>7</v>
      </c>
      <c r="H63" s="32">
        <v>14.915539106843731</v>
      </c>
      <c r="I63" s="39">
        <f>'SDZ DATOS'!X52</f>
        <v>1.1222066722860027</v>
      </c>
      <c r="J63" s="39">
        <f t="shared" si="7"/>
        <v>0.57255442463571571</v>
      </c>
      <c r="K63" s="14"/>
    </row>
    <row r="64" spans="1:14" s="21" customFormat="1" x14ac:dyDescent="0.2">
      <c r="A64" s="21">
        <f t="shared" si="4"/>
        <v>97.673232321250794</v>
      </c>
      <c r="B64" s="53">
        <v>318.64621397751932</v>
      </c>
      <c r="C64" s="64">
        <v>21.558460732452357</v>
      </c>
      <c r="D64" s="21">
        <f t="shared" si="5"/>
        <v>-2436.6279188926574</v>
      </c>
      <c r="E64" s="23">
        <f t="shared" si="6"/>
        <v>-2640.6840125856133</v>
      </c>
      <c r="G64" s="5" t="s">
        <v>7</v>
      </c>
      <c r="H64" s="32">
        <v>19.757080962812793</v>
      </c>
      <c r="I64" s="39">
        <f>'SDZ DATOS'!X32</f>
        <v>6.0543851556164325</v>
      </c>
      <c r="J64" s="39">
        <f t="shared" si="7"/>
        <v>3.0889720181716491</v>
      </c>
      <c r="K64" s="16"/>
    </row>
    <row r="65" spans="1:11" s="21" customFormat="1" x14ac:dyDescent="0.2">
      <c r="A65" s="21">
        <f t="shared" si="4"/>
        <v>97.484988795495696</v>
      </c>
      <c r="B65" s="53">
        <v>288.64621397751932</v>
      </c>
      <c r="C65" s="64">
        <v>23.302614519353597</v>
      </c>
      <c r="D65" s="21">
        <f t="shared" si="5"/>
        <v>-2431.4782996081626</v>
      </c>
      <c r="E65" s="23">
        <f t="shared" si="6"/>
        <v>-2610.6431796705187</v>
      </c>
      <c r="G65" s="5" t="s">
        <v>7</v>
      </c>
      <c r="H65" s="32">
        <v>29.944846556700959</v>
      </c>
      <c r="I65" s="39">
        <f>'SDZ DATOS'!X33</f>
        <v>4.1281043954189869</v>
      </c>
      <c r="J65" s="39">
        <f t="shared" si="7"/>
        <v>2.1061757119484628</v>
      </c>
      <c r="K65" s="14"/>
    </row>
    <row r="66" spans="1:11" s="21" customFormat="1" x14ac:dyDescent="0.2">
      <c r="A66" s="21">
        <f t="shared" si="4"/>
        <v>97.528615010562234</v>
      </c>
      <c r="B66" s="53">
        <v>273.64621397751932</v>
      </c>
      <c r="C66" s="64">
        <v>22.898399671000934</v>
      </c>
      <c r="D66" s="21">
        <f t="shared" si="5"/>
        <v>-2432.6712138738935</v>
      </c>
      <c r="E66" s="23">
        <f t="shared" si="6"/>
        <v>-2590.4474509298652</v>
      </c>
      <c r="G66" s="5" t="s">
        <v>7</v>
      </c>
      <c r="H66" s="32">
        <v>36.818908664037146</v>
      </c>
      <c r="I66" s="39">
        <f>'SDZ DATOS'!X34</f>
        <v>1.6279483645738746</v>
      </c>
      <c r="J66" s="39">
        <f t="shared" si="7"/>
        <v>0.83058590029279322</v>
      </c>
      <c r="K66" s="16"/>
    </row>
    <row r="67" spans="1:11" s="21" customFormat="1" x14ac:dyDescent="0.2">
      <c r="A67" s="21">
        <f t="shared" si="4"/>
        <v>96.4687730575329</v>
      </c>
      <c r="B67" s="53">
        <v>258.64621397751932</v>
      </c>
      <c r="C67" s="64">
        <v>32.718271820536387</v>
      </c>
      <c r="D67" s="21">
        <f t="shared" si="5"/>
        <v>-2403.7591563463325</v>
      </c>
      <c r="E67" s="23">
        <f t="shared" si="6"/>
        <v>-2565.8074761426865</v>
      </c>
      <c r="G67" s="5" t="s">
        <v>7</v>
      </c>
      <c r="H67" s="32">
        <v>45.221681393945929</v>
      </c>
      <c r="I67" s="39">
        <f>'SDZ DATOS'!X35</f>
        <v>0.22418091606560692</v>
      </c>
      <c r="J67" s="39">
        <f t="shared" si="7"/>
        <v>0.11437801840081986</v>
      </c>
      <c r="K67" s="16"/>
    </row>
    <row r="68" spans="1:11" s="21" customFormat="1" x14ac:dyDescent="0.2">
      <c r="A68" s="21">
        <f>100-((C68*100)/$C$86)</f>
        <v>96.020951208765553</v>
      </c>
      <c r="B68" s="53">
        <v>243.64621397751935</v>
      </c>
      <c r="C68" s="64">
        <v>36.867525667390119</v>
      </c>
      <c r="D68" s="21">
        <f t="shared" si="5"/>
        <v>-2391.5741501698703</v>
      </c>
      <c r="E68" s="23">
        <f t="shared" si="6"/>
        <v>-2535.8045597567507</v>
      </c>
      <c r="G68" s="5" t="s">
        <v>7</v>
      </c>
      <c r="H68" s="32">
        <v>55.469173274061177</v>
      </c>
      <c r="I68" s="39">
        <f>'SDZ DATOS'!X36</f>
        <v>1.564797004518611</v>
      </c>
      <c r="J68" s="39">
        <f t="shared" si="7"/>
        <v>0.79836581863194445</v>
      </c>
      <c r="K68" s="16"/>
    </row>
    <row r="69" spans="1:11" s="21" customFormat="1" x14ac:dyDescent="0.2">
      <c r="A69" s="21">
        <f t="shared" si="4"/>
        <v>95.078027983785645</v>
      </c>
      <c r="B69" s="53">
        <v>228.64621397751935</v>
      </c>
      <c r="C69" s="64">
        <v>45.604097653113385</v>
      </c>
      <c r="D69" s="21">
        <f t="shared" si="5"/>
        <v>-2365.9564196891133</v>
      </c>
      <c r="E69" s="23">
        <f t="shared" si="6"/>
        <v>-2499.3626435801402</v>
      </c>
      <c r="G69" s="5" t="s">
        <v>7</v>
      </c>
      <c r="H69" s="32">
        <v>67.931521684169113</v>
      </c>
      <c r="I69" s="39">
        <f>'SDZ DATOS'!X37</f>
        <v>5.3782780851412832</v>
      </c>
      <c r="J69" s="39">
        <f t="shared" si="7"/>
        <v>2.7440194311945323</v>
      </c>
      <c r="K69" s="16"/>
    </row>
    <row r="70" spans="1:11" s="21" customFormat="1" x14ac:dyDescent="0.2">
      <c r="A70" s="21">
        <f t="shared" si="4"/>
        <v>93.728281656761169</v>
      </c>
      <c r="B70" s="53">
        <v>213.64621397751935</v>
      </c>
      <c r="C70" s="64">
        <v>58.110053213563376</v>
      </c>
      <c r="D70" s="21">
        <f t="shared" si="5"/>
        <v>-2329.3480299735074</v>
      </c>
      <c r="E70" s="23">
        <f t="shared" si="6"/>
        <v>-2455.2358781559296</v>
      </c>
      <c r="G70" s="5" t="s">
        <v>7</v>
      </c>
      <c r="H70" s="32">
        <v>83.037267997230757</v>
      </c>
      <c r="I70" s="39">
        <f>'SDZ DATOS'!X38</f>
        <v>4.3777025546391632</v>
      </c>
      <c r="J70" s="39">
        <f t="shared" si="7"/>
        <v>2.2335217115505936</v>
      </c>
      <c r="K70" s="16"/>
    </row>
    <row r="71" spans="1:11" s="21" customFormat="1" x14ac:dyDescent="0.2">
      <c r="A71" s="21">
        <f t="shared" si="4"/>
        <v>90.95906550132996</v>
      </c>
      <c r="B71" s="53">
        <v>198.64621397751935</v>
      </c>
      <c r="C71" s="64">
        <v>83.767981287684378</v>
      </c>
      <c r="D71" s="21">
        <f t="shared" si="5"/>
        <v>-2254.3716689040775</v>
      </c>
      <c r="E71" s="23">
        <f t="shared" si="6"/>
        <v>-2402.0017066950245</v>
      </c>
      <c r="G71" s="5" t="s">
        <v>7</v>
      </c>
      <c r="H71" s="32">
        <v>101.27573653283183</v>
      </c>
      <c r="I71" s="39">
        <f>'SDZ DATOS'!X39</f>
        <v>0.7063756422841474</v>
      </c>
      <c r="J71" s="39">
        <f t="shared" si="7"/>
        <v>0.36039573585925888</v>
      </c>
      <c r="K71" s="12"/>
    </row>
    <row r="72" spans="1:11" s="21" customFormat="1" x14ac:dyDescent="0.2">
      <c r="B72" s="53">
        <v>186.30991099002722</v>
      </c>
      <c r="C72" s="65">
        <v>111.07909683243119</v>
      </c>
      <c r="D72" s="21">
        <f t="shared" si="5"/>
        <v>-2174.6715270611958</v>
      </c>
      <c r="E72" s="23">
        <f t="shared" si="6"/>
        <v>-2350.2745672776482</v>
      </c>
      <c r="G72" s="5" t="s">
        <v>7</v>
      </c>
      <c r="H72" s="32">
        <v>119.00874559153651</v>
      </c>
      <c r="I72" s="39">
        <f>'SDZ DATOS'!X20</f>
        <v>5.2545572542955856</v>
      </c>
      <c r="J72" s="39">
        <f t="shared" si="7"/>
        <v>2.6808965583140743</v>
      </c>
      <c r="K72" s="12"/>
    </row>
    <row r="73" spans="1:11" s="21" customFormat="1" x14ac:dyDescent="0.2">
      <c r="B73" s="53">
        <v>171.30991099002722</v>
      </c>
      <c r="C73" s="65">
        <v>144.28732247236289</v>
      </c>
      <c r="D73" s="21">
        <f t="shared" si="5"/>
        <v>-2077.8438156063762</v>
      </c>
      <c r="E73" s="23">
        <f t="shared" si="6"/>
        <v>-2276.2189454455056</v>
      </c>
      <c r="G73" s="5" t="s">
        <v>7</v>
      </c>
      <c r="H73" s="32">
        <v>144.4092776192675</v>
      </c>
      <c r="I73" s="39">
        <f>'SDZ DATOS'!X21</f>
        <v>8.346297761473771</v>
      </c>
      <c r="J73" s="39">
        <f t="shared" si="7"/>
        <v>4.2583151844253937</v>
      </c>
      <c r="K73" s="12"/>
    </row>
    <row r="74" spans="1:11" s="21" customFormat="1" x14ac:dyDescent="0.2">
      <c r="A74" s="21">
        <f>B56/60</f>
        <v>7.1470445066929509</v>
      </c>
      <c r="B74" s="53">
        <v>156.30991099002722</v>
      </c>
      <c r="C74" s="65">
        <v>195.60044259441531</v>
      </c>
      <c r="D74" s="21">
        <f t="shared" si="5"/>
        <v>-1928.3262064755627</v>
      </c>
      <c r="E74" s="23">
        <f t="shared" si="6"/>
        <v>-2188.1491364710878</v>
      </c>
      <c r="G74" s="5" t="s">
        <v>7</v>
      </c>
      <c r="H74" s="32">
        <v>174.63034310235042</v>
      </c>
      <c r="I74" s="39">
        <f>'SDZ DATOS'!X22</f>
        <v>53.572504328281937</v>
      </c>
      <c r="J74" s="39">
        <f t="shared" si="7"/>
        <v>27.332910371572417</v>
      </c>
      <c r="K74" s="12"/>
    </row>
    <row r="75" spans="1:11" s="21" customFormat="1" x14ac:dyDescent="0.2">
      <c r="B75" s="53">
        <v>141.30991099002722</v>
      </c>
      <c r="C75" s="65">
        <v>247.09486645000746</v>
      </c>
      <c r="D75" s="21">
        <f t="shared" si="5"/>
        <v>-1778.3519535982114</v>
      </c>
      <c r="E75" s="23">
        <f t="shared" si="6"/>
        <v>-2084.0934263287895</v>
      </c>
      <c r="G75" s="5" t="s">
        <v>7</v>
      </c>
      <c r="H75" s="31">
        <v>210.35016285575608</v>
      </c>
      <c r="I75" s="39">
        <f>'SDZ DATOS'!X23</f>
        <v>37.975573335959801</v>
      </c>
      <c r="J75" s="39">
        <f t="shared" si="7"/>
        <v>19.375292518346839</v>
      </c>
      <c r="K75" s="12"/>
    </row>
    <row r="76" spans="1:11" s="21" customFormat="1" x14ac:dyDescent="0.2">
      <c r="B76" s="53">
        <v>126.30991099002721</v>
      </c>
      <c r="C76" s="65">
        <v>345.86104659781341</v>
      </c>
      <c r="D76" s="21">
        <f t="shared" si="5"/>
        <v>-1490.8136681212477</v>
      </c>
      <c r="E76" s="23">
        <f t="shared" si="6"/>
        <v>-1962.0389723573244</v>
      </c>
      <c r="G76" s="5" t="s">
        <v>7</v>
      </c>
      <c r="H76" s="31">
        <v>252.26110492698973</v>
      </c>
      <c r="I76" s="39">
        <f>'SDZ DATOS'!X24</f>
        <v>96.165653662673463</v>
      </c>
      <c r="J76" s="39">
        <f t="shared" si="7"/>
        <v>49.064109011568092</v>
      </c>
      <c r="K76" s="12"/>
    </row>
    <row r="77" spans="1:11" s="21" customFormat="1" x14ac:dyDescent="0.2">
      <c r="B77" s="11">
        <v>120</v>
      </c>
      <c r="C77" s="67">
        <v>429.60693723969911</v>
      </c>
      <c r="D77" s="21">
        <f t="shared" si="5"/>
        <v>-1247.0722901585464</v>
      </c>
      <c r="E77" s="23">
        <f t="shared" si="6"/>
        <v>-1904.8364992849376</v>
      </c>
      <c r="G77" s="5" t="s">
        <v>7</v>
      </c>
      <c r="H77" s="31">
        <v>271.90672870837517</v>
      </c>
      <c r="I77" s="39">
        <f>'SDZ DATOS'!X6</f>
        <v>40.589055791764444</v>
      </c>
      <c r="J77" s="39">
        <f t="shared" si="7"/>
        <v>20.708701934573696</v>
      </c>
    </row>
    <row r="78" spans="1:11" s="21" customFormat="1" x14ac:dyDescent="0.2">
      <c r="B78" s="53">
        <v>111.30991099002721</v>
      </c>
      <c r="C78" s="65">
        <v>412.80211315067385</v>
      </c>
      <c r="D78" s="21">
        <f t="shared" si="5"/>
        <v>-1295.9789141917238</v>
      </c>
      <c r="E78" s="23">
        <f t="shared" si="6"/>
        <v>-1820.0041720713805</v>
      </c>
      <c r="G78" s="5" t="s">
        <v>7</v>
      </c>
      <c r="H78" s="31">
        <v>301.04479151637412</v>
      </c>
      <c r="I78" s="39">
        <f>'SDZ DATOS'!X25</f>
        <v>61.347833719924147</v>
      </c>
      <c r="J78" s="39">
        <f t="shared" si="7"/>
        <v>31.299915163226608</v>
      </c>
    </row>
    <row r="79" spans="1:11" s="21" customFormat="1" x14ac:dyDescent="0.2">
      <c r="B79" s="53">
        <v>96.309910990027205</v>
      </c>
      <c r="C79" s="65">
        <v>462.30232032799887</v>
      </c>
      <c r="D79" s="21">
        <f t="shared" si="5"/>
        <v>-1151.9240884732792</v>
      </c>
      <c r="E79" s="23">
        <f t="shared" si="6"/>
        <v>-1656.1204711942369</v>
      </c>
      <c r="G79" s="5" t="s">
        <v>7</v>
      </c>
      <c r="H79" s="31">
        <v>357.34395903877896</v>
      </c>
      <c r="I79" s="39">
        <f>'SDZ DATOS'!X26</f>
        <v>49.185885844787613</v>
      </c>
      <c r="J79" s="39">
        <f t="shared" si="7"/>
        <v>25.094839716728373</v>
      </c>
    </row>
    <row r="80" spans="1:11" s="21" customFormat="1" x14ac:dyDescent="0.2">
      <c r="B80" s="11">
        <v>90</v>
      </c>
      <c r="C80" s="67">
        <v>471.0108126002383</v>
      </c>
      <c r="D80" s="21">
        <f t="shared" si="5"/>
        <v>-1126.5820154200114</v>
      </c>
      <c r="E80" s="23">
        <f t="shared" si="6"/>
        <v>-1580.2405246907351</v>
      </c>
      <c r="G80" s="5" t="s">
        <v>7</v>
      </c>
      <c r="H80" s="31">
        <v>383.41417131916501</v>
      </c>
      <c r="I80" s="39">
        <f>'SDZ DATOS'!X7</f>
        <v>3.8208765534740103</v>
      </c>
      <c r="J80" s="39">
        <f t="shared" si="7"/>
        <v>1.9494268129969441</v>
      </c>
    </row>
    <row r="81" spans="2:10" s="21" customFormat="1" x14ac:dyDescent="0.2">
      <c r="B81" s="11">
        <v>75</v>
      </c>
      <c r="C81" s="67">
        <v>515.71467795395893</v>
      </c>
      <c r="D81" s="21">
        <f t="shared" si="5"/>
        <v>-996.49704269039171</v>
      </c>
      <c r="E81" s="23">
        <f t="shared" si="6"/>
        <v>-1382.5055413776381</v>
      </c>
      <c r="G81" s="5" t="s">
        <v>7</v>
      </c>
      <c r="H81" s="31">
        <v>451.35734201024042</v>
      </c>
      <c r="I81" s="39">
        <f>'SDZ DATOS'!X8</f>
        <v>5.9933250399336</v>
      </c>
      <c r="J81" s="39">
        <f t="shared" si="7"/>
        <v>3.0578188979253063</v>
      </c>
    </row>
    <row r="82" spans="2:10" s="21" customFormat="1" x14ac:dyDescent="0.2">
      <c r="B82" s="11">
        <v>60</v>
      </c>
      <c r="C82" s="67">
        <v>623.44138934169234</v>
      </c>
      <c r="D82" s="21">
        <f t="shared" si="5"/>
        <v>-683.04900610291634</v>
      </c>
      <c r="E82" s="23">
        <f t="shared" si="6"/>
        <v>-1159.3586191313555</v>
      </c>
      <c r="G82" s="5" t="s">
        <v>7</v>
      </c>
      <c r="H82" s="31">
        <v>528.0415906213309</v>
      </c>
      <c r="I82" s="39">
        <f>'SDZ DATOS'!X9</f>
        <v>23.835238220019708</v>
      </c>
      <c r="J82" s="39">
        <f t="shared" si="7"/>
        <v>12.160835826540668</v>
      </c>
    </row>
    <row r="83" spans="2:10" s="21" customFormat="1" x14ac:dyDescent="0.2">
      <c r="B83" s="11">
        <v>45</v>
      </c>
      <c r="C83" s="67">
        <v>680.89039784089664</v>
      </c>
      <c r="D83" s="21">
        <f t="shared" si="5"/>
        <v>-515.90497758215395</v>
      </c>
      <c r="E83" s="23">
        <f t="shared" si="6"/>
        <v>-909.88553767856195</v>
      </c>
      <c r="G83" s="5" t="s">
        <v>7</v>
      </c>
      <c r="H83" s="31">
        <v>613.78138629447551</v>
      </c>
      <c r="I83" s="39">
        <f>'SDZ DATOS'!X10</f>
        <v>56.047169205568593</v>
      </c>
      <c r="J83" s="39">
        <f t="shared" si="7"/>
        <v>28.595494492637037</v>
      </c>
    </row>
    <row r="84" spans="2:10" s="21" customFormat="1" x14ac:dyDescent="0.2">
      <c r="B84" s="11">
        <v>30</v>
      </c>
      <c r="C84" s="67">
        <v>728.61720963612936</v>
      </c>
      <c r="D84" s="21">
        <f t="shared" si="5"/>
        <v>-377.05250908324348</v>
      </c>
      <c r="E84" s="23">
        <f t="shared" si="6"/>
        <v>-633.54923227919448</v>
      </c>
      <c r="G84" s="5" t="s">
        <v>7</v>
      </c>
      <c r="H84" s="31">
        <v>708.76146600540937</v>
      </c>
      <c r="I84" s="39">
        <f>'SDZ DATOS'!X11</f>
        <v>59.344161435574684</v>
      </c>
      <c r="J84" s="39">
        <f t="shared" si="7"/>
        <v>30.277633385497289</v>
      </c>
    </row>
    <row r="85" spans="2:10" s="21" customFormat="1" x14ac:dyDescent="0.2">
      <c r="B85" s="11">
        <v>15</v>
      </c>
      <c r="C85" s="67">
        <v>858.2258595458411</v>
      </c>
      <c r="D85" s="21">
        <f t="shared" si="5"/>
        <v>0</v>
      </c>
      <c r="E85" s="23">
        <f t="shared" si="6"/>
        <v>-330.18965269019372</v>
      </c>
      <c r="G85" s="5" t="s">
        <v>7</v>
      </c>
      <c r="H85" s="31">
        <v>813.03688307568814</v>
      </c>
      <c r="I85" s="39">
        <f>'SDZ DATOS'!X12</f>
        <v>62.931991568338269</v>
      </c>
      <c r="J85" s="39">
        <f t="shared" si="7"/>
        <v>32.108158963437894</v>
      </c>
    </row>
    <row r="86" spans="2:10" s="21" customFormat="1" x14ac:dyDescent="0.2">
      <c r="B86" s="11">
        <v>0</v>
      </c>
      <c r="C86" s="67">
        <v>926.54118111360003</v>
      </c>
      <c r="D86" s="21">
        <f t="shared" ref="D86" si="8">LN(C86/$C$85)+$G$51*(C86-$C$85)+$G$50*B86</f>
        <v>198.73060788726892</v>
      </c>
      <c r="E86" s="23">
        <f t="shared" si="6"/>
        <v>1.8509461470728505E-6</v>
      </c>
      <c r="G86" s="5" t="s">
        <v>7</v>
      </c>
      <c r="H86" s="31">
        <v>926.54118174988753</v>
      </c>
      <c r="I86" s="39">
        <f>'SDZ DATOS'!X13</f>
        <v>37.839042132214217</v>
      </c>
      <c r="J86" s="39">
        <f t="shared" si="7"/>
        <v>19.305633740925622</v>
      </c>
    </row>
    <row r="87" spans="2:10" s="21" customFormat="1" x14ac:dyDescent="0.2">
      <c r="B87" s="24"/>
      <c r="D87" s="23"/>
      <c r="E87" s="23"/>
    </row>
    <row r="88" spans="2:10" s="21" customFormat="1" x14ac:dyDescent="0.2">
      <c r="B88" s="24"/>
      <c r="D88" s="23"/>
      <c r="E88" s="23"/>
    </row>
    <row r="89" spans="2:10" s="21" customFormat="1" x14ac:dyDescent="0.2">
      <c r="B89" s="24"/>
      <c r="D89" s="23"/>
      <c r="E89" s="23"/>
    </row>
    <row r="90" spans="2:10" s="21" customFormat="1" x14ac:dyDescent="0.2">
      <c r="B90" s="24"/>
      <c r="D90" s="23"/>
      <c r="E90" s="23"/>
    </row>
    <row r="91" spans="2:10" s="21" customFormat="1" x14ac:dyDescent="0.2">
      <c r="B91" s="24"/>
      <c r="D91" s="23"/>
      <c r="E91" s="23"/>
    </row>
    <row r="92" spans="2:10" s="21" customFormat="1" x14ac:dyDescent="0.2">
      <c r="B92" s="24"/>
      <c r="D92" s="23"/>
      <c r="E92" s="23"/>
    </row>
    <row r="93" spans="2:10" s="21" customFormat="1" ht="17" x14ac:dyDescent="0.2">
      <c r="B93" s="24"/>
      <c r="D93" s="23"/>
      <c r="E93" s="23"/>
      <c r="H93" s="8" t="s">
        <v>5</v>
      </c>
      <c r="I93" s="9">
        <f>RSQ(H56:H86,C56:C86)</f>
        <v>0.97795401283488759</v>
      </c>
    </row>
    <row r="94" spans="2:10" s="21" customFormat="1" x14ac:dyDescent="0.2">
      <c r="B94" s="24"/>
      <c r="D94" s="23"/>
      <c r="E94" s="23"/>
    </row>
    <row r="95" spans="2:10" s="21" customFormat="1" x14ac:dyDescent="0.2"/>
    <row r="96" spans="2:10" s="21" customFormat="1" x14ac:dyDescent="0.2"/>
    <row r="97" spans="2:6" s="21" customFormat="1" x14ac:dyDescent="0.2">
      <c r="B97" s="23"/>
      <c r="C97" s="23"/>
      <c r="F97" s="26"/>
    </row>
    <row r="98" spans="2:6" s="21" customFormat="1" x14ac:dyDescent="0.2">
      <c r="B98" s="23"/>
      <c r="C98" s="23"/>
    </row>
    <row r="99" spans="2:6" s="21" customFormat="1" x14ac:dyDescent="0.2">
      <c r="B99" s="23"/>
    </row>
    <row r="100" spans="2:6" s="21" customFormat="1" x14ac:dyDescent="0.2"/>
    <row r="101" spans="2:6" s="21" customFormat="1" x14ac:dyDescent="0.2"/>
    <row r="102" spans="2:6" s="21" customFormat="1" x14ac:dyDescent="0.2">
      <c r="B102" s="24"/>
      <c r="C102" s="27"/>
      <c r="D102" s="23"/>
      <c r="E102" s="23"/>
    </row>
    <row r="103" spans="2:6" s="21" customFormat="1" x14ac:dyDescent="0.2">
      <c r="B103" s="24"/>
      <c r="C103" s="27"/>
      <c r="D103" s="23"/>
      <c r="E103" s="23"/>
    </row>
    <row r="104" spans="2:6" s="21" customFormat="1" x14ac:dyDescent="0.2">
      <c r="B104" s="24"/>
      <c r="C104" s="27"/>
      <c r="D104" s="23"/>
      <c r="E104" s="23"/>
    </row>
    <row r="105" spans="2:6" s="21" customFormat="1" x14ac:dyDescent="0.2">
      <c r="B105" s="24"/>
      <c r="C105" s="27"/>
      <c r="D105" s="23"/>
      <c r="E105" s="23"/>
    </row>
    <row r="106" spans="2:6" s="21" customFormat="1" x14ac:dyDescent="0.2">
      <c r="B106" s="24"/>
      <c r="C106" s="27"/>
      <c r="D106" s="23"/>
      <c r="E106" s="23"/>
    </row>
    <row r="107" spans="2:6" s="21" customFormat="1" x14ac:dyDescent="0.2">
      <c r="B107" s="24"/>
      <c r="C107" s="27"/>
      <c r="D107" s="23"/>
      <c r="E107" s="23"/>
    </row>
    <row r="108" spans="2:6" s="21" customFormat="1" x14ac:dyDescent="0.2">
      <c r="B108" s="24"/>
      <c r="C108" s="27"/>
      <c r="D108" s="23"/>
      <c r="E108" s="23"/>
    </row>
    <row r="109" spans="2:6" s="21" customFormat="1" x14ac:dyDescent="0.2">
      <c r="B109" s="24"/>
      <c r="C109" s="27"/>
      <c r="D109" s="23"/>
      <c r="E109" s="23"/>
    </row>
    <row r="110" spans="2:6" s="21" customFormat="1" x14ac:dyDescent="0.2">
      <c r="B110" s="24"/>
      <c r="C110" s="27"/>
      <c r="D110" s="23"/>
      <c r="E110" s="23"/>
    </row>
    <row r="111" spans="2:6" s="21" customFormat="1" x14ac:dyDescent="0.2">
      <c r="B111" s="24"/>
      <c r="C111" s="27"/>
      <c r="D111" s="23"/>
      <c r="E111" s="23"/>
    </row>
    <row r="112" spans="2:6" s="21" customFormat="1" x14ac:dyDescent="0.2">
      <c r="B112" s="24"/>
      <c r="C112" s="27"/>
      <c r="D112" s="23"/>
      <c r="E112" s="23"/>
    </row>
    <row r="113" spans="2:10" s="21" customFormat="1" x14ac:dyDescent="0.2">
      <c r="B113" s="24"/>
      <c r="C113" s="27"/>
      <c r="D113" s="23"/>
      <c r="E113" s="23"/>
    </row>
    <row r="114" spans="2:10" s="21" customFormat="1" x14ac:dyDescent="0.2">
      <c r="B114" s="24"/>
      <c r="C114" s="27"/>
      <c r="D114" s="23"/>
      <c r="E114" s="23"/>
    </row>
    <row r="115" spans="2:10" s="21" customFormat="1" x14ac:dyDescent="0.2">
      <c r="B115" s="24"/>
      <c r="C115" s="27"/>
      <c r="D115" s="23"/>
      <c r="E115" s="23"/>
    </row>
    <row r="116" spans="2:10" s="21" customFormat="1" x14ac:dyDescent="0.2">
      <c r="B116" s="24"/>
      <c r="C116" s="27"/>
      <c r="D116" s="23"/>
      <c r="E116" s="23"/>
    </row>
    <row r="117" spans="2:10" s="21" customFormat="1" x14ac:dyDescent="0.2">
      <c r="B117" s="24"/>
      <c r="C117" s="27"/>
      <c r="D117" s="23"/>
      <c r="E117" s="23"/>
    </row>
    <row r="118" spans="2:10" s="21" customFormat="1" x14ac:dyDescent="0.2">
      <c r="B118" s="24"/>
      <c r="C118" s="27"/>
      <c r="D118" s="23"/>
      <c r="E118" s="23"/>
    </row>
    <row r="119" spans="2:10" s="21" customFormat="1" x14ac:dyDescent="0.2">
      <c r="B119" s="24"/>
      <c r="C119" s="27"/>
      <c r="D119" s="23"/>
      <c r="E119" s="23"/>
    </row>
    <row r="120" spans="2:10" s="21" customFormat="1" x14ac:dyDescent="0.2">
      <c r="B120" s="24"/>
      <c r="C120" s="27"/>
      <c r="D120" s="23"/>
      <c r="E120" s="23"/>
    </row>
    <row r="121" spans="2:10" s="21" customFormat="1" x14ac:dyDescent="0.2">
      <c r="B121" s="24"/>
      <c r="C121" s="27"/>
      <c r="D121" s="23"/>
      <c r="E121" s="23"/>
      <c r="J121" s="25"/>
    </row>
    <row r="122" spans="2:10" s="21" customFormat="1" x14ac:dyDescent="0.2">
      <c r="B122" s="24"/>
      <c r="C122" s="27"/>
      <c r="D122" s="23"/>
      <c r="E122" s="23"/>
      <c r="J122" s="22"/>
    </row>
    <row r="123" spans="2:10" s="21" customFormat="1" x14ac:dyDescent="0.2">
      <c r="B123" s="24"/>
      <c r="C123" s="27"/>
      <c r="D123" s="23"/>
      <c r="E123" s="23"/>
    </row>
    <row r="124" spans="2:10" s="21" customFormat="1" x14ac:dyDescent="0.2">
      <c r="B124" s="24"/>
      <c r="C124" s="27"/>
      <c r="D124" s="23"/>
      <c r="E124" s="23"/>
    </row>
    <row r="125" spans="2:10" s="21" customFormat="1" x14ac:dyDescent="0.2">
      <c r="B125" s="24"/>
      <c r="C125" s="27"/>
      <c r="D125" s="23"/>
      <c r="E125" s="23"/>
    </row>
    <row r="126" spans="2:10" s="21" customFormat="1" x14ac:dyDescent="0.2">
      <c r="B126" s="24"/>
      <c r="C126" s="27"/>
      <c r="D126" s="23"/>
      <c r="E126" s="23"/>
    </row>
    <row r="127" spans="2:10" s="21" customFormat="1" x14ac:dyDescent="0.2">
      <c r="B127" s="24"/>
      <c r="C127" s="27"/>
      <c r="D127" s="23"/>
      <c r="E127" s="23"/>
    </row>
    <row r="128" spans="2:10" s="21" customFormat="1" x14ac:dyDescent="0.2">
      <c r="B128" s="24"/>
      <c r="C128" s="27"/>
      <c r="D128" s="23"/>
      <c r="E128" s="23"/>
    </row>
    <row r="129" spans="2:6" s="21" customFormat="1" x14ac:dyDescent="0.2">
      <c r="B129" s="24"/>
      <c r="C129" s="27"/>
      <c r="D129" s="23"/>
      <c r="E129" s="23"/>
    </row>
    <row r="130" spans="2:6" s="21" customFormat="1" x14ac:dyDescent="0.2">
      <c r="B130" s="24"/>
      <c r="C130" s="27"/>
      <c r="D130" s="23"/>
      <c r="E130" s="23"/>
    </row>
    <row r="131" spans="2:6" s="21" customFormat="1" x14ac:dyDescent="0.2">
      <c r="B131" s="24"/>
      <c r="C131" s="27"/>
      <c r="D131" s="23"/>
      <c r="E131" s="23"/>
    </row>
    <row r="132" spans="2:6" s="21" customFormat="1" x14ac:dyDescent="0.2">
      <c r="B132" s="24"/>
      <c r="C132" s="27"/>
      <c r="D132" s="23"/>
      <c r="E132" s="23"/>
    </row>
    <row r="133" spans="2:6" s="21" customFormat="1" x14ac:dyDescent="0.2">
      <c r="B133" s="24"/>
      <c r="C133" s="27"/>
      <c r="D133" s="23"/>
      <c r="E133" s="23"/>
    </row>
    <row r="134" spans="2:6" s="21" customFormat="1" x14ac:dyDescent="0.2">
      <c r="B134" s="24"/>
      <c r="C134" s="27"/>
      <c r="D134" s="23"/>
      <c r="E134" s="23"/>
    </row>
    <row r="135" spans="2:6" s="21" customFormat="1" x14ac:dyDescent="0.2">
      <c r="B135" s="24"/>
      <c r="C135" s="27"/>
      <c r="D135" s="23"/>
      <c r="E135" s="23"/>
    </row>
    <row r="136" spans="2:6" s="21" customFormat="1" x14ac:dyDescent="0.2">
      <c r="B136" s="24"/>
      <c r="C136" s="27"/>
      <c r="D136" s="23"/>
      <c r="E136" s="23"/>
    </row>
    <row r="137" spans="2:6" s="21" customFormat="1" x14ac:dyDescent="0.2">
      <c r="B137" s="24"/>
      <c r="C137" s="27"/>
      <c r="D137" s="23"/>
      <c r="E137" s="23"/>
    </row>
    <row r="138" spans="2:6" s="21" customFormat="1" x14ac:dyDescent="0.2"/>
    <row r="139" spans="2:6" s="21" customFormat="1" x14ac:dyDescent="0.2"/>
    <row r="140" spans="2:6" s="21" customFormat="1" x14ac:dyDescent="0.2">
      <c r="B140" s="23"/>
      <c r="C140" s="23"/>
      <c r="F140" s="26"/>
    </row>
    <row r="141" spans="2:6" s="21" customFormat="1" x14ac:dyDescent="0.2">
      <c r="B141" s="23"/>
      <c r="C141" s="23"/>
    </row>
    <row r="142" spans="2:6" s="21" customFormat="1" x14ac:dyDescent="0.2">
      <c r="B142" s="23"/>
    </row>
    <row r="143" spans="2:6" s="21" customFormat="1" x14ac:dyDescent="0.2">
      <c r="B143" s="23"/>
      <c r="C143" s="23"/>
    </row>
    <row r="144" spans="2:6" s="21" customFormat="1" x14ac:dyDescent="0.2"/>
    <row r="145" spans="2:5" s="21" customFormat="1" x14ac:dyDescent="0.2"/>
    <row r="146" spans="2:5" s="21" customFormat="1" x14ac:dyDescent="0.2">
      <c r="B146" s="24"/>
      <c r="C146" s="27"/>
      <c r="D146" s="23"/>
      <c r="E146" s="23"/>
    </row>
    <row r="147" spans="2:5" s="21" customFormat="1" x14ac:dyDescent="0.2">
      <c r="B147" s="24"/>
      <c r="C147" s="27"/>
      <c r="D147" s="23"/>
      <c r="E147" s="23"/>
    </row>
    <row r="148" spans="2:5" s="21" customFormat="1" x14ac:dyDescent="0.2">
      <c r="B148" s="24"/>
      <c r="C148" s="27"/>
      <c r="D148" s="23"/>
      <c r="E148" s="23"/>
    </row>
    <row r="149" spans="2:5" s="21" customFormat="1" x14ac:dyDescent="0.2">
      <c r="B149" s="24"/>
      <c r="C149" s="27"/>
      <c r="D149" s="23"/>
      <c r="E149" s="23"/>
    </row>
    <row r="150" spans="2:5" s="21" customFormat="1" x14ac:dyDescent="0.2">
      <c r="B150" s="24"/>
      <c r="C150" s="27"/>
      <c r="D150" s="23"/>
      <c r="E150" s="23"/>
    </row>
    <row r="151" spans="2:5" s="21" customFormat="1" x14ac:dyDescent="0.2">
      <c r="B151" s="24"/>
      <c r="C151" s="27"/>
      <c r="D151" s="23"/>
      <c r="E151" s="23"/>
    </row>
    <row r="152" spans="2:5" s="21" customFormat="1" x14ac:dyDescent="0.2">
      <c r="B152" s="24"/>
      <c r="C152" s="27"/>
      <c r="D152" s="23"/>
      <c r="E152" s="23"/>
    </row>
    <row r="153" spans="2:5" s="21" customFormat="1" x14ac:dyDescent="0.2">
      <c r="B153" s="24"/>
      <c r="C153" s="27"/>
      <c r="D153" s="23"/>
      <c r="E153" s="23"/>
    </row>
    <row r="154" spans="2:5" s="21" customFormat="1" x14ac:dyDescent="0.2">
      <c r="B154" s="24"/>
      <c r="C154" s="27"/>
      <c r="D154" s="23"/>
      <c r="E154" s="23"/>
    </row>
    <row r="155" spans="2:5" s="21" customFormat="1" x14ac:dyDescent="0.2">
      <c r="B155" s="24"/>
      <c r="C155" s="27"/>
      <c r="D155" s="23"/>
      <c r="E155" s="23"/>
    </row>
    <row r="156" spans="2:5" s="21" customFormat="1" x14ac:dyDescent="0.2">
      <c r="B156" s="24"/>
      <c r="C156" s="27"/>
      <c r="D156" s="23"/>
      <c r="E156" s="23"/>
    </row>
    <row r="157" spans="2:5" s="21" customFormat="1" x14ac:dyDescent="0.2">
      <c r="B157" s="24"/>
      <c r="C157" s="27"/>
      <c r="D157" s="23"/>
      <c r="E157" s="23"/>
    </row>
    <row r="158" spans="2:5" s="21" customFormat="1" x14ac:dyDescent="0.2">
      <c r="B158" s="24"/>
      <c r="C158" s="27"/>
      <c r="D158" s="23"/>
      <c r="E158" s="23"/>
    </row>
    <row r="159" spans="2:5" s="21" customFormat="1" x14ac:dyDescent="0.2">
      <c r="B159" s="24"/>
      <c r="C159" s="27"/>
      <c r="D159" s="23"/>
      <c r="E159" s="23"/>
    </row>
    <row r="160" spans="2:5" s="21" customFormat="1" x14ac:dyDescent="0.2">
      <c r="B160" s="24"/>
      <c r="C160" s="27"/>
      <c r="D160" s="23"/>
      <c r="E160" s="23"/>
    </row>
    <row r="161" spans="2:10" s="21" customFormat="1" x14ac:dyDescent="0.2">
      <c r="B161" s="24"/>
      <c r="C161" s="27"/>
      <c r="D161" s="23"/>
      <c r="E161" s="23"/>
    </row>
    <row r="162" spans="2:10" s="21" customFormat="1" x14ac:dyDescent="0.2">
      <c r="B162" s="24"/>
      <c r="C162" s="27"/>
      <c r="D162" s="23"/>
      <c r="E162" s="23"/>
    </row>
    <row r="163" spans="2:10" s="21" customFormat="1" x14ac:dyDescent="0.2">
      <c r="B163" s="24"/>
      <c r="C163" s="27"/>
      <c r="D163" s="23"/>
      <c r="E163" s="23"/>
    </row>
    <row r="164" spans="2:10" s="21" customFormat="1" x14ac:dyDescent="0.2">
      <c r="B164" s="24"/>
      <c r="C164" s="27"/>
      <c r="D164" s="23"/>
      <c r="E164" s="23"/>
    </row>
    <row r="165" spans="2:10" s="21" customFormat="1" x14ac:dyDescent="0.2">
      <c r="B165" s="24"/>
      <c r="C165" s="27"/>
      <c r="D165" s="23"/>
      <c r="E165" s="23"/>
      <c r="J165" s="28"/>
    </row>
    <row r="166" spans="2:10" s="21" customFormat="1" x14ac:dyDescent="0.2">
      <c r="B166" s="24"/>
      <c r="C166" s="27"/>
      <c r="D166" s="23"/>
      <c r="E166" s="23"/>
      <c r="J166" s="22"/>
    </row>
    <row r="167" spans="2:10" s="21" customFormat="1" x14ac:dyDescent="0.2">
      <c r="B167" s="24"/>
      <c r="C167" s="27"/>
      <c r="D167" s="23"/>
      <c r="E167" s="23"/>
    </row>
    <row r="168" spans="2:10" s="21" customFormat="1" x14ac:dyDescent="0.2">
      <c r="B168" s="24"/>
      <c r="C168" s="27"/>
      <c r="D168" s="23"/>
      <c r="E168" s="23"/>
    </row>
    <row r="169" spans="2:10" s="21" customFormat="1" x14ac:dyDescent="0.2">
      <c r="B169" s="24"/>
      <c r="C169" s="27"/>
      <c r="D169" s="23"/>
      <c r="E169" s="23"/>
    </row>
    <row r="170" spans="2:10" s="21" customFormat="1" x14ac:dyDescent="0.2">
      <c r="B170" s="24"/>
      <c r="C170" s="27"/>
      <c r="D170" s="23"/>
      <c r="E170" s="23"/>
    </row>
    <row r="171" spans="2:10" s="21" customFormat="1" x14ac:dyDescent="0.2">
      <c r="B171" s="24"/>
      <c r="C171" s="27"/>
      <c r="D171" s="23"/>
      <c r="E171" s="23"/>
    </row>
    <row r="172" spans="2:10" s="21" customFormat="1" x14ac:dyDescent="0.2">
      <c r="B172" s="24"/>
      <c r="C172" s="27"/>
      <c r="D172" s="23"/>
      <c r="E172" s="23"/>
    </row>
    <row r="173" spans="2:10" s="21" customFormat="1" x14ac:dyDescent="0.2">
      <c r="B173" s="24"/>
      <c r="C173" s="27"/>
      <c r="D173" s="23"/>
      <c r="E173" s="23"/>
    </row>
    <row r="174" spans="2:10" s="21" customFormat="1" x14ac:dyDescent="0.2">
      <c r="B174" s="24"/>
      <c r="C174" s="27"/>
      <c r="D174" s="23"/>
      <c r="E174" s="23"/>
    </row>
    <row r="175" spans="2:10" s="21" customFormat="1" x14ac:dyDescent="0.2">
      <c r="B175" s="24"/>
      <c r="C175" s="27"/>
      <c r="D175" s="23"/>
      <c r="E175" s="23"/>
    </row>
    <row r="176" spans="2:10" s="21" customFormat="1" x14ac:dyDescent="0.2">
      <c r="B176" s="24"/>
      <c r="C176" s="27"/>
      <c r="D176" s="23"/>
      <c r="E176" s="23"/>
    </row>
    <row r="177" spans="2:9" s="21" customFormat="1" x14ac:dyDescent="0.2">
      <c r="B177" s="24"/>
      <c r="C177" s="27"/>
      <c r="D177" s="23"/>
      <c r="E177" s="23"/>
    </row>
    <row r="178" spans="2:9" s="21" customFormat="1" x14ac:dyDescent="0.2">
      <c r="B178" s="24"/>
      <c r="C178" s="27"/>
      <c r="D178" s="23"/>
      <c r="E178" s="23"/>
    </row>
    <row r="179" spans="2:9" s="21" customFormat="1" x14ac:dyDescent="0.2">
      <c r="B179" s="24"/>
      <c r="C179" s="27"/>
      <c r="D179" s="23"/>
      <c r="E179" s="23"/>
    </row>
    <row r="180" spans="2:9" x14ac:dyDescent="0.2">
      <c r="B180" s="24"/>
      <c r="C180" s="27"/>
      <c r="D180" s="23"/>
      <c r="E180" s="23"/>
      <c r="F180" s="21"/>
      <c r="G180" s="21"/>
      <c r="H180" s="21"/>
      <c r="I180" s="21"/>
    </row>
    <row r="181" spans="2:9" x14ac:dyDescent="0.2">
      <c r="B181" s="24"/>
      <c r="C181" s="27"/>
      <c r="D181" s="23"/>
      <c r="E181" s="23"/>
      <c r="F181" s="21"/>
      <c r="G181" s="21"/>
      <c r="H181" s="21"/>
      <c r="I181" s="21"/>
    </row>
    <row r="182" spans="2:9" x14ac:dyDescent="0.2">
      <c r="B182" s="21"/>
      <c r="C182" s="21"/>
      <c r="D182" s="21"/>
      <c r="E182" s="21"/>
      <c r="F182" s="21"/>
      <c r="G182" s="21"/>
      <c r="H182" s="21"/>
      <c r="I182" s="21"/>
    </row>
    <row r="183" spans="2:9" x14ac:dyDescent="0.2">
      <c r="B183" s="21"/>
      <c r="C183" s="21"/>
      <c r="D183" s="21"/>
      <c r="E183" s="21"/>
      <c r="F183" s="21"/>
      <c r="G183" s="21"/>
      <c r="H183" s="21"/>
      <c r="I183" s="21"/>
    </row>
    <row r="184" spans="2:9" x14ac:dyDescent="0.2">
      <c r="B184" s="23"/>
      <c r="C184" s="23"/>
      <c r="D184" s="21"/>
      <c r="E184" s="21"/>
      <c r="F184" s="26"/>
      <c r="G184" s="21"/>
      <c r="H184" s="21"/>
      <c r="I184" s="21"/>
    </row>
    <row r="185" spans="2:9" x14ac:dyDescent="0.2">
      <c r="B185" s="23"/>
      <c r="C185" s="23"/>
      <c r="D185" s="21"/>
      <c r="E185" s="21"/>
      <c r="F185" s="21"/>
      <c r="G185" s="21"/>
      <c r="H185" s="21"/>
      <c r="I185" s="21"/>
    </row>
    <row r="186" spans="2:9" x14ac:dyDescent="0.2">
      <c r="B186" s="23"/>
      <c r="C186" s="21"/>
      <c r="D186" s="21"/>
      <c r="E186" s="21"/>
      <c r="F186" s="21"/>
      <c r="G186" s="21"/>
      <c r="H186" s="21"/>
      <c r="I186" s="21"/>
    </row>
    <row r="187" spans="2:9" x14ac:dyDescent="0.2">
      <c r="B187" s="23"/>
      <c r="C187" s="23"/>
      <c r="D187" s="21"/>
      <c r="E187" s="21"/>
      <c r="F187" s="21"/>
      <c r="G187" s="21"/>
      <c r="H187" s="21"/>
      <c r="I187" s="21"/>
    </row>
    <row r="188" spans="2:9" x14ac:dyDescent="0.2">
      <c r="B188" s="3"/>
      <c r="C188" s="3"/>
    </row>
    <row r="189" spans="2:9" x14ac:dyDescent="0.2">
      <c r="B189" s="3"/>
      <c r="C189" s="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2:AI174"/>
  <sheetViews>
    <sheetView topLeftCell="A13" zoomScale="80" zoomScaleNormal="80" workbookViewId="0">
      <selection activeCell="F39" sqref="F39:G39"/>
    </sheetView>
  </sheetViews>
  <sheetFormatPr baseColWidth="10" defaultColWidth="11.5" defaultRowHeight="16" x14ac:dyDescent="0.2"/>
  <cols>
    <col min="1" max="2" width="11.5" style="1"/>
    <col min="3" max="5" width="12.83203125" style="1" bestFit="1" customWidth="1"/>
    <col min="6" max="6" width="11.5" style="1"/>
    <col min="7" max="7" width="12.5" style="1" bestFit="1" customWidth="1"/>
    <col min="8" max="8" width="15.83203125" style="1" customWidth="1"/>
    <col min="9" max="9" width="11.5" style="1"/>
    <col min="10" max="10" width="12.6640625" style="1" customWidth="1"/>
    <col min="11" max="16384" width="11.5" style="1"/>
  </cols>
  <sheetData>
    <row r="2" spans="2:35" ht="21" x14ac:dyDescent="0.25">
      <c r="B2" s="36" t="s">
        <v>17</v>
      </c>
    </row>
    <row r="3" spans="2:35" x14ac:dyDescent="0.2">
      <c r="N3" s="51" t="s">
        <v>8</v>
      </c>
      <c r="O3" s="51" t="s">
        <v>33</v>
      </c>
      <c r="P3" s="51" t="s">
        <v>35</v>
      </c>
      <c r="Q3" s="51" t="s">
        <v>36</v>
      </c>
      <c r="R3" s="51" t="s">
        <v>37</v>
      </c>
    </row>
    <row r="4" spans="2:35" x14ac:dyDescent="0.2">
      <c r="B4" s="10"/>
      <c r="D4" s="3"/>
      <c r="E4" s="3"/>
      <c r="G4" s="1" t="s">
        <v>18</v>
      </c>
      <c r="I4" s="33"/>
      <c r="J4" s="15"/>
      <c r="K4" s="21"/>
      <c r="L4" s="34"/>
      <c r="M4" s="21"/>
      <c r="N4" s="52" t="s">
        <v>9</v>
      </c>
      <c r="O4" s="51" t="s">
        <v>34</v>
      </c>
    </row>
    <row r="5" spans="2:35" x14ac:dyDescent="0.2">
      <c r="B5" s="10"/>
      <c r="D5" s="3"/>
      <c r="E5" s="3"/>
      <c r="I5" s="33"/>
      <c r="J5" s="15"/>
      <c r="K5" s="21"/>
      <c r="L5" s="34"/>
      <c r="M5" s="21"/>
      <c r="N5" s="21"/>
    </row>
    <row r="6" spans="2:35" x14ac:dyDescent="0.2">
      <c r="B6" s="10"/>
      <c r="D6" s="3"/>
      <c r="E6" s="3"/>
      <c r="I6" s="33"/>
      <c r="J6" s="15"/>
      <c r="K6" s="21"/>
      <c r="L6" s="34"/>
      <c r="M6" s="12"/>
      <c r="N6" s="21"/>
    </row>
    <row r="7" spans="2:35" x14ac:dyDescent="0.2">
      <c r="B7" s="10"/>
      <c r="C7" s="2" t="s">
        <v>2</v>
      </c>
      <c r="D7" s="1" t="s">
        <v>3</v>
      </c>
      <c r="E7" s="3"/>
      <c r="I7" s="33"/>
      <c r="J7" s="15"/>
      <c r="K7" s="21"/>
      <c r="L7" s="34"/>
      <c r="M7" s="12"/>
      <c r="N7" s="21"/>
    </row>
    <row r="8" spans="2:35" x14ac:dyDescent="0.2">
      <c r="B8" s="10"/>
      <c r="D8" s="3"/>
      <c r="E8" s="3"/>
      <c r="I8" s="96" t="s">
        <v>71</v>
      </c>
      <c r="J8" s="96" t="s">
        <v>72</v>
      </c>
      <c r="L8" s="34"/>
      <c r="M8" s="12"/>
      <c r="N8" s="21"/>
    </row>
    <row r="9" spans="2:35" ht="17" x14ac:dyDescent="0.2">
      <c r="B9" s="10"/>
      <c r="C9" s="1" t="s">
        <v>6</v>
      </c>
      <c r="D9" s="3" t="s">
        <v>11</v>
      </c>
      <c r="E9" s="30" t="s">
        <v>12</v>
      </c>
      <c r="G9" s="1" t="s">
        <v>16</v>
      </c>
      <c r="I9" s="43" t="s">
        <v>32</v>
      </c>
      <c r="J9" s="43" t="s">
        <v>32</v>
      </c>
      <c r="M9" s="1" t="s">
        <v>19</v>
      </c>
      <c r="U9" s="47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</row>
    <row r="10" spans="2:35" x14ac:dyDescent="0.2">
      <c r="B10" s="10"/>
      <c r="D10" s="3"/>
      <c r="E10" s="30"/>
      <c r="I10" s="43"/>
      <c r="J10" s="15"/>
      <c r="M10" s="12"/>
      <c r="N10" s="79" t="s">
        <v>73</v>
      </c>
      <c r="U10" s="47"/>
      <c r="V10" s="49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</row>
    <row r="11" spans="2:35" x14ac:dyDescent="0.2">
      <c r="B11" s="27">
        <v>212.01709744260734</v>
      </c>
      <c r="C11" s="63">
        <v>0.75472884881890401</v>
      </c>
      <c r="D11" s="1">
        <f t="shared" ref="D11:D30" si="0">$C$31*(EXP(-$G$40*B11))</f>
        <v>7.1596130983778163E-254</v>
      </c>
      <c r="E11" s="1">
        <f t="shared" ref="E11:E30" si="1">$G$40*B11</f>
        <v>589.53604583910953</v>
      </c>
      <c r="F11" s="3"/>
      <c r="G11" s="1">
        <f>(D11-C11)^2</f>
        <v>0.56961563523950809</v>
      </c>
      <c r="I11" s="61">
        <f>'CIP DATOS'!AG50</f>
        <v>3.0786738729653984</v>
      </c>
      <c r="J11" s="61">
        <f>'CIP DATOS'!AH50</f>
        <v>8.993247026466344</v>
      </c>
      <c r="L11" s="1">
        <f>-LN(C11/$C$31)</f>
        <v>6.9292848964718159</v>
      </c>
      <c r="M11" s="21"/>
      <c r="N11" s="21"/>
      <c r="U11" s="47"/>
      <c r="V11" s="47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</row>
    <row r="12" spans="2:35" x14ac:dyDescent="0.2">
      <c r="B12" s="27">
        <v>197.01709744260734</v>
      </c>
      <c r="C12" s="63">
        <v>1.9575607808517868</v>
      </c>
      <c r="D12" s="1">
        <f t="shared" si="0"/>
        <v>9.3093248943049592E-236</v>
      </c>
      <c r="E12" s="1">
        <f t="shared" si="1"/>
        <v>547.82695353356826</v>
      </c>
      <c r="F12" s="3"/>
      <c r="G12" s="1">
        <f t="shared" ref="G12:G31" si="2">(D12-C12)^2</f>
        <v>3.8320442107290571</v>
      </c>
      <c r="I12" s="41">
        <f>'CIP DATOS'!AG51</f>
        <v>4.1376705263684057</v>
      </c>
      <c r="J12" s="41">
        <f>'CIP DATOS'!AH51</f>
        <v>9.103174687708087</v>
      </c>
      <c r="L12" s="1">
        <f t="shared" ref="L12:L31" si="3">-LN(C12/$C$31)</f>
        <v>5.9761889629507055</v>
      </c>
      <c r="M12" s="21"/>
      <c r="N12" s="21"/>
      <c r="U12" s="47"/>
      <c r="V12" s="47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</row>
    <row r="13" spans="2:35" x14ac:dyDescent="0.2">
      <c r="B13" s="27">
        <v>182.01709744260734</v>
      </c>
      <c r="C13" s="63">
        <v>8.111970672769786</v>
      </c>
      <c r="D13" s="1">
        <f t="shared" si="0"/>
        <v>1.2104499055593069E-217</v>
      </c>
      <c r="E13" s="1">
        <f t="shared" si="1"/>
        <v>506.11786122802698</v>
      </c>
      <c r="F13" s="3"/>
      <c r="G13" s="1">
        <f t="shared" si="2"/>
        <v>65.804068195877093</v>
      </c>
      <c r="I13" s="41">
        <f>'CIP DATOS'!AG52</f>
        <v>4.1049278764984996</v>
      </c>
      <c r="J13" s="41">
        <f>'CIP DATOS'!AH52</f>
        <v>9.0993151523441433</v>
      </c>
      <c r="L13" s="1">
        <f t="shared" si="3"/>
        <v>4.5545473300424755</v>
      </c>
      <c r="M13" s="21"/>
      <c r="N13" s="21"/>
      <c r="U13" s="47"/>
      <c r="V13" s="47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50"/>
      <c r="AH13" s="48">
        <f>1/29.356</f>
        <v>3.406458645592042E-2</v>
      </c>
      <c r="AI13" s="48"/>
    </row>
    <row r="14" spans="2:35" x14ac:dyDescent="0.2">
      <c r="B14" s="27">
        <v>176.34294846431743</v>
      </c>
      <c r="C14" s="64">
        <v>9.0880253268987179</v>
      </c>
      <c r="D14" s="1">
        <f t="shared" si="0"/>
        <v>8.6111262868962014E-211</v>
      </c>
      <c r="E14" s="1">
        <f t="shared" si="1"/>
        <v>490.34028766196792</v>
      </c>
      <c r="F14" s="3"/>
      <c r="G14" s="1">
        <f t="shared" si="2"/>
        <v>82.592204342352545</v>
      </c>
      <c r="I14" s="41">
        <f>'CIP DATOS'!AG35</f>
        <v>11.55909466745582</v>
      </c>
      <c r="J14" s="41">
        <f>'CIP DATOS'!AH35</f>
        <v>9.0614658577425509</v>
      </c>
      <c r="L14" s="1">
        <f t="shared" si="3"/>
        <v>4.4409305127694827</v>
      </c>
      <c r="M14" s="17"/>
      <c r="N14" s="12"/>
      <c r="U14" s="47"/>
      <c r="V14" s="47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50"/>
      <c r="AH14" s="48">
        <f>AH13*0.1329</f>
        <v>4.5271835399918236E-3</v>
      </c>
      <c r="AI14" s="48"/>
    </row>
    <row r="15" spans="2:35" x14ac:dyDescent="0.2">
      <c r="B15" s="27">
        <v>161.34294846431743</v>
      </c>
      <c r="C15" s="64">
        <v>11.668292406235523</v>
      </c>
      <c r="D15" s="1">
        <f t="shared" si="0"/>
        <v>1.1196662614180881E-192</v>
      </c>
      <c r="E15" s="1">
        <f t="shared" si="1"/>
        <v>448.63119535642664</v>
      </c>
      <c r="F15" s="3"/>
      <c r="G15" s="1">
        <f t="shared" si="2"/>
        <v>136.14904767741356</v>
      </c>
      <c r="I15" s="41">
        <f>'CIP DATOS'!AG36</f>
        <v>11.459094921036044</v>
      </c>
      <c r="J15" s="41">
        <f>'CIP DATOS'!AH36</f>
        <v>9.0283432948257705</v>
      </c>
      <c r="L15" s="1">
        <f t="shared" si="3"/>
        <v>4.1910130493760249</v>
      </c>
      <c r="M15" s="17"/>
      <c r="N15" s="12"/>
      <c r="U15" s="47"/>
      <c r="V15" s="47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</row>
    <row r="16" spans="2:35" x14ac:dyDescent="0.2">
      <c r="B16" s="27">
        <v>146.34294846431743</v>
      </c>
      <c r="C16" s="64">
        <v>19.425798717946961</v>
      </c>
      <c r="D16" s="1">
        <f t="shared" si="0"/>
        <v>1.4558519933282204E-174</v>
      </c>
      <c r="E16" s="1">
        <f t="shared" si="1"/>
        <v>406.92210305088543</v>
      </c>
      <c r="F16" s="3"/>
      <c r="G16" s="1">
        <f t="shared" si="2"/>
        <v>377.36165583018976</v>
      </c>
      <c r="I16" s="41">
        <f>'CIP DATOS'!AG37</f>
        <v>11.410067141291375</v>
      </c>
      <c r="J16" s="41">
        <f>'CIP DATOS'!AH37</f>
        <v>9.0121650439760881</v>
      </c>
      <c r="L16" s="1">
        <f t="shared" si="3"/>
        <v>3.6812861481456314</v>
      </c>
      <c r="M16" s="35"/>
      <c r="N16" s="21"/>
      <c r="U16" s="47"/>
      <c r="V16" s="47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</row>
    <row r="17" spans="2:35" x14ac:dyDescent="0.2">
      <c r="B17" s="53">
        <v>136.5680796253873</v>
      </c>
      <c r="C17" s="65">
        <v>51.340128944239559</v>
      </c>
      <c r="D17" s="1">
        <f t="shared" si="0"/>
        <v>9.2740086056839407E-163</v>
      </c>
      <c r="E17" s="1">
        <f t="shared" si="1"/>
        <v>379.74204260571906</v>
      </c>
      <c r="F17" s="3"/>
      <c r="G17" s="1">
        <f t="shared" si="2"/>
        <v>2635.8088400111446</v>
      </c>
      <c r="I17" s="41">
        <f>'CIP DATOS'!AG21</f>
        <v>166.37446581823718</v>
      </c>
      <c r="J17" s="41">
        <f>'CIP DATOS'!AH21</f>
        <v>9.9919901798118733</v>
      </c>
      <c r="L17" s="1">
        <f t="shared" si="3"/>
        <v>2.7094154745806143</v>
      </c>
      <c r="M17" s="21"/>
      <c r="N17" s="21"/>
      <c r="U17" s="47"/>
      <c r="V17" s="47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</row>
    <row r="18" spans="2:35" x14ac:dyDescent="0.2">
      <c r="B18" s="27">
        <v>131.34294846431743</v>
      </c>
      <c r="C18" s="64">
        <v>41.64168292487026</v>
      </c>
      <c r="D18" s="1">
        <f t="shared" si="0"/>
        <v>1.8929792738359925E-156</v>
      </c>
      <c r="E18" s="1">
        <f t="shared" si="1"/>
        <v>365.21301074534415</v>
      </c>
      <c r="F18" s="3"/>
      <c r="G18" s="1">
        <f t="shared" si="2"/>
        <v>1734.0297568154313</v>
      </c>
      <c r="I18" s="41">
        <f>'CIP DATOS'!AG38</f>
        <v>20.624698232203734</v>
      </c>
      <c r="J18" s="41">
        <f>'CIP DATOS'!AH38</f>
        <v>12.572156499199036</v>
      </c>
      <c r="L18" s="1">
        <f t="shared" si="3"/>
        <v>2.9187865026018187</v>
      </c>
      <c r="M18" s="21"/>
      <c r="N18" s="21"/>
      <c r="U18" s="47"/>
      <c r="V18" s="47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</row>
    <row r="19" spans="2:35" x14ac:dyDescent="0.2">
      <c r="B19" s="53">
        <v>121.5680796253873</v>
      </c>
      <c r="C19" s="65">
        <v>64.941639364127639</v>
      </c>
      <c r="D19" s="1">
        <f t="shared" si="0"/>
        <v>1.2058578864052469E-144</v>
      </c>
      <c r="E19" s="1">
        <f t="shared" si="1"/>
        <v>338.03295030017779</v>
      </c>
      <c r="F19" s="3"/>
      <c r="G19" s="1">
        <f t="shared" si="2"/>
        <v>4217.4165233004123</v>
      </c>
      <c r="I19" s="41">
        <f>'CIP DATOS'!AG22</f>
        <v>170.27301287881119</v>
      </c>
      <c r="J19" s="41">
        <f>'CIP DATOS'!AH22</f>
        <v>21.011371611746313</v>
      </c>
      <c r="L19" s="1">
        <f t="shared" si="3"/>
        <v>2.4743991509499788</v>
      </c>
      <c r="M19" s="27"/>
      <c r="N19" s="21"/>
      <c r="U19" s="47"/>
      <c r="V19" s="47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</row>
    <row r="20" spans="2:35" x14ac:dyDescent="0.2">
      <c r="B20" s="27">
        <v>116.34294846431743</v>
      </c>
      <c r="C20" s="64">
        <v>71.548246027253882</v>
      </c>
      <c r="D20" s="1">
        <f t="shared" si="0"/>
        <v>2.4613563381401852E-138</v>
      </c>
      <c r="E20" s="1">
        <f t="shared" si="1"/>
        <v>323.50391843980293</v>
      </c>
      <c r="F20" s="3"/>
      <c r="G20" s="1">
        <f t="shared" si="2"/>
        <v>5119.1515095764507</v>
      </c>
      <c r="I20" s="41">
        <f>'CIP DATOS'!AG39</f>
        <v>15.989250404847574</v>
      </c>
      <c r="J20" s="41">
        <f>'CIP DATOS'!AH39</f>
        <v>10.671414021538723</v>
      </c>
      <c r="L20" s="1">
        <f t="shared" si="3"/>
        <v>2.377516169837798</v>
      </c>
      <c r="M20" s="21"/>
      <c r="N20" s="21"/>
      <c r="U20" s="47"/>
      <c r="V20" s="47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</row>
    <row r="21" spans="2:35" x14ac:dyDescent="0.2">
      <c r="B21" s="53">
        <v>106.5680796253873</v>
      </c>
      <c r="C21" s="65">
        <v>83.907498189880599</v>
      </c>
      <c r="D21" s="1">
        <f t="shared" si="0"/>
        <v>1.56792311074032E-126</v>
      </c>
      <c r="E21" s="1">
        <f t="shared" si="1"/>
        <v>296.32385799463657</v>
      </c>
      <c r="F21" s="3"/>
      <c r="G21" s="1">
        <f t="shared" si="2"/>
        <v>7040.4682524848158</v>
      </c>
      <c r="I21" s="41">
        <f>'CIP DATOS'!AG23</f>
        <v>166.45318091063046</v>
      </c>
      <c r="J21" s="41">
        <f>'CIP DATOS'!AH23</f>
        <v>10.327611902494315</v>
      </c>
      <c r="L21" s="1">
        <f t="shared" si="3"/>
        <v>2.2181731815564287</v>
      </c>
      <c r="M21" s="18"/>
      <c r="N21" s="12"/>
      <c r="U21" s="47"/>
      <c r="V21" s="47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</row>
    <row r="22" spans="2:35" x14ac:dyDescent="0.2">
      <c r="B22" s="53">
        <v>91.568079625387298</v>
      </c>
      <c r="C22" s="65">
        <v>78.249632707027246</v>
      </c>
      <c r="D22" s="1">
        <f t="shared" si="0"/>
        <v>2.0387003384970732E-108</v>
      </c>
      <c r="E22" s="1">
        <f t="shared" si="1"/>
        <v>254.61476568909529</v>
      </c>
      <c r="F22" s="3"/>
      <c r="G22" s="1">
        <f t="shared" si="2"/>
        <v>6123.0050187846682</v>
      </c>
      <c r="I22" s="41">
        <f>'CIP DATOS'!AG24</f>
        <v>166.5149603519728</v>
      </c>
      <c r="J22" s="41">
        <f>'CIP DATOS'!AH24</f>
        <v>10.583678937859466</v>
      </c>
      <c r="L22" s="1">
        <f t="shared" si="3"/>
        <v>2.2879840260257076</v>
      </c>
      <c r="M22" s="18"/>
      <c r="N22" s="12"/>
      <c r="U22" s="47"/>
      <c r="V22" s="47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</row>
    <row r="23" spans="2:35" x14ac:dyDescent="0.2">
      <c r="B23" s="11">
        <v>90</v>
      </c>
      <c r="C23" s="67">
        <v>152.74356302582922</v>
      </c>
      <c r="D23" s="1">
        <f t="shared" si="0"/>
        <v>1.5957665010377241E-106</v>
      </c>
      <c r="E23" s="1">
        <f t="shared" si="1"/>
        <v>250.25455383324748</v>
      </c>
      <c r="F23" s="3"/>
      <c r="G23" s="1">
        <f t="shared" si="2"/>
        <v>23330.596045825463</v>
      </c>
      <c r="I23" s="41">
        <f>'CIP DATOS'!AG7</f>
        <v>37.203796295521435</v>
      </c>
      <c r="J23" s="41">
        <f>'CIP DATOS'!AH7</f>
        <v>18.981528722204814</v>
      </c>
      <c r="L23" s="1">
        <f t="shared" si="3"/>
        <v>1.6191277050150508</v>
      </c>
      <c r="M23" s="21"/>
      <c r="N23" s="21"/>
      <c r="U23" s="47"/>
      <c r="V23" s="47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</row>
    <row r="24" spans="2:35" x14ac:dyDescent="0.2">
      <c r="B24" s="53">
        <v>76.568079625387298</v>
      </c>
      <c r="C24" s="65">
        <v>118.96939930410527</v>
      </c>
      <c r="D24" s="1">
        <f t="shared" si="0"/>
        <v>2.6508309251373295E-90</v>
      </c>
      <c r="E24" s="1">
        <f t="shared" si="1"/>
        <v>212.90567338355405</v>
      </c>
      <c r="F24" s="3"/>
      <c r="G24" s="1">
        <f t="shared" si="2"/>
        <v>14153.717970779642</v>
      </c>
      <c r="I24" s="41">
        <f>'CIP DATOS'!AG25</f>
        <v>177.71268162551451</v>
      </c>
      <c r="J24" s="41">
        <f>'CIP DATOS'!AH25</f>
        <v>33.397443091770377</v>
      </c>
      <c r="L24" s="1">
        <f t="shared" si="3"/>
        <v>1.8690218502569123</v>
      </c>
      <c r="M24" s="21"/>
      <c r="N24" s="21"/>
      <c r="U24" s="47"/>
      <c r="V24" s="47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</row>
    <row r="25" spans="2:35" x14ac:dyDescent="0.2">
      <c r="B25" s="11">
        <v>75</v>
      </c>
      <c r="C25" s="67">
        <v>173.13248116312425</v>
      </c>
      <c r="D25" s="1">
        <f t="shared" si="0"/>
        <v>2.0749038543680325E-88</v>
      </c>
      <c r="E25" s="1">
        <f t="shared" si="1"/>
        <v>208.54546152770624</v>
      </c>
      <c r="F25" s="3"/>
      <c r="G25" s="1">
        <f t="shared" si="2"/>
        <v>29974.856033699576</v>
      </c>
      <c r="I25" s="41">
        <f>'CIP DATOS'!AG8</f>
        <v>81.820475032656276</v>
      </c>
      <c r="J25" s="41">
        <f>'CIP DATOS'!AH8</f>
        <v>41.745140322783826</v>
      </c>
      <c r="L25" s="1">
        <f t="shared" si="3"/>
        <v>1.493831073092496</v>
      </c>
      <c r="M25" s="21"/>
      <c r="N25" s="21"/>
      <c r="U25" s="47"/>
      <c r="V25" s="47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</row>
    <row r="26" spans="2:35" x14ac:dyDescent="0.2">
      <c r="B26" s="53">
        <v>61.568079625387305</v>
      </c>
      <c r="C26" s="65">
        <v>299.2280364046303</v>
      </c>
      <c r="D26" s="1">
        <f t="shared" si="0"/>
        <v>3.446756966177999E-72</v>
      </c>
      <c r="E26" s="1">
        <f t="shared" si="1"/>
        <v>171.19658107801283</v>
      </c>
      <c r="F26" s="3"/>
      <c r="G26" s="1">
        <f t="shared" si="2"/>
        <v>89537.417770570755</v>
      </c>
      <c r="I26" s="41">
        <f>'CIP DATOS'!AG26</f>
        <v>234.97475540633087</v>
      </c>
      <c r="J26" s="41">
        <f>'CIP DATOS'!AH26</f>
        <v>85.245647990578021</v>
      </c>
      <c r="L26" s="1">
        <f t="shared" si="3"/>
        <v>0.94668221532379226</v>
      </c>
      <c r="M26" s="27"/>
      <c r="N26" s="21"/>
      <c r="U26" s="47"/>
      <c r="V26" s="47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</row>
    <row r="27" spans="2:35" x14ac:dyDescent="0.2">
      <c r="B27" s="11">
        <v>60</v>
      </c>
      <c r="C27" s="67">
        <v>313.94878113148502</v>
      </c>
      <c r="D27" s="1">
        <f t="shared" si="0"/>
        <v>2.6979047386141E-70</v>
      </c>
      <c r="E27" s="1">
        <f t="shared" si="1"/>
        <v>166.83636922216499</v>
      </c>
      <c r="F27" s="3"/>
      <c r="G27" s="1">
        <f t="shared" si="2"/>
        <v>98563.837173945081</v>
      </c>
      <c r="I27" s="41">
        <f>'CIP DATOS'!AG9</f>
        <v>23.020191484743261</v>
      </c>
      <c r="J27" s="41">
        <f>'CIP DATOS'!AH9</f>
        <v>11.744995655481253</v>
      </c>
      <c r="L27" s="1">
        <f t="shared" si="3"/>
        <v>0.89865830640753852</v>
      </c>
      <c r="M27" s="21"/>
      <c r="N27" s="21"/>
      <c r="U27" s="47"/>
      <c r="V27" s="47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</row>
    <row r="28" spans="2:35" x14ac:dyDescent="0.2">
      <c r="B28" s="11">
        <v>45</v>
      </c>
      <c r="C28" s="67">
        <v>378.48269154692088</v>
      </c>
      <c r="D28" s="1">
        <f t="shared" si="0"/>
        <v>3.5079649417554985E-52</v>
      </c>
      <c r="E28" s="1">
        <f t="shared" si="1"/>
        <v>125.12727691662374</v>
      </c>
      <c r="F28" s="3"/>
      <c r="G28" s="1">
        <f t="shared" si="2"/>
        <v>143249.14780060164</v>
      </c>
      <c r="I28" s="41">
        <f>'CIP DATOS'!AG10</f>
        <v>257.30922815064963</v>
      </c>
      <c r="J28" s="41">
        <f>'CIP DATOS'!AH10</f>
        <v>131.280218444209</v>
      </c>
      <c r="L28" s="1">
        <f t="shared" si="3"/>
        <v>0.71171781883337104</v>
      </c>
      <c r="M28" s="18"/>
      <c r="N28" s="13"/>
      <c r="U28" s="47"/>
      <c r="V28" s="47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</row>
    <row r="29" spans="2:35" x14ac:dyDescent="0.2">
      <c r="B29" s="11">
        <v>30</v>
      </c>
      <c r="C29" s="67">
        <v>401.56189630033884</v>
      </c>
      <c r="D29" s="1">
        <f t="shared" si="0"/>
        <v>4.5612500161540524E-34</v>
      </c>
      <c r="E29" s="1">
        <f t="shared" si="1"/>
        <v>83.418184611082495</v>
      </c>
      <c r="F29" s="3"/>
      <c r="G29" s="1">
        <f t="shared" si="2"/>
        <v>161251.95656032409</v>
      </c>
      <c r="I29" s="41">
        <f>'CIP DATOS'!AG11</f>
        <v>64.567410961607294</v>
      </c>
      <c r="J29" s="41">
        <f>'CIP DATOS'!AH11</f>
        <v>32.942556613064951</v>
      </c>
      <c r="L29" s="1">
        <f t="shared" si="3"/>
        <v>0.65252647744912529</v>
      </c>
      <c r="M29" s="18"/>
      <c r="N29" s="13"/>
      <c r="U29" s="47"/>
      <c r="V29" s="47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</row>
    <row r="30" spans="2:35" x14ac:dyDescent="0.2">
      <c r="B30" s="11">
        <v>15</v>
      </c>
      <c r="C30" s="99">
        <v>562.21702355995183</v>
      </c>
      <c r="D30" s="1">
        <f>$C$31*(EXP(-$G$40*B30))</f>
        <v>5.9307895190804988E-16</v>
      </c>
      <c r="E30" s="1">
        <f t="shared" si="1"/>
        <v>41.709092305541247</v>
      </c>
      <c r="F30" s="3"/>
      <c r="G30" s="1">
        <f t="shared" si="2"/>
        <v>316087.98158061143</v>
      </c>
      <c r="I30" s="41">
        <f>'CIP DATOS'!AG12</f>
        <v>160.36886973046745</v>
      </c>
      <c r="J30" s="41">
        <f>'CIP DATOS'!AH12</f>
        <v>81.820851903299726</v>
      </c>
      <c r="L30" s="1">
        <f t="shared" si="3"/>
        <v>0.31600022332500172</v>
      </c>
      <c r="M30" s="21"/>
      <c r="N30" s="21"/>
      <c r="U30" s="47"/>
      <c r="V30" s="47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</row>
    <row r="31" spans="2:35" x14ac:dyDescent="0.2">
      <c r="B31" s="11">
        <v>0</v>
      </c>
      <c r="C31" s="67">
        <v>771.15405196081042</v>
      </c>
      <c r="D31" s="1">
        <f>$C$31*(EXP(-$G$40*B31))</f>
        <v>771.15405196081042</v>
      </c>
      <c r="E31" s="1">
        <f>$G$40*B31</f>
        <v>0</v>
      </c>
      <c r="F31" s="3"/>
      <c r="G31" s="1">
        <f t="shared" si="2"/>
        <v>0</v>
      </c>
      <c r="I31" s="41">
        <f>'CIP DATOS'!AG13</f>
        <v>24.885730802627016</v>
      </c>
      <c r="J31" s="41">
        <f>'CIP DATOS'!AH13</f>
        <v>12.696801429911744</v>
      </c>
      <c r="L31" s="1">
        <f t="shared" si="3"/>
        <v>0</v>
      </c>
      <c r="M31" s="21"/>
      <c r="N31" s="21"/>
      <c r="U31" s="47"/>
      <c r="V31" s="47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</row>
    <row r="32" spans="2:35" x14ac:dyDescent="0.2">
      <c r="G32" s="1">
        <f>SUM(G11:G31)</f>
        <v>903685.69947322237</v>
      </c>
      <c r="I32" s="4"/>
      <c r="J32" s="12"/>
      <c r="M32" s="21"/>
      <c r="N32" s="21"/>
      <c r="U32" s="47"/>
      <c r="V32" s="47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</row>
    <row r="33" spans="1:35" x14ac:dyDescent="0.2">
      <c r="I33" s="4"/>
      <c r="J33" s="12"/>
      <c r="M33" s="27"/>
      <c r="N33" s="21"/>
      <c r="U33" s="47"/>
      <c r="V33" s="47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</row>
    <row r="34" spans="1:35" ht="17" x14ac:dyDescent="0.2">
      <c r="F34" s="8" t="s">
        <v>5</v>
      </c>
      <c r="G34" s="9">
        <f>RSQ(C11:C31,D11:D31)</f>
        <v>0.42995924556927567</v>
      </c>
      <c r="J34" s="12"/>
      <c r="U34" s="47"/>
      <c r="V34" s="47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</row>
    <row r="35" spans="1:35" x14ac:dyDescent="0.2">
      <c r="J35" s="12"/>
      <c r="U35" s="47"/>
      <c r="V35" s="47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x14ac:dyDescent="0.2">
      <c r="U36" s="47"/>
      <c r="V36" s="47"/>
    </row>
    <row r="37" spans="1:35" x14ac:dyDescent="0.2">
      <c r="J37" s="100"/>
    </row>
    <row r="38" spans="1:35" x14ac:dyDescent="0.2">
      <c r="J38" s="4"/>
    </row>
    <row r="39" spans="1:35" x14ac:dyDescent="0.2">
      <c r="A39" s="29" t="s">
        <v>10</v>
      </c>
      <c r="F39" s="104" t="s">
        <v>74</v>
      </c>
      <c r="G39" s="19">
        <v>0</v>
      </c>
    </row>
    <row r="40" spans="1:35" x14ac:dyDescent="0.2">
      <c r="F40" s="5" t="s">
        <v>9</v>
      </c>
      <c r="G40" s="6">
        <v>2.7806061537027498</v>
      </c>
      <c r="I40" s="7" t="s">
        <v>4</v>
      </c>
    </row>
    <row r="42" spans="1:35" x14ac:dyDescent="0.2">
      <c r="D42" s="1" t="s">
        <v>15</v>
      </c>
      <c r="E42" s="1" t="s">
        <v>15</v>
      </c>
      <c r="I42" s="96" t="s">
        <v>71</v>
      </c>
      <c r="J42" s="96" t="s">
        <v>72</v>
      </c>
      <c r="K42" s="7"/>
    </row>
    <row r="43" spans="1:35" x14ac:dyDescent="0.2">
      <c r="B43" s="10"/>
      <c r="C43" s="1" t="s">
        <v>6</v>
      </c>
      <c r="D43" s="21" t="s">
        <v>14</v>
      </c>
      <c r="E43" s="21" t="s">
        <v>13</v>
      </c>
      <c r="F43" s="21"/>
      <c r="G43" s="21"/>
      <c r="H43" s="21" t="s">
        <v>7</v>
      </c>
      <c r="I43" s="43" t="s">
        <v>32</v>
      </c>
      <c r="J43" s="43" t="s">
        <v>32</v>
      </c>
    </row>
    <row r="44" spans="1:35" x14ac:dyDescent="0.2">
      <c r="B44" s="10"/>
      <c r="D44" s="21"/>
      <c r="E44" s="21"/>
      <c r="F44" s="21"/>
      <c r="G44" s="21"/>
      <c r="H44" s="21"/>
      <c r="I44" s="43"/>
    </row>
    <row r="45" spans="1:35" s="21" customFormat="1" x14ac:dyDescent="0.2">
      <c r="A45" s="21">
        <f>100-((C45*100)/$C$65)</f>
        <v>99.902129950961182</v>
      </c>
      <c r="B45" s="27">
        <v>212.01709744260734</v>
      </c>
      <c r="C45" s="63">
        <v>0.75472884881890401</v>
      </c>
      <c r="D45" s="21">
        <f t="shared" ref="D45:D65" si="4">LN(C45/$C$65)+$G$40*(C45-$C$65)+$G$39*B45</f>
        <v>-2149.1063835501086</v>
      </c>
      <c r="E45" s="23">
        <f t="shared" ref="E45:E65" si="5">LN(H45/$C$65)+$G$40*(H45-$C$65)+$G$39*B45</f>
        <v>-2145.595273946667</v>
      </c>
      <c r="G45" s="5" t="s">
        <v>7</v>
      </c>
      <c r="H45" s="32">
        <v>1.7209963834031632</v>
      </c>
      <c r="I45" s="39">
        <f>'CIP DATOS'!X50</f>
        <v>0.33315422298258729</v>
      </c>
      <c r="J45" s="21">
        <f>I45/1.96</f>
        <v>0.16997664437887106</v>
      </c>
    </row>
    <row r="46" spans="1:35" s="21" customFormat="1" x14ac:dyDescent="0.2">
      <c r="A46" s="21">
        <f t="shared" ref="A46:A54" si="6">100-((C46*100)/$C$65)</f>
        <v>99.746151786938768</v>
      </c>
      <c r="B46" s="27">
        <v>197.01709744260734</v>
      </c>
      <c r="C46" s="63">
        <v>1.9575607808517868</v>
      </c>
      <c r="D46" s="21">
        <f t="shared" si="4"/>
        <v>-2144.8086857445069</v>
      </c>
      <c r="E46" s="23">
        <f t="shared" si="5"/>
        <v>-2141.3898917839242</v>
      </c>
      <c r="G46" s="5" t="s">
        <v>7</v>
      </c>
      <c r="H46" s="32">
        <v>3.0299676746583573</v>
      </c>
      <c r="I46" s="39">
        <f>'CIP DATOS'!X51</f>
        <v>1.0430131884444049</v>
      </c>
      <c r="J46" s="21">
        <f t="shared" ref="J46:J65" si="7">I46/1.96</f>
        <v>0.53214958594102291</v>
      </c>
      <c r="K46" s="15"/>
    </row>
    <row r="47" spans="1:35" s="21" customFormat="1" x14ac:dyDescent="0.2">
      <c r="A47" s="21">
        <f t="shared" si="6"/>
        <v>98.94807390920873</v>
      </c>
      <c r="B47" s="27">
        <v>182.01709744260734</v>
      </c>
      <c r="C47" s="63">
        <v>8.111970672769786</v>
      </c>
      <c r="D47" s="21">
        <f t="shared" si="4"/>
        <v>-2126.2740540937225</v>
      </c>
      <c r="E47" s="23">
        <f t="shared" si="5"/>
        <v>-2134.4552617876925</v>
      </c>
      <c r="G47" s="5" t="s">
        <v>7</v>
      </c>
      <c r="H47" s="32">
        <v>5.3213577891714428</v>
      </c>
      <c r="I47" s="39">
        <f>'CIP DATOS'!X52</f>
        <v>1.0428567925905949</v>
      </c>
      <c r="J47" s="21">
        <f t="shared" si="7"/>
        <v>0.53206979213805861</v>
      </c>
      <c r="K47" s="15"/>
    </row>
    <row r="48" spans="1:35" s="21" customFormat="1" x14ac:dyDescent="0.2">
      <c r="A48" s="21">
        <f t="shared" si="6"/>
        <v>98.821503264647234</v>
      </c>
      <c r="B48" s="27">
        <v>176.34294846431743</v>
      </c>
      <c r="C48" s="64">
        <v>9.0880253268987179</v>
      </c>
      <c r="D48" s="21">
        <f t="shared" si="4"/>
        <v>-2123.4464136988281</v>
      </c>
      <c r="E48" s="23">
        <f t="shared" si="5"/>
        <v>-2130.7480395329658</v>
      </c>
      <c r="G48" s="5" t="s">
        <v>7</v>
      </c>
      <c r="H48" s="32">
        <v>6.5783385830574765</v>
      </c>
      <c r="I48" s="39">
        <f>'CIP DATOS'!X35</f>
        <v>0.86428625470831655</v>
      </c>
      <c r="J48" s="21">
        <f t="shared" si="7"/>
        <v>0.44096237485118189</v>
      </c>
      <c r="K48" s="14"/>
    </row>
    <row r="49" spans="1:14" s="21" customFormat="1" x14ac:dyDescent="0.2">
      <c r="A49" s="21">
        <f t="shared" si="6"/>
        <v>98.486905129193502</v>
      </c>
      <c r="B49" s="27">
        <v>161.34294846431743</v>
      </c>
      <c r="C49" s="64">
        <v>11.668292406235523</v>
      </c>
      <c r="D49" s="21">
        <f t="shared" si="4"/>
        <v>-2116.0217897164339</v>
      </c>
      <c r="E49" s="23">
        <f t="shared" si="5"/>
        <v>-2116.5685986377503</v>
      </c>
      <c r="G49" s="5" t="s">
        <v>7</v>
      </c>
      <c r="H49" s="32">
        <v>11.477568392918103</v>
      </c>
      <c r="I49" s="39">
        <f>'CIP DATOS'!X36</f>
        <v>0.67083871040813148</v>
      </c>
      <c r="J49" s="21">
        <f t="shared" si="7"/>
        <v>0.34226464816741403</v>
      </c>
      <c r="K49" s="15"/>
    </row>
    <row r="50" spans="1:14" s="21" customFormat="1" x14ac:dyDescent="0.2">
      <c r="A50" s="21">
        <f>100-((C50*100)/$C$65)</f>
        <v>97.480944479439216</v>
      </c>
      <c r="B50" s="27">
        <v>146.34294846431743</v>
      </c>
      <c r="C50" s="64">
        <v>19.425798717946961</v>
      </c>
      <c r="D50" s="21">
        <f t="shared" si="4"/>
        <v>-2093.9414930274711</v>
      </c>
      <c r="E50" s="23">
        <f t="shared" si="5"/>
        <v>-2092.7371301811136</v>
      </c>
      <c r="G50" s="5" t="s">
        <v>7</v>
      </c>
      <c r="H50" s="32">
        <v>19.851138882822529</v>
      </c>
      <c r="I50" s="39">
        <f>'CIP DATOS'!X37</f>
        <v>0.55256876023644264</v>
      </c>
      <c r="J50" s="21">
        <f t="shared" si="7"/>
        <v>0.28192283685532787</v>
      </c>
      <c r="K50" s="15"/>
      <c r="N50" s="21" t="s">
        <v>20</v>
      </c>
    </row>
    <row r="51" spans="1:14" s="21" customFormat="1" x14ac:dyDescent="0.2">
      <c r="A51" s="21">
        <f t="shared" si="6"/>
        <v>93.342428946110417</v>
      </c>
      <c r="B51" s="53">
        <v>136.5680796253873</v>
      </c>
      <c r="C51" s="65">
        <v>51.340128944239559</v>
      </c>
      <c r="D51" s="21">
        <f t="shared" si="4"/>
        <v>-2004.2284393353748</v>
      </c>
      <c r="E51" s="23">
        <f t="shared" si="5"/>
        <v>-2069.2688649840034</v>
      </c>
      <c r="G51" s="5" t="s">
        <v>7</v>
      </c>
      <c r="H51" s="32">
        <v>28.165310045037543</v>
      </c>
      <c r="I51" s="39">
        <f>'CIP DATOS'!X21</f>
        <v>3.0914163640048438</v>
      </c>
      <c r="J51" s="21">
        <f t="shared" si="7"/>
        <v>1.5772532469412468</v>
      </c>
      <c r="K51" s="14"/>
      <c r="N51" s="85" t="s">
        <v>68</v>
      </c>
    </row>
    <row r="52" spans="1:14" s="21" customFormat="1" x14ac:dyDescent="0.2">
      <c r="A52" s="21">
        <f t="shared" si="6"/>
        <v>94.600082458363786</v>
      </c>
      <c r="B52" s="27">
        <v>131.34294846431743</v>
      </c>
      <c r="C52" s="64">
        <v>41.64168292487026</v>
      </c>
      <c r="D52" s="21">
        <f t="shared" si="4"/>
        <v>-2031.4053690462083</v>
      </c>
      <c r="E52" s="23">
        <f t="shared" si="5"/>
        <v>-2053.2755769681166</v>
      </c>
      <c r="G52" s="5" t="s">
        <v>7</v>
      </c>
      <c r="H52" s="32">
        <v>33.850909641219744</v>
      </c>
      <c r="I52" s="39">
        <f>'CIP DATOS'!X38</f>
        <v>6.2033228480933706</v>
      </c>
      <c r="J52" s="21">
        <f t="shared" si="7"/>
        <v>3.164960636782332</v>
      </c>
      <c r="K52" s="15"/>
    </row>
    <row r="53" spans="1:14" s="21" customFormat="1" x14ac:dyDescent="0.2">
      <c r="A53" s="21">
        <f t="shared" si="6"/>
        <v>91.578642529465967</v>
      </c>
      <c r="B53" s="53">
        <v>121.5680796253873</v>
      </c>
      <c r="C53" s="65">
        <v>64.941639364127639</v>
      </c>
      <c r="D53" s="21">
        <f t="shared" si="4"/>
        <v>-1966.1729794385512</v>
      </c>
      <c r="E53" s="23">
        <f t="shared" si="5"/>
        <v>-2015.2647013874639</v>
      </c>
      <c r="G53" s="5" t="s">
        <v>7</v>
      </c>
      <c r="H53" s="32">
        <v>47.399834099117015</v>
      </c>
      <c r="I53" s="39">
        <f>'CIP DATOS'!X22</f>
        <v>13.390208529057061</v>
      </c>
      <c r="J53" s="21">
        <f t="shared" si="7"/>
        <v>6.8317390454372759</v>
      </c>
      <c r="K53" s="14"/>
    </row>
    <row r="54" spans="1:14" s="21" customFormat="1" x14ac:dyDescent="0.2">
      <c r="A54" s="21">
        <f t="shared" si="6"/>
        <v>90.721925684585528</v>
      </c>
      <c r="B54" s="27">
        <v>116.34294846431743</v>
      </c>
      <c r="C54" s="64">
        <v>71.548246027253882</v>
      </c>
      <c r="D54" s="21">
        <f t="shared" si="4"/>
        <v>-1947.7057253148569</v>
      </c>
      <c r="E54" s="23">
        <f t="shared" si="5"/>
        <v>-1989.832276221473</v>
      </c>
      <c r="G54" s="5" t="s">
        <v>7</v>
      </c>
      <c r="H54" s="32">
        <v>56.483141938372079</v>
      </c>
      <c r="I54" s="39">
        <f>'CIP DATOS'!X39</f>
        <v>4.0660071723469198</v>
      </c>
      <c r="J54" s="21">
        <f t="shared" si="7"/>
        <v>2.0744934552790406</v>
      </c>
      <c r="K54" s="14"/>
    </row>
    <row r="55" spans="1:14" s="21" customFormat="1" x14ac:dyDescent="0.2">
      <c r="B55" s="53">
        <v>106.5680796253873</v>
      </c>
      <c r="C55" s="65">
        <v>83.907498189880599</v>
      </c>
      <c r="D55" s="21">
        <f t="shared" si="4"/>
        <v>-1913.1801697080118</v>
      </c>
      <c r="E55" s="23">
        <f t="shared" si="5"/>
        <v>-1930.800860602865</v>
      </c>
      <c r="G55" s="5" t="s">
        <v>7</v>
      </c>
      <c r="H55" s="32">
        <v>77.598612825971657</v>
      </c>
      <c r="I55" s="39">
        <f>'CIP DATOS'!X23</f>
        <v>3.597987728320565</v>
      </c>
      <c r="J55" s="21">
        <f t="shared" si="7"/>
        <v>1.8357080246533495</v>
      </c>
      <c r="K55" s="14"/>
    </row>
    <row r="56" spans="1:14" s="21" customFormat="1" x14ac:dyDescent="0.2">
      <c r="B56" s="53">
        <v>91.568079625387298</v>
      </c>
      <c r="C56" s="65">
        <v>78.249632707027246</v>
      </c>
      <c r="D56" s="21">
        <f t="shared" si="4"/>
        <v>-1928.9822761309254</v>
      </c>
      <c r="E56" s="23">
        <f t="shared" si="5"/>
        <v>-1805.6578651196508</v>
      </c>
      <c r="G56" s="5" t="s">
        <v>7</v>
      </c>
      <c r="H56" s="32">
        <v>122.44024627441561</v>
      </c>
      <c r="I56" s="39">
        <f>'CIP DATOS'!X24</f>
        <v>3.9504368162010213</v>
      </c>
      <c r="J56" s="21">
        <f t="shared" si="7"/>
        <v>2.0155289878576639</v>
      </c>
      <c r="K56" s="14"/>
    </row>
    <row r="57" spans="1:14" s="21" customFormat="1" x14ac:dyDescent="0.2">
      <c r="A57" s="21">
        <f>B45/60</f>
        <v>3.5336182907101223</v>
      </c>
      <c r="B57" s="11">
        <v>90</v>
      </c>
      <c r="C57" s="67">
        <v>152.74356302582922</v>
      </c>
      <c r="D57" s="21">
        <f t="shared" si="4"/>
        <v>-1721.17513875195</v>
      </c>
      <c r="E57" s="23">
        <f t="shared" si="5"/>
        <v>-1789.8637600030895</v>
      </c>
      <c r="G57" s="5" t="s">
        <v>7</v>
      </c>
      <c r="H57" s="32">
        <v>128.10407794600079</v>
      </c>
      <c r="I57" s="39">
        <f>'CIP DATOS'!X7</f>
        <v>11.788458021766466</v>
      </c>
      <c r="J57" s="21">
        <f t="shared" si="7"/>
        <v>6.0145193988604424</v>
      </c>
      <c r="K57" s="16"/>
    </row>
    <row r="58" spans="1:14" s="21" customFormat="1" x14ac:dyDescent="0.2">
      <c r="B58" s="53">
        <v>76.568079625387298</v>
      </c>
      <c r="C58" s="65">
        <v>118.96939930410527</v>
      </c>
      <c r="D58" s="21">
        <f t="shared" si="4"/>
        <v>-1815.3376803779818</v>
      </c>
      <c r="E58" s="23">
        <f t="shared" si="5"/>
        <v>-1631.7333529621994</v>
      </c>
      <c r="G58" s="5" t="s">
        <v>7</v>
      </c>
      <c r="H58" s="31">
        <v>184.84125824752627</v>
      </c>
      <c r="I58" s="39">
        <f>'CIP DATOS'!X25</f>
        <v>22.674599895247962</v>
      </c>
      <c r="J58" s="21">
        <f t="shared" si="7"/>
        <v>11.568673415942838</v>
      </c>
      <c r="K58" s="14"/>
    </row>
    <row r="59" spans="1:14" s="21" customFormat="1" x14ac:dyDescent="0.2">
      <c r="B59" s="11">
        <v>75</v>
      </c>
      <c r="C59" s="67">
        <v>173.13248116312425</v>
      </c>
      <c r="D59" s="21">
        <f t="shared" si="4"/>
        <v>-1664.3562908801234</v>
      </c>
      <c r="E59" s="23">
        <f t="shared" si="5"/>
        <v>-1610.5413597168767</v>
      </c>
      <c r="G59" s="5" t="s">
        <v>7</v>
      </c>
      <c r="H59" s="31">
        <v>192.44811189760239</v>
      </c>
      <c r="I59" s="39">
        <f>'CIP DATOS'!X8</f>
        <v>28.736773515340509</v>
      </c>
      <c r="J59" s="21">
        <f t="shared" si="7"/>
        <v>14.661619140479852</v>
      </c>
      <c r="K59" s="16"/>
    </row>
    <row r="60" spans="1:14" s="21" customFormat="1" x14ac:dyDescent="0.2">
      <c r="B60" s="53">
        <v>61.568079625387305</v>
      </c>
      <c r="C60" s="65">
        <v>299.2280364046303</v>
      </c>
      <c r="D60" s="21">
        <f t="shared" si="4"/>
        <v>-1313.1870651632578</v>
      </c>
      <c r="E60" s="23">
        <f t="shared" si="5"/>
        <v>-1405.405729437774</v>
      </c>
      <c r="G60" s="5" t="s">
        <v>7</v>
      </c>
      <c r="H60" s="31">
        <v>266.10527638629003</v>
      </c>
      <c r="I60" s="39">
        <f>'CIP DATOS'!X26</f>
        <v>59.753921903388388</v>
      </c>
      <c r="J60" s="21">
        <f t="shared" si="7"/>
        <v>30.486694848667547</v>
      </c>
      <c r="K60" s="14"/>
    </row>
    <row r="61" spans="1:14" s="21" customFormat="1" x14ac:dyDescent="0.2">
      <c r="B61" s="11">
        <v>60</v>
      </c>
      <c r="C61" s="67">
        <v>313.94878113148451</v>
      </c>
      <c r="D61" s="21">
        <f t="shared" si="4"/>
        <v>-1272.2064478797633</v>
      </c>
      <c r="E61" s="23">
        <f t="shared" si="5"/>
        <v>-1378.7345468045207</v>
      </c>
      <c r="G61" s="5" t="s">
        <v>7</v>
      </c>
      <c r="H61" s="31">
        <v>275.68441718213563</v>
      </c>
      <c r="I61" s="39">
        <f>'CIP DATOS'!X9</f>
        <v>5.3376143830365086</v>
      </c>
      <c r="J61" s="21">
        <f t="shared" si="7"/>
        <v>2.7232726444063822</v>
      </c>
      <c r="K61" s="16"/>
    </row>
    <row r="62" spans="1:14" s="21" customFormat="1" x14ac:dyDescent="0.2">
      <c r="B62" s="11">
        <v>45</v>
      </c>
      <c r="C62" s="67">
        <v>378.48269154692088</v>
      </c>
      <c r="D62" s="21">
        <f t="shared" si="4"/>
        <v>-1092.576118968525</v>
      </c>
      <c r="E62" s="23">
        <f t="shared" si="5"/>
        <v>-1096.1996108109495</v>
      </c>
      <c r="G62" s="5" t="s">
        <v>7</v>
      </c>
      <c r="H62" s="31">
        <v>377.1808005386041</v>
      </c>
      <c r="I62" s="39">
        <f>'CIP DATOS'!X10</f>
        <v>92.320409781701244</v>
      </c>
      <c r="J62" s="21">
        <f t="shared" si="7"/>
        <v>47.102249888623085</v>
      </c>
      <c r="K62" s="16"/>
    </row>
    <row r="63" spans="1:14" s="21" customFormat="1" x14ac:dyDescent="0.2">
      <c r="B63" s="11">
        <v>30</v>
      </c>
      <c r="C63" s="67">
        <v>401.56189630033884</v>
      </c>
      <c r="D63" s="21">
        <f t="shared" si="4"/>
        <v>-1028.342748867221</v>
      </c>
      <c r="E63" s="23">
        <f t="shared" si="5"/>
        <v>-767.98203741321879</v>
      </c>
      <c r="G63" s="5" t="s">
        <v>7</v>
      </c>
      <c r="H63" s="31">
        <v>495.12109037464165</v>
      </c>
      <c r="I63" s="39">
        <f>'CIP DATOS'!X11</f>
        <v>22.341619894481134</v>
      </c>
      <c r="J63" s="21">
        <f t="shared" si="7"/>
        <v>11.398785660449558</v>
      </c>
      <c r="K63" s="16"/>
    </row>
    <row r="64" spans="1:14" s="21" customFormat="1" x14ac:dyDescent="0.2">
      <c r="B64" s="11">
        <v>15</v>
      </c>
      <c r="C64" s="99">
        <v>562.21702355995183</v>
      </c>
      <c r="D64" s="21">
        <f t="shared" si="4"/>
        <v>-581.28758713111858</v>
      </c>
      <c r="E64" s="23">
        <f t="shared" si="5"/>
        <v>-400.46892195770533</v>
      </c>
      <c r="G64" s="5" t="s">
        <v>7</v>
      </c>
      <c r="H64" s="31">
        <v>627.20619059169906</v>
      </c>
      <c r="I64" s="39">
        <f>'CIP DATOS'!X12</f>
        <v>57.325804096053297</v>
      </c>
      <c r="J64" s="21">
        <f t="shared" si="7"/>
        <v>29.247859232680256</v>
      </c>
      <c r="K64" s="16"/>
    </row>
    <row r="65" spans="2:11" s="21" customFormat="1" x14ac:dyDescent="0.2">
      <c r="B65" s="11">
        <v>0</v>
      </c>
      <c r="C65" s="67">
        <v>771.15405196081042</v>
      </c>
      <c r="D65" s="21">
        <f t="shared" si="4"/>
        <v>0</v>
      </c>
      <c r="E65" s="23">
        <f t="shared" si="5"/>
        <v>5.0989877219932982E-4</v>
      </c>
      <c r="G65" s="101" t="s">
        <v>7</v>
      </c>
      <c r="H65" s="102">
        <v>771.15423525217193</v>
      </c>
      <c r="I65" s="39">
        <f>'CIP DATOS'!X13</f>
        <v>6.3284284501489365</v>
      </c>
      <c r="J65" s="21">
        <f t="shared" si="7"/>
        <v>3.2287900255861923</v>
      </c>
      <c r="K65" s="16"/>
    </row>
    <row r="66" spans="2:11" s="21" customFormat="1" x14ac:dyDescent="0.2">
      <c r="B66" s="27"/>
      <c r="C66" s="65"/>
      <c r="E66" s="23"/>
      <c r="H66" s="103"/>
      <c r="I66" s="39"/>
      <c r="K66" s="12"/>
    </row>
    <row r="67" spans="2:11" s="21" customFormat="1" ht="17" x14ac:dyDescent="0.2">
      <c r="B67" s="34"/>
      <c r="C67" s="99"/>
      <c r="E67" s="23"/>
      <c r="H67" s="8" t="s">
        <v>5</v>
      </c>
      <c r="I67" s="9">
        <f>RSQ(H45:H65,C45:C65)</f>
        <v>0.97776894689395777</v>
      </c>
      <c r="K67" s="12"/>
    </row>
    <row r="68" spans="2:11" s="21" customFormat="1" x14ac:dyDescent="0.2">
      <c r="B68" s="34"/>
      <c r="C68" s="99"/>
      <c r="E68" s="23"/>
      <c r="H68" s="103"/>
      <c r="I68" s="39"/>
      <c r="K68" s="12"/>
    </row>
    <row r="69" spans="2:11" s="21" customFormat="1" x14ac:dyDescent="0.2">
      <c r="B69" s="34"/>
      <c r="C69" s="99"/>
      <c r="D69" s="23"/>
      <c r="E69" s="23"/>
      <c r="K69" s="12"/>
    </row>
    <row r="70" spans="2:11" s="21" customFormat="1" x14ac:dyDescent="0.2">
      <c r="B70" s="34"/>
      <c r="C70" s="99"/>
      <c r="D70" s="23"/>
      <c r="E70" s="23"/>
      <c r="K70" s="12"/>
    </row>
    <row r="71" spans="2:11" s="21" customFormat="1" x14ac:dyDescent="0.2">
      <c r="B71" s="34"/>
      <c r="D71" s="23"/>
      <c r="E71" s="23"/>
      <c r="K71" s="12"/>
    </row>
    <row r="72" spans="2:11" s="21" customFormat="1" x14ac:dyDescent="0.2">
      <c r="B72" s="34"/>
      <c r="C72" s="99"/>
      <c r="D72" s="23"/>
      <c r="E72" s="23"/>
    </row>
    <row r="73" spans="2:11" s="21" customFormat="1" x14ac:dyDescent="0.2">
      <c r="B73" s="24"/>
      <c r="D73" s="23"/>
      <c r="E73" s="23"/>
      <c r="J73" s="25"/>
    </row>
    <row r="74" spans="2:11" s="21" customFormat="1" x14ac:dyDescent="0.2">
      <c r="B74" s="24"/>
      <c r="D74" s="23"/>
      <c r="E74" s="23"/>
      <c r="J74" s="22"/>
    </row>
    <row r="75" spans="2:11" s="21" customFormat="1" x14ac:dyDescent="0.2">
      <c r="B75" s="24"/>
      <c r="D75" s="23"/>
      <c r="E75" s="23"/>
    </row>
    <row r="76" spans="2:11" s="21" customFormat="1" x14ac:dyDescent="0.2">
      <c r="B76" s="24"/>
      <c r="D76" s="23"/>
      <c r="E76" s="23"/>
    </row>
    <row r="77" spans="2:11" s="21" customFormat="1" x14ac:dyDescent="0.2">
      <c r="B77" s="24"/>
      <c r="D77" s="23"/>
      <c r="E77" s="23"/>
    </row>
    <row r="78" spans="2:11" s="21" customFormat="1" x14ac:dyDescent="0.2"/>
    <row r="79" spans="2:11" s="21" customFormat="1" x14ac:dyDescent="0.2"/>
    <row r="80" spans="2:11" s="21" customFormat="1" x14ac:dyDescent="0.2">
      <c r="B80" s="23"/>
      <c r="C80" s="23"/>
      <c r="F80" s="26"/>
    </row>
    <row r="81" spans="2:5" s="21" customFormat="1" x14ac:dyDescent="0.2">
      <c r="B81" s="23"/>
      <c r="C81" s="23"/>
    </row>
    <row r="82" spans="2:5" s="21" customFormat="1" x14ac:dyDescent="0.2">
      <c r="B82" s="23"/>
    </row>
    <row r="83" spans="2:5" s="21" customFormat="1" x14ac:dyDescent="0.2"/>
    <row r="84" spans="2:5" s="21" customFormat="1" x14ac:dyDescent="0.2"/>
    <row r="85" spans="2:5" s="21" customFormat="1" x14ac:dyDescent="0.2">
      <c r="B85" s="24"/>
      <c r="C85" s="27"/>
      <c r="D85" s="23"/>
      <c r="E85" s="23"/>
    </row>
    <row r="86" spans="2:5" s="21" customFormat="1" x14ac:dyDescent="0.2">
      <c r="B86" s="24"/>
      <c r="C86" s="27"/>
      <c r="D86" s="23"/>
      <c r="E86" s="23"/>
    </row>
    <row r="87" spans="2:5" s="21" customFormat="1" x14ac:dyDescent="0.2">
      <c r="B87" s="24"/>
      <c r="C87" s="27"/>
      <c r="D87" s="23"/>
      <c r="E87" s="23"/>
    </row>
    <row r="88" spans="2:5" s="21" customFormat="1" x14ac:dyDescent="0.2">
      <c r="B88" s="24"/>
      <c r="C88" s="27"/>
      <c r="D88" s="23"/>
      <c r="E88" s="23"/>
    </row>
    <row r="89" spans="2:5" s="21" customFormat="1" x14ac:dyDescent="0.2">
      <c r="B89" s="24"/>
      <c r="C89" s="27"/>
      <c r="D89" s="23"/>
      <c r="E89" s="23"/>
    </row>
    <row r="90" spans="2:5" s="21" customFormat="1" x14ac:dyDescent="0.2">
      <c r="B90" s="24"/>
      <c r="C90" s="27"/>
      <c r="D90" s="23"/>
      <c r="E90" s="23"/>
    </row>
    <row r="91" spans="2:5" s="21" customFormat="1" x14ac:dyDescent="0.2">
      <c r="B91" s="24"/>
      <c r="C91" s="27"/>
      <c r="D91" s="23"/>
      <c r="E91" s="23"/>
    </row>
    <row r="92" spans="2:5" s="21" customFormat="1" x14ac:dyDescent="0.2">
      <c r="B92" s="24"/>
      <c r="C92" s="27"/>
      <c r="D92" s="23"/>
      <c r="E92" s="23"/>
    </row>
    <row r="93" spans="2:5" s="21" customFormat="1" x14ac:dyDescent="0.2">
      <c r="B93" s="24"/>
      <c r="C93" s="27"/>
      <c r="D93" s="23"/>
      <c r="E93" s="23"/>
    </row>
    <row r="94" spans="2:5" s="21" customFormat="1" x14ac:dyDescent="0.2">
      <c r="B94" s="24"/>
      <c r="C94" s="27"/>
      <c r="D94" s="23"/>
      <c r="E94" s="23"/>
    </row>
    <row r="95" spans="2:5" s="21" customFormat="1" x14ac:dyDescent="0.2">
      <c r="B95" s="24"/>
      <c r="C95" s="27"/>
      <c r="D95" s="23"/>
      <c r="E95" s="23"/>
    </row>
    <row r="96" spans="2:5" s="21" customFormat="1" x14ac:dyDescent="0.2">
      <c r="B96" s="24"/>
      <c r="C96" s="27"/>
      <c r="D96" s="23"/>
      <c r="E96" s="23"/>
    </row>
    <row r="97" spans="2:5" s="21" customFormat="1" x14ac:dyDescent="0.2">
      <c r="B97" s="24"/>
      <c r="C97" s="27"/>
      <c r="D97" s="23"/>
      <c r="E97" s="23"/>
    </row>
    <row r="98" spans="2:5" s="21" customFormat="1" x14ac:dyDescent="0.2">
      <c r="B98" s="24"/>
      <c r="C98" s="27"/>
      <c r="D98" s="23"/>
      <c r="E98" s="23"/>
    </row>
    <row r="99" spans="2:5" s="21" customFormat="1" x14ac:dyDescent="0.2">
      <c r="B99" s="24"/>
      <c r="C99" s="27"/>
      <c r="D99" s="23"/>
      <c r="E99" s="23"/>
    </row>
    <row r="100" spans="2:5" s="21" customFormat="1" x14ac:dyDescent="0.2">
      <c r="B100" s="24"/>
      <c r="C100" s="27"/>
      <c r="D100" s="23"/>
      <c r="E100" s="23"/>
    </row>
    <row r="101" spans="2:5" s="21" customFormat="1" x14ac:dyDescent="0.2">
      <c r="B101" s="24"/>
      <c r="C101" s="27"/>
      <c r="D101" s="23"/>
      <c r="E101" s="23"/>
    </row>
    <row r="102" spans="2:5" s="21" customFormat="1" x14ac:dyDescent="0.2">
      <c r="B102" s="24"/>
      <c r="C102" s="27"/>
      <c r="D102" s="23"/>
      <c r="E102" s="23"/>
    </row>
    <row r="103" spans="2:5" s="21" customFormat="1" x14ac:dyDescent="0.2">
      <c r="B103" s="24"/>
      <c r="C103" s="27"/>
      <c r="D103" s="23"/>
      <c r="E103" s="23"/>
    </row>
    <row r="104" spans="2:5" s="21" customFormat="1" x14ac:dyDescent="0.2">
      <c r="B104" s="24"/>
      <c r="C104" s="27"/>
      <c r="D104" s="23"/>
      <c r="E104" s="23"/>
    </row>
    <row r="105" spans="2:5" s="21" customFormat="1" x14ac:dyDescent="0.2">
      <c r="B105" s="24"/>
      <c r="C105" s="27"/>
      <c r="D105" s="23"/>
      <c r="E105" s="23"/>
    </row>
    <row r="106" spans="2:5" s="21" customFormat="1" x14ac:dyDescent="0.2">
      <c r="B106" s="24"/>
      <c r="C106" s="27"/>
      <c r="D106" s="23"/>
      <c r="E106" s="23"/>
    </row>
    <row r="107" spans="2:5" s="21" customFormat="1" x14ac:dyDescent="0.2">
      <c r="B107" s="24"/>
      <c r="C107" s="27"/>
      <c r="D107" s="23"/>
      <c r="E107" s="23"/>
    </row>
    <row r="108" spans="2:5" s="21" customFormat="1" x14ac:dyDescent="0.2">
      <c r="B108" s="24"/>
      <c r="C108" s="27"/>
      <c r="D108" s="23"/>
      <c r="E108" s="23"/>
    </row>
    <row r="109" spans="2:5" s="21" customFormat="1" x14ac:dyDescent="0.2">
      <c r="B109" s="24"/>
      <c r="C109" s="27"/>
      <c r="D109" s="23"/>
      <c r="E109" s="23"/>
    </row>
    <row r="110" spans="2:5" s="21" customFormat="1" x14ac:dyDescent="0.2">
      <c r="B110" s="24"/>
      <c r="C110" s="27"/>
      <c r="D110" s="23"/>
      <c r="E110" s="23"/>
    </row>
    <row r="111" spans="2:5" s="21" customFormat="1" x14ac:dyDescent="0.2">
      <c r="B111" s="24"/>
      <c r="C111" s="27"/>
      <c r="D111" s="23"/>
      <c r="E111" s="23"/>
    </row>
    <row r="112" spans="2:5" s="21" customFormat="1" x14ac:dyDescent="0.2">
      <c r="B112" s="24"/>
      <c r="C112" s="27"/>
      <c r="D112" s="23"/>
      <c r="E112" s="23"/>
    </row>
    <row r="113" spans="2:10" s="21" customFormat="1" x14ac:dyDescent="0.2">
      <c r="B113" s="24"/>
      <c r="C113" s="27"/>
      <c r="D113" s="23"/>
      <c r="E113" s="23"/>
    </row>
    <row r="114" spans="2:10" s="21" customFormat="1" x14ac:dyDescent="0.2">
      <c r="B114" s="24"/>
      <c r="C114" s="27"/>
      <c r="D114" s="23"/>
      <c r="E114" s="23"/>
    </row>
    <row r="115" spans="2:10" s="21" customFormat="1" x14ac:dyDescent="0.2">
      <c r="B115" s="24"/>
      <c r="C115" s="27"/>
      <c r="D115" s="23"/>
      <c r="E115" s="23"/>
    </row>
    <row r="116" spans="2:10" s="21" customFormat="1" x14ac:dyDescent="0.2">
      <c r="B116" s="24"/>
      <c r="C116" s="27"/>
      <c r="D116" s="23"/>
      <c r="E116" s="23"/>
      <c r="J116" s="25"/>
    </row>
    <row r="117" spans="2:10" s="21" customFormat="1" x14ac:dyDescent="0.2">
      <c r="B117" s="24"/>
      <c r="C117" s="27"/>
      <c r="D117" s="23"/>
      <c r="E117" s="23"/>
      <c r="J117" s="22"/>
    </row>
    <row r="118" spans="2:10" s="21" customFormat="1" x14ac:dyDescent="0.2">
      <c r="B118" s="24"/>
      <c r="C118" s="27"/>
      <c r="D118" s="23"/>
      <c r="E118" s="23"/>
    </row>
    <row r="119" spans="2:10" s="21" customFormat="1" x14ac:dyDescent="0.2">
      <c r="B119" s="24"/>
      <c r="C119" s="27"/>
      <c r="D119" s="23"/>
      <c r="E119" s="23"/>
    </row>
    <row r="120" spans="2:10" s="21" customFormat="1" x14ac:dyDescent="0.2">
      <c r="B120" s="24"/>
      <c r="C120" s="27"/>
      <c r="D120" s="23"/>
      <c r="E120" s="23"/>
    </row>
    <row r="121" spans="2:10" s="21" customFormat="1" x14ac:dyDescent="0.2"/>
    <row r="122" spans="2:10" s="21" customFormat="1" x14ac:dyDescent="0.2"/>
    <row r="123" spans="2:10" s="21" customFormat="1" x14ac:dyDescent="0.2">
      <c r="B123" s="23"/>
      <c r="C123" s="23"/>
      <c r="F123" s="26"/>
    </row>
    <row r="124" spans="2:10" s="21" customFormat="1" x14ac:dyDescent="0.2">
      <c r="B124" s="23"/>
      <c r="C124" s="23"/>
    </row>
    <row r="125" spans="2:10" s="21" customFormat="1" x14ac:dyDescent="0.2">
      <c r="B125" s="23"/>
    </row>
    <row r="126" spans="2:10" s="21" customFormat="1" x14ac:dyDescent="0.2">
      <c r="B126" s="23"/>
      <c r="C126" s="23"/>
    </row>
    <row r="127" spans="2:10" s="21" customFormat="1" x14ac:dyDescent="0.2"/>
    <row r="128" spans="2:10" s="21" customFormat="1" x14ac:dyDescent="0.2"/>
    <row r="129" spans="2:5" s="21" customFormat="1" x14ac:dyDescent="0.2">
      <c r="B129" s="24"/>
      <c r="C129" s="27"/>
      <c r="D129" s="23"/>
      <c r="E129" s="23"/>
    </row>
    <row r="130" spans="2:5" s="21" customFormat="1" x14ac:dyDescent="0.2">
      <c r="B130" s="24"/>
      <c r="C130" s="27"/>
      <c r="D130" s="23"/>
      <c r="E130" s="23"/>
    </row>
    <row r="131" spans="2:5" s="21" customFormat="1" x14ac:dyDescent="0.2">
      <c r="B131" s="24"/>
      <c r="C131" s="27"/>
      <c r="D131" s="23"/>
      <c r="E131" s="23"/>
    </row>
    <row r="132" spans="2:5" s="21" customFormat="1" x14ac:dyDescent="0.2">
      <c r="B132" s="24"/>
      <c r="C132" s="27"/>
      <c r="D132" s="23"/>
      <c r="E132" s="23"/>
    </row>
    <row r="133" spans="2:5" s="21" customFormat="1" x14ac:dyDescent="0.2">
      <c r="B133" s="24"/>
      <c r="C133" s="27"/>
      <c r="D133" s="23"/>
      <c r="E133" s="23"/>
    </row>
    <row r="134" spans="2:5" s="21" customFormat="1" x14ac:dyDescent="0.2">
      <c r="B134" s="24"/>
      <c r="C134" s="27"/>
      <c r="D134" s="23"/>
      <c r="E134" s="23"/>
    </row>
    <row r="135" spans="2:5" s="21" customFormat="1" x14ac:dyDescent="0.2">
      <c r="B135" s="24"/>
      <c r="C135" s="27"/>
      <c r="D135" s="23"/>
      <c r="E135" s="23"/>
    </row>
    <row r="136" spans="2:5" s="21" customFormat="1" x14ac:dyDescent="0.2">
      <c r="B136" s="24"/>
      <c r="C136" s="27"/>
      <c r="D136" s="23"/>
      <c r="E136" s="23"/>
    </row>
    <row r="137" spans="2:5" s="21" customFormat="1" x14ac:dyDescent="0.2">
      <c r="B137" s="24"/>
      <c r="C137" s="27"/>
      <c r="D137" s="23"/>
      <c r="E137" s="23"/>
    </row>
    <row r="138" spans="2:5" s="21" customFormat="1" x14ac:dyDescent="0.2">
      <c r="B138" s="24"/>
      <c r="C138" s="27"/>
      <c r="D138" s="23"/>
      <c r="E138" s="23"/>
    </row>
    <row r="139" spans="2:5" s="21" customFormat="1" x14ac:dyDescent="0.2">
      <c r="B139" s="24"/>
      <c r="C139" s="27"/>
      <c r="D139" s="23"/>
      <c r="E139" s="23"/>
    </row>
    <row r="140" spans="2:5" s="21" customFormat="1" x14ac:dyDescent="0.2">
      <c r="B140" s="24"/>
      <c r="C140" s="27"/>
      <c r="D140" s="23"/>
      <c r="E140" s="23"/>
    </row>
    <row r="141" spans="2:5" s="21" customFormat="1" x14ac:dyDescent="0.2">
      <c r="B141" s="24"/>
      <c r="C141" s="27"/>
      <c r="D141" s="23"/>
      <c r="E141" s="23"/>
    </row>
    <row r="142" spans="2:5" s="21" customFormat="1" x14ac:dyDescent="0.2">
      <c r="B142" s="24"/>
      <c r="C142" s="27"/>
      <c r="D142" s="23"/>
      <c r="E142" s="23"/>
    </row>
    <row r="143" spans="2:5" s="21" customFormat="1" x14ac:dyDescent="0.2">
      <c r="B143" s="24"/>
      <c r="C143" s="27"/>
      <c r="D143" s="23"/>
      <c r="E143" s="23"/>
    </row>
    <row r="144" spans="2:5" s="21" customFormat="1" x14ac:dyDescent="0.2">
      <c r="B144" s="24"/>
      <c r="C144" s="27"/>
      <c r="D144" s="23"/>
      <c r="E144" s="23"/>
    </row>
    <row r="145" spans="2:10" s="21" customFormat="1" x14ac:dyDescent="0.2">
      <c r="B145" s="24"/>
      <c r="C145" s="27"/>
      <c r="D145" s="23"/>
      <c r="E145" s="23"/>
    </row>
    <row r="146" spans="2:10" s="21" customFormat="1" x14ac:dyDescent="0.2">
      <c r="B146" s="24"/>
      <c r="C146" s="27"/>
      <c r="D146" s="23"/>
      <c r="E146" s="23"/>
    </row>
    <row r="147" spans="2:10" s="21" customFormat="1" x14ac:dyDescent="0.2">
      <c r="B147" s="24"/>
      <c r="C147" s="27"/>
      <c r="D147" s="23"/>
      <c r="E147" s="23"/>
    </row>
    <row r="148" spans="2:10" s="21" customFormat="1" x14ac:dyDescent="0.2">
      <c r="B148" s="24"/>
      <c r="C148" s="27"/>
      <c r="D148" s="23"/>
      <c r="E148" s="23"/>
    </row>
    <row r="149" spans="2:10" s="21" customFormat="1" x14ac:dyDescent="0.2">
      <c r="B149" s="24"/>
      <c r="C149" s="27"/>
      <c r="D149" s="23"/>
      <c r="E149" s="23"/>
    </row>
    <row r="150" spans="2:10" s="21" customFormat="1" x14ac:dyDescent="0.2">
      <c r="B150" s="24"/>
      <c r="C150" s="27"/>
      <c r="D150" s="23"/>
      <c r="E150" s="23"/>
    </row>
    <row r="151" spans="2:10" s="21" customFormat="1" x14ac:dyDescent="0.2">
      <c r="B151" s="24"/>
      <c r="C151" s="27"/>
      <c r="D151" s="23"/>
      <c r="E151" s="23"/>
    </row>
    <row r="152" spans="2:10" s="21" customFormat="1" x14ac:dyDescent="0.2">
      <c r="B152" s="24"/>
      <c r="C152" s="27"/>
      <c r="D152" s="23"/>
      <c r="E152" s="23"/>
    </row>
    <row r="153" spans="2:10" s="21" customFormat="1" x14ac:dyDescent="0.2">
      <c r="B153" s="24"/>
      <c r="C153" s="27"/>
      <c r="D153" s="23"/>
      <c r="E153" s="23"/>
    </row>
    <row r="154" spans="2:10" s="21" customFormat="1" x14ac:dyDescent="0.2">
      <c r="B154" s="24"/>
      <c r="C154" s="27"/>
      <c r="D154" s="23"/>
      <c r="E154" s="23"/>
    </row>
    <row r="155" spans="2:10" s="21" customFormat="1" x14ac:dyDescent="0.2">
      <c r="B155" s="24"/>
      <c r="C155" s="27"/>
      <c r="D155" s="23"/>
      <c r="E155" s="23"/>
    </row>
    <row r="156" spans="2:10" s="21" customFormat="1" x14ac:dyDescent="0.2">
      <c r="B156" s="24"/>
      <c r="C156" s="27"/>
      <c r="D156" s="23"/>
      <c r="E156" s="23"/>
    </row>
    <row r="157" spans="2:10" s="21" customFormat="1" x14ac:dyDescent="0.2">
      <c r="B157" s="24"/>
      <c r="C157" s="27"/>
      <c r="D157" s="23"/>
      <c r="E157" s="23"/>
    </row>
    <row r="158" spans="2:10" s="21" customFormat="1" x14ac:dyDescent="0.2">
      <c r="B158" s="24"/>
      <c r="C158" s="27"/>
      <c r="D158" s="23"/>
      <c r="E158" s="23"/>
    </row>
    <row r="159" spans="2:10" s="21" customFormat="1" x14ac:dyDescent="0.2">
      <c r="B159" s="24"/>
      <c r="C159" s="27"/>
      <c r="D159" s="23"/>
      <c r="E159" s="23"/>
    </row>
    <row r="160" spans="2:10" s="21" customFormat="1" x14ac:dyDescent="0.2">
      <c r="B160" s="24"/>
      <c r="C160" s="27"/>
      <c r="D160" s="23"/>
      <c r="E160" s="23"/>
      <c r="J160" s="28"/>
    </row>
    <row r="161" spans="2:10" s="21" customFormat="1" x14ac:dyDescent="0.2">
      <c r="B161" s="24"/>
      <c r="C161" s="27"/>
      <c r="D161" s="23"/>
      <c r="E161" s="23"/>
      <c r="J161" s="22"/>
    </row>
    <row r="162" spans="2:10" s="21" customFormat="1" x14ac:dyDescent="0.2">
      <c r="B162" s="24"/>
      <c r="C162" s="27"/>
      <c r="D162" s="23"/>
      <c r="E162" s="23"/>
    </row>
    <row r="163" spans="2:10" s="21" customFormat="1" x14ac:dyDescent="0.2">
      <c r="B163" s="24"/>
      <c r="C163" s="27"/>
      <c r="D163" s="23"/>
      <c r="E163" s="23"/>
    </row>
    <row r="164" spans="2:10" s="21" customFormat="1" x14ac:dyDescent="0.2">
      <c r="B164" s="24"/>
      <c r="C164" s="27"/>
      <c r="D164" s="23"/>
      <c r="E164" s="23"/>
    </row>
    <row r="165" spans="2:10" s="21" customFormat="1" x14ac:dyDescent="0.2"/>
    <row r="166" spans="2:10" s="21" customFormat="1" x14ac:dyDescent="0.2"/>
    <row r="167" spans="2:10" s="21" customFormat="1" x14ac:dyDescent="0.2">
      <c r="B167" s="23"/>
      <c r="C167" s="23"/>
      <c r="F167" s="26"/>
    </row>
    <row r="168" spans="2:10" s="21" customFormat="1" x14ac:dyDescent="0.2">
      <c r="B168" s="23"/>
      <c r="C168" s="23"/>
    </row>
    <row r="169" spans="2:10" s="21" customFormat="1" x14ac:dyDescent="0.2">
      <c r="B169" s="23"/>
    </row>
    <row r="170" spans="2:10" s="21" customFormat="1" x14ac:dyDescent="0.2">
      <c r="B170" s="23"/>
      <c r="C170" s="23"/>
    </row>
    <row r="171" spans="2:10" s="21" customFormat="1" x14ac:dyDescent="0.2">
      <c r="B171" s="3"/>
      <c r="C171" s="3"/>
      <c r="D171" s="1"/>
      <c r="E171" s="1"/>
      <c r="F171" s="1"/>
      <c r="G171" s="1"/>
      <c r="H171" s="1"/>
      <c r="I171" s="1"/>
    </row>
    <row r="172" spans="2:10" s="21" customFormat="1" x14ac:dyDescent="0.2">
      <c r="B172" s="3"/>
      <c r="C172" s="3"/>
      <c r="D172" s="1"/>
      <c r="E172" s="1"/>
      <c r="F172" s="1"/>
      <c r="G172" s="1"/>
      <c r="H172" s="1"/>
      <c r="I172" s="1"/>
    </row>
    <row r="173" spans="2:10" s="21" customFormat="1" x14ac:dyDescent="0.2">
      <c r="B173" s="1"/>
      <c r="C173" s="1"/>
      <c r="D173" s="1"/>
      <c r="E173" s="1"/>
      <c r="F173" s="1"/>
      <c r="G173" s="1"/>
      <c r="H173" s="1"/>
      <c r="I173" s="1"/>
    </row>
    <row r="174" spans="2:10" s="21" customFormat="1" x14ac:dyDescent="0.2">
      <c r="B174" s="1"/>
      <c r="C174" s="1"/>
      <c r="D174" s="1"/>
      <c r="E174" s="1"/>
      <c r="F174" s="1"/>
      <c r="G174" s="1"/>
      <c r="H174" s="1"/>
      <c r="I174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AE48"/>
  <sheetViews>
    <sheetView tabSelected="1" topLeftCell="A5" zoomScale="80" zoomScaleNormal="80" workbookViewId="0">
      <selection activeCell="D6" sqref="D6:D28"/>
    </sheetView>
  </sheetViews>
  <sheetFormatPr baseColWidth="10" defaultColWidth="11.5" defaultRowHeight="16" x14ac:dyDescent="0.2"/>
  <cols>
    <col min="1" max="2" width="11.5" style="1"/>
    <col min="3" max="3" width="12.83203125" style="1" bestFit="1" customWidth="1"/>
    <col min="4" max="4" width="11.5" style="1"/>
    <col min="5" max="5" width="12.83203125" style="1" bestFit="1" customWidth="1"/>
    <col min="6" max="6" width="11.5" style="1"/>
    <col min="7" max="7" width="12.5" style="1" bestFit="1" customWidth="1"/>
    <col min="8" max="8" width="14.83203125" style="1" customWidth="1"/>
    <col min="9" max="16384" width="11.5" style="1"/>
  </cols>
  <sheetData>
    <row r="1" spans="2:31" ht="17" x14ac:dyDescent="0.2">
      <c r="B1" s="10"/>
      <c r="C1" s="1" t="s">
        <v>6</v>
      </c>
      <c r="D1" s="3" t="s">
        <v>11</v>
      </c>
      <c r="E1" s="30" t="s">
        <v>12</v>
      </c>
      <c r="G1" s="1" t="s">
        <v>16</v>
      </c>
      <c r="I1" s="12"/>
      <c r="Q1" s="47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2:31" x14ac:dyDescent="0.2">
      <c r="B2" s="20"/>
      <c r="C2" s="15"/>
      <c r="F2" s="3"/>
      <c r="I2" s="12"/>
      <c r="J2" s="21"/>
      <c r="Q2" s="47"/>
      <c r="R2" s="49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</row>
    <row r="3" spans="2:31" x14ac:dyDescent="0.2">
      <c r="B3" s="27"/>
      <c r="C3" s="63"/>
      <c r="F3" s="3"/>
      <c r="I3" s="79" t="s">
        <v>73</v>
      </c>
      <c r="J3" s="21"/>
      <c r="Q3" s="47"/>
      <c r="R3" s="47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</row>
    <row r="4" spans="2:31" x14ac:dyDescent="0.2">
      <c r="B4" s="27"/>
      <c r="C4" s="63"/>
      <c r="F4" s="3"/>
      <c r="I4" s="21"/>
      <c r="J4" s="21"/>
      <c r="Q4" s="47"/>
      <c r="R4" s="47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</row>
    <row r="5" spans="2:31" x14ac:dyDescent="0.2">
      <c r="I5" s="21"/>
      <c r="J5" s="21"/>
      <c r="Q5" s="47"/>
      <c r="R5" s="47"/>
      <c r="S5" s="48"/>
      <c r="T5" s="48"/>
      <c r="U5" s="48"/>
      <c r="V5" s="48"/>
      <c r="W5" s="48"/>
      <c r="X5" s="48"/>
      <c r="Y5" s="48"/>
      <c r="Z5" s="48"/>
      <c r="AA5" s="48"/>
      <c r="AB5" s="48"/>
      <c r="AC5" s="50"/>
      <c r="AD5" s="48">
        <f>1/29.356</f>
        <v>3.406458645592042E-2</v>
      </c>
      <c r="AE5" s="48"/>
    </row>
    <row r="6" spans="2:31" x14ac:dyDescent="0.2">
      <c r="B6" s="53">
        <v>252.8293937332904</v>
      </c>
      <c r="C6" s="64">
        <v>1.7592865252825116</v>
      </c>
      <c r="D6" s="1">
        <f t="shared" ref="D6:D27" si="0">$G$33+(($C$28-$G$33)*(EXP(-$G$34*B6)))</f>
        <v>152.95223263283526</v>
      </c>
      <c r="E6" s="1">
        <f t="shared" ref="E6:E27" si="1">$G$34*B6</f>
        <v>956.04235003623432</v>
      </c>
      <c r="F6" s="3"/>
      <c r="G6" s="1">
        <f>(D6-C6)^2</f>
        <v>22859.306952681352</v>
      </c>
      <c r="I6" s="17"/>
      <c r="J6" s="12"/>
      <c r="Q6" s="47"/>
      <c r="R6" s="47"/>
      <c r="S6" s="48"/>
      <c r="T6" s="48"/>
      <c r="U6" s="48"/>
      <c r="V6" s="48"/>
      <c r="W6" s="48"/>
      <c r="X6" s="48"/>
      <c r="Y6" s="48"/>
      <c r="Z6" s="48"/>
      <c r="AA6" s="48"/>
      <c r="AB6" s="48"/>
      <c r="AC6" s="50"/>
      <c r="AD6" s="48">
        <f>AD5*0.1329</f>
        <v>4.5271835399918236E-3</v>
      </c>
      <c r="AE6" s="48"/>
    </row>
    <row r="7" spans="2:31" x14ac:dyDescent="0.2">
      <c r="B7" s="27">
        <v>226.75423093046544</v>
      </c>
      <c r="C7" s="63">
        <v>8.3402009142409668</v>
      </c>
      <c r="D7" s="1">
        <f t="shared" si="0"/>
        <v>152.95223263283526</v>
      </c>
      <c r="E7" s="1">
        <f t="shared" si="1"/>
        <v>857.44242241117456</v>
      </c>
      <c r="F7" s="3"/>
      <c r="G7" s="1">
        <f t="shared" ref="G7:G28" si="2">(D7-C7)^2</f>
        <v>20912.639717779723</v>
      </c>
      <c r="I7" s="17"/>
      <c r="J7" s="12"/>
      <c r="Q7" s="47"/>
      <c r="R7" s="47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</row>
    <row r="8" spans="2:31" x14ac:dyDescent="0.2">
      <c r="B8" s="53">
        <v>222.8293937332904</v>
      </c>
      <c r="C8" s="64">
        <v>4.1337562853666894</v>
      </c>
      <c r="D8" s="1">
        <f t="shared" si="0"/>
        <v>152.95223263283526</v>
      </c>
      <c r="E8" s="1">
        <f t="shared" si="1"/>
        <v>842.60114734386514</v>
      </c>
      <c r="F8" s="3"/>
      <c r="G8" s="1">
        <f t="shared" si="2"/>
        <v>22146.938902382059</v>
      </c>
      <c r="I8" s="35"/>
      <c r="J8" s="21"/>
      <c r="Q8" s="47"/>
      <c r="R8" s="47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</row>
    <row r="9" spans="2:31" x14ac:dyDescent="0.2">
      <c r="B9" s="27">
        <v>211.75423093046544</v>
      </c>
      <c r="C9" s="63">
        <v>11.97173723336782</v>
      </c>
      <c r="D9" s="1">
        <f t="shared" si="0"/>
        <v>152.95223263283526</v>
      </c>
      <c r="E9" s="1">
        <f t="shared" si="1"/>
        <v>800.72182106498997</v>
      </c>
      <c r="F9" s="3"/>
      <c r="G9" s="1">
        <f t="shared" si="2"/>
        <v>19875.500083079256</v>
      </c>
      <c r="I9" s="21"/>
      <c r="J9" s="21"/>
      <c r="Q9" s="47"/>
      <c r="R9" s="47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</row>
    <row r="10" spans="2:31" x14ac:dyDescent="0.2">
      <c r="B10" s="53">
        <v>207.8293937332904</v>
      </c>
      <c r="C10" s="64">
        <v>14.749375785788672</v>
      </c>
      <c r="D10" s="1">
        <f t="shared" si="0"/>
        <v>152.95223263283526</v>
      </c>
      <c r="E10" s="1">
        <f t="shared" si="1"/>
        <v>785.88054599768043</v>
      </c>
      <c r="F10" s="3"/>
      <c r="G10" s="1">
        <f t="shared" si="2"/>
        <v>19100.02964068525</v>
      </c>
      <c r="I10" s="21"/>
      <c r="J10" s="21"/>
      <c r="Q10" s="47"/>
      <c r="R10" s="47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</row>
    <row r="11" spans="2:31" x14ac:dyDescent="0.2">
      <c r="B11" s="53">
        <v>192.8293937332904</v>
      </c>
      <c r="C11" s="64">
        <v>27.708247662855339</v>
      </c>
      <c r="D11" s="1">
        <f t="shared" si="0"/>
        <v>152.95223263283526</v>
      </c>
      <c r="E11" s="1">
        <f t="shared" si="1"/>
        <v>729.15994465149583</v>
      </c>
      <c r="F11" s="3"/>
      <c r="G11" s="1">
        <f t="shared" si="2"/>
        <v>15686.055771160556</v>
      </c>
      <c r="I11" s="27"/>
      <c r="J11" s="21"/>
      <c r="Q11" s="47"/>
      <c r="R11" s="47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</row>
    <row r="12" spans="2:31" x14ac:dyDescent="0.2">
      <c r="B12" s="53">
        <v>177.8293937332904</v>
      </c>
      <c r="C12" s="64">
        <v>32.149016172270564</v>
      </c>
      <c r="D12" s="1">
        <f t="shared" si="0"/>
        <v>152.95223263283526</v>
      </c>
      <c r="E12" s="1">
        <f t="shared" si="1"/>
        <v>672.43934330531124</v>
      </c>
      <c r="F12" s="3"/>
      <c r="G12" s="1">
        <f t="shared" si="2"/>
        <v>14593.417107218049</v>
      </c>
      <c r="I12" s="21"/>
      <c r="J12" s="21"/>
      <c r="Q12" s="47"/>
      <c r="R12" s="47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</row>
    <row r="13" spans="2:31" x14ac:dyDescent="0.2">
      <c r="B13" s="53">
        <v>162.8293937332904</v>
      </c>
      <c r="C13" s="64">
        <v>42.355195896660128</v>
      </c>
      <c r="D13" s="1">
        <f t="shared" si="0"/>
        <v>152.95223263283526</v>
      </c>
      <c r="E13" s="1">
        <f t="shared" si="1"/>
        <v>615.71874195912653</v>
      </c>
      <c r="F13" s="3"/>
      <c r="G13" s="1">
        <f t="shared" si="2"/>
        <v>12231.704534822873</v>
      </c>
      <c r="I13" s="18"/>
      <c r="J13" s="12"/>
      <c r="Q13" s="47"/>
      <c r="R13" s="47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</row>
    <row r="14" spans="2:31" x14ac:dyDescent="0.2">
      <c r="B14" s="53">
        <v>153.61954357704332</v>
      </c>
      <c r="C14" s="65">
        <v>59.64030899321132</v>
      </c>
      <c r="D14" s="1">
        <f t="shared" si="0"/>
        <v>152.95223263283526</v>
      </c>
      <c r="E14" s="1">
        <f t="shared" si="1"/>
        <v>580.8928593477541</v>
      </c>
      <c r="F14" s="3"/>
      <c r="G14" s="1">
        <f t="shared" si="2"/>
        <v>8707.1150933270092</v>
      </c>
      <c r="I14" s="18"/>
      <c r="J14" s="12"/>
      <c r="Q14" s="47"/>
      <c r="R14" s="47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</row>
    <row r="15" spans="2:31" x14ac:dyDescent="0.2">
      <c r="B15" s="53">
        <v>147.8293937332904</v>
      </c>
      <c r="C15" s="64">
        <v>58.977320477526213</v>
      </c>
      <c r="D15" s="1">
        <f t="shared" si="0"/>
        <v>152.95223263283526</v>
      </c>
      <c r="E15" s="1">
        <f t="shared" si="1"/>
        <v>558.99814061294194</v>
      </c>
      <c r="F15" s="3"/>
      <c r="G15" s="1">
        <f t="shared" si="2"/>
        <v>8831.2841145980547</v>
      </c>
      <c r="I15" s="21"/>
      <c r="J15" s="21"/>
      <c r="Q15" s="47"/>
      <c r="R15" s="47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</row>
    <row r="16" spans="2:31" x14ac:dyDescent="0.2">
      <c r="B16" s="53">
        <v>138.61954357704332</v>
      </c>
      <c r="C16" s="65">
        <v>72.154727992032676</v>
      </c>
      <c r="D16" s="1">
        <f t="shared" si="0"/>
        <v>152.95223263283526</v>
      </c>
      <c r="E16" s="1">
        <f t="shared" si="1"/>
        <v>524.1722580015695</v>
      </c>
      <c r="F16" s="3"/>
      <c r="G16" s="1">
        <f t="shared" si="2"/>
        <v>6528.2367561805158</v>
      </c>
      <c r="I16" s="21"/>
      <c r="J16" s="21"/>
      <c r="Q16" s="47"/>
      <c r="R16" s="47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</row>
    <row r="17" spans="1:31" x14ac:dyDescent="0.2">
      <c r="B17" s="53">
        <v>132.8293937332904</v>
      </c>
      <c r="C17" s="64">
        <v>84.863965011332013</v>
      </c>
      <c r="D17" s="1">
        <f t="shared" si="0"/>
        <v>152.95223263283526</v>
      </c>
      <c r="E17" s="1">
        <f t="shared" si="1"/>
        <v>502.27753926675734</v>
      </c>
      <c r="F17" s="3"/>
      <c r="G17" s="1">
        <f t="shared" si="2"/>
        <v>4636.0121876974481</v>
      </c>
      <c r="I17" s="21"/>
      <c r="J17" s="21"/>
      <c r="Q17" s="47"/>
      <c r="R17" s="47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</row>
    <row r="18" spans="1:31" x14ac:dyDescent="0.2">
      <c r="B18" s="53">
        <v>123.61954357704332</v>
      </c>
      <c r="C18" s="65">
        <v>105.07936041673109</v>
      </c>
      <c r="D18" s="1">
        <f t="shared" si="0"/>
        <v>152.95223263283526</v>
      </c>
      <c r="E18" s="1">
        <f t="shared" si="1"/>
        <v>467.45165665538485</v>
      </c>
      <c r="F18" s="3"/>
      <c r="G18" s="1">
        <f t="shared" si="2"/>
        <v>2291.8118942194387</v>
      </c>
      <c r="I18" s="27"/>
      <c r="J18" s="21"/>
      <c r="Q18" s="47"/>
      <c r="R18" s="47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</row>
    <row r="19" spans="1:31" x14ac:dyDescent="0.2">
      <c r="B19" s="53">
        <v>108.61954357704332</v>
      </c>
      <c r="C19" s="65">
        <v>140.8806427196501</v>
      </c>
      <c r="D19" s="1">
        <f t="shared" si="0"/>
        <v>152.95223263283526</v>
      </c>
      <c r="E19" s="1">
        <f t="shared" si="1"/>
        <v>410.7310553092002</v>
      </c>
      <c r="F19" s="3"/>
      <c r="G19" s="1">
        <f t="shared" si="2"/>
        <v>145.72328303211381</v>
      </c>
      <c r="I19" s="21"/>
      <c r="J19" s="21"/>
      <c r="Q19" s="47"/>
      <c r="R19" s="47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</row>
    <row r="20" spans="1:31" x14ac:dyDescent="0.2">
      <c r="B20" s="53">
        <v>93.619543577043316</v>
      </c>
      <c r="C20" s="65">
        <v>163.01026284024482</v>
      </c>
      <c r="D20" s="1">
        <f t="shared" si="0"/>
        <v>152.95223263283526</v>
      </c>
      <c r="E20" s="1">
        <f t="shared" si="1"/>
        <v>354.01045396301561</v>
      </c>
      <c r="F20" s="3"/>
      <c r="G20" s="1">
        <f t="shared" si="2"/>
        <v>101.16397165316316</v>
      </c>
      <c r="I20" s="18"/>
      <c r="J20" s="13"/>
      <c r="Q20" s="47"/>
      <c r="R20" s="47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</row>
    <row r="21" spans="1:31" x14ac:dyDescent="0.2">
      <c r="B21" s="53">
        <v>78.619543577043316</v>
      </c>
      <c r="C21" s="65">
        <v>188.63629687361433</v>
      </c>
      <c r="D21" s="1">
        <f t="shared" si="0"/>
        <v>152.95223263283526</v>
      </c>
      <c r="E21" s="1">
        <f>$G$34*B21</f>
        <v>297.28985261683096</v>
      </c>
      <c r="F21" s="3"/>
      <c r="G21" s="1">
        <f t="shared" si="2"/>
        <v>1273.3524407400473</v>
      </c>
      <c r="I21" s="18"/>
      <c r="J21" s="13"/>
      <c r="Q21" s="47"/>
      <c r="R21" s="47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</row>
    <row r="22" spans="1:31" x14ac:dyDescent="0.2">
      <c r="B22" s="11">
        <v>75</v>
      </c>
      <c r="C22" s="66">
        <v>264.26987652988805</v>
      </c>
      <c r="D22" s="1">
        <f t="shared" si="0"/>
        <v>152.95223263283526</v>
      </c>
      <c r="E22" s="1">
        <f t="shared" si="1"/>
        <v>283.60300673092314</v>
      </c>
      <c r="F22" s="3"/>
      <c r="G22" s="1">
        <f t="shared" si="2"/>
        <v>12391.617842791054</v>
      </c>
      <c r="I22" s="21"/>
      <c r="J22" s="21"/>
      <c r="Q22" s="47"/>
      <c r="R22" s="47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</row>
    <row r="23" spans="1:31" x14ac:dyDescent="0.2">
      <c r="B23" s="53">
        <v>63.619543577043309</v>
      </c>
      <c r="C23" s="65">
        <v>308.82083021432567</v>
      </c>
      <c r="D23" s="1">
        <f t="shared" si="0"/>
        <v>152.95223263283526</v>
      </c>
      <c r="E23" s="1">
        <f t="shared" si="1"/>
        <v>240.5692512706463</v>
      </c>
      <c r="F23" s="3"/>
      <c r="G23" s="1">
        <f t="shared" si="2"/>
        <v>24295.019712020596</v>
      </c>
      <c r="I23" s="21"/>
      <c r="J23" s="21"/>
      <c r="Q23" s="47"/>
      <c r="R23" s="47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</row>
    <row r="24" spans="1:31" x14ac:dyDescent="0.2">
      <c r="B24" s="11">
        <v>60</v>
      </c>
      <c r="C24" s="66">
        <v>322.99021958383969</v>
      </c>
      <c r="D24" s="1">
        <f t="shared" si="0"/>
        <v>152.95223263283526</v>
      </c>
      <c r="E24" s="1">
        <f t="shared" si="1"/>
        <v>226.88240538473852</v>
      </c>
      <c r="F24" s="3"/>
      <c r="G24" s="1">
        <f t="shared" si="2"/>
        <v>28912.917006349951</v>
      </c>
      <c r="I24" s="21"/>
      <c r="J24" s="21"/>
      <c r="Q24" s="47"/>
      <c r="R24" s="47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</row>
    <row r="25" spans="1:31" x14ac:dyDescent="0.2">
      <c r="B25" s="11">
        <v>45</v>
      </c>
      <c r="C25" s="66">
        <v>386.34232155077234</v>
      </c>
      <c r="D25" s="1">
        <f t="shared" si="0"/>
        <v>152.95223263283526</v>
      </c>
      <c r="E25" s="1">
        <f t="shared" si="1"/>
        <v>170.1618040385539</v>
      </c>
      <c r="F25" s="3"/>
      <c r="G25" s="1">
        <f t="shared" si="2"/>
        <v>54470.933605122576</v>
      </c>
      <c r="I25" s="27"/>
      <c r="J25" s="21"/>
      <c r="Q25" s="47"/>
      <c r="R25" s="47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</row>
    <row r="26" spans="1:31" x14ac:dyDescent="0.2">
      <c r="B26" s="11">
        <v>30</v>
      </c>
      <c r="C26" s="66">
        <v>500.91244419454824</v>
      </c>
      <c r="D26" s="1">
        <f t="shared" si="0"/>
        <v>152.95223263283526</v>
      </c>
      <c r="E26" s="1">
        <f>$G$34*B26</f>
        <v>113.44120269236926</v>
      </c>
      <c r="F26" s="3"/>
      <c r="G26" s="1">
        <f t="shared" si="2"/>
        <v>121076.30883007206</v>
      </c>
      <c r="Q26" s="47"/>
      <c r="R26" s="47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</row>
    <row r="27" spans="1:31" x14ac:dyDescent="0.2">
      <c r="B27" s="11">
        <v>15</v>
      </c>
      <c r="C27" s="66">
        <v>565.20373728017364</v>
      </c>
      <c r="D27" s="1">
        <f t="shared" si="0"/>
        <v>152.95223263283526</v>
      </c>
      <c r="E27" s="1">
        <f t="shared" si="1"/>
        <v>56.72060134618463</v>
      </c>
      <c r="F27" s="3"/>
      <c r="G27" s="1">
        <f t="shared" si="2"/>
        <v>169951.30308399445</v>
      </c>
      <c r="Q27" s="47"/>
      <c r="R27" s="47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</row>
    <row r="28" spans="1:31" x14ac:dyDescent="0.2">
      <c r="B28" s="11">
        <v>0</v>
      </c>
      <c r="C28" s="66">
        <v>709.77064736751697</v>
      </c>
      <c r="D28" s="1">
        <f>$G$33+(($C$28-$G$33)*(EXP(-$G$34*B28)))</f>
        <v>709.77064736751697</v>
      </c>
      <c r="E28" s="1">
        <f>$G$34*B28</f>
        <v>0</v>
      </c>
      <c r="F28" s="3"/>
      <c r="G28" s="1">
        <f t="shared" si="2"/>
        <v>0</v>
      </c>
      <c r="Q28" s="47"/>
      <c r="R28" s="47"/>
    </row>
    <row r="29" spans="1:31" x14ac:dyDescent="0.2">
      <c r="G29" s="1">
        <f>SUM(G6:G28)</f>
        <v>591018.39253160753</v>
      </c>
    </row>
    <row r="31" spans="1:31" ht="17" x14ac:dyDescent="0.2">
      <c r="A31" s="29" t="s">
        <v>10</v>
      </c>
      <c r="F31" s="8" t="s">
        <v>5</v>
      </c>
      <c r="G31" s="9">
        <f>RSQ(C6:C28,D6:D28)</f>
        <v>0.33412744087826335</v>
      </c>
    </row>
    <row r="33" spans="2:7" x14ac:dyDescent="0.2">
      <c r="F33" s="104" t="s">
        <v>74</v>
      </c>
      <c r="G33" s="19">
        <v>152.95223263283526</v>
      </c>
    </row>
    <row r="34" spans="2:7" x14ac:dyDescent="0.2">
      <c r="F34" s="5" t="s">
        <v>9</v>
      </c>
      <c r="G34" s="6">
        <v>3.7813734230789753</v>
      </c>
    </row>
    <row r="36" spans="2:7" s="21" customFormat="1" x14ac:dyDescent="0.2">
      <c r="B36" s="24"/>
      <c r="C36" s="27"/>
      <c r="D36" s="23"/>
      <c r="E36" s="23"/>
    </row>
    <row r="37" spans="2:7" s="21" customFormat="1" x14ac:dyDescent="0.2">
      <c r="B37" s="24"/>
      <c r="C37" s="27"/>
      <c r="D37" s="23"/>
      <c r="E37" s="23"/>
    </row>
    <row r="38" spans="2:7" s="21" customFormat="1" x14ac:dyDescent="0.2">
      <c r="B38" s="24"/>
      <c r="C38" s="27"/>
      <c r="D38" s="23"/>
      <c r="E38" s="23"/>
    </row>
    <row r="39" spans="2:7" s="21" customFormat="1" x14ac:dyDescent="0.2">
      <c r="B39" s="24"/>
      <c r="C39" s="27"/>
      <c r="D39" s="23"/>
      <c r="E39" s="23"/>
    </row>
    <row r="40" spans="2:7" s="21" customFormat="1" x14ac:dyDescent="0.2">
      <c r="B40" s="24"/>
      <c r="C40" s="27"/>
      <c r="D40" s="23"/>
      <c r="E40" s="23"/>
    </row>
    <row r="41" spans="2:7" s="21" customFormat="1" x14ac:dyDescent="0.2"/>
    <row r="42" spans="2:7" s="21" customFormat="1" x14ac:dyDescent="0.2"/>
    <row r="43" spans="2:7" s="21" customFormat="1" x14ac:dyDescent="0.2">
      <c r="B43" s="23"/>
      <c r="C43" s="23"/>
      <c r="F43" s="26"/>
    </row>
    <row r="44" spans="2:7" s="21" customFormat="1" x14ac:dyDescent="0.2">
      <c r="B44" s="23"/>
      <c r="C44" s="23"/>
    </row>
    <row r="45" spans="2:7" s="21" customFormat="1" x14ac:dyDescent="0.2">
      <c r="B45" s="23"/>
    </row>
    <row r="46" spans="2:7" s="21" customFormat="1" x14ac:dyDescent="0.2">
      <c r="B46" s="23"/>
      <c r="C46" s="23"/>
    </row>
    <row r="47" spans="2:7" x14ac:dyDescent="0.2">
      <c r="B47" s="3"/>
      <c r="C47" s="3"/>
    </row>
    <row r="48" spans="2:7" x14ac:dyDescent="0.2">
      <c r="B48" s="3"/>
      <c r="C48" s="3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J10" sqref="J10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SMX DATOS</vt:lpstr>
      <vt:lpstr>SDZ DATOS</vt:lpstr>
      <vt:lpstr>CIP DATOS</vt:lpstr>
      <vt:lpstr>TET DATOS</vt:lpstr>
      <vt:lpstr>SMX L-H</vt:lpstr>
      <vt:lpstr>SDZ L-H</vt:lpstr>
      <vt:lpstr>CIP L-H</vt:lpstr>
      <vt:lpstr>TET L-H</vt:lpstr>
      <vt:lpstr>TODAS LAS GRAFICAS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Johanna Zambrano</cp:lastModifiedBy>
  <dcterms:created xsi:type="dcterms:W3CDTF">2021-09-30T10:04:11Z</dcterms:created>
  <dcterms:modified xsi:type="dcterms:W3CDTF">2021-11-15T11:55:53Z</dcterms:modified>
</cp:coreProperties>
</file>