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elenamaria_rojo_uva_es/Documents/Doctorado/Laboratorio/Hidrólisis Alejandro/"/>
    </mc:Choice>
  </mc:AlternateContent>
  <xr:revisionPtr revIDLastSave="82" documentId="13_ncr:1_{974024E8-8C84-4416-8FE7-8725A459FBF2}" xr6:coauthVersionLast="47" xr6:coauthVersionMax="47" xr10:uidLastSave="{4D5C6A08-CC2C-43F6-95FD-58F7C5D7B6DA}"/>
  <bookViews>
    <workbookView xWindow="-21720" yWindow="-120" windowWidth="21840" windowHeight="13140" firstSheet="6" activeTab="6" xr2:uid="{00000000-000D-0000-FFFF-FFFF00000000}"/>
  </bookViews>
  <sheets>
    <sheet name="Experimentos" sheetId="1" r:id="rId1"/>
    <sheet name="Control análisis" sheetId="3" r:id="rId2"/>
    <sheet name="Composición alga" sheetId="2" r:id="rId3"/>
    <sheet name="Calibrado HPLC" sheetId="4" r:id="rId4"/>
    <sheet name="Análisis sólidos" sheetId="5" r:id="rId5"/>
    <sheet name="Análisis lípidos" sheetId="6" r:id="rId6"/>
    <sheet name="Análisis proteínas" sheetId="8" r:id="rId7"/>
    <sheet name="Análisis carbohidratos" sheetId="7" r:id="rId8"/>
    <sheet name="Análisis carbohidratos BIS" sheetId="10" r:id="rId9"/>
    <sheet name="Análisis carbohidratos BIS (2)" sheetId="12" r:id="rId10"/>
    <sheet name="Control P+C 1h" sheetId="13" r:id="rId11"/>
    <sheet name="Composición extractos" sheetId="9" r:id="rId12"/>
    <sheet name="BCA y ninhidrina" sheetId="11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8" l="1"/>
  <c r="K85" i="8"/>
  <c r="K84" i="8"/>
  <c r="F45" i="5"/>
  <c r="F47" i="5"/>
  <c r="F49" i="5"/>
  <c r="F51" i="5"/>
  <c r="F53" i="5"/>
  <c r="F55" i="5"/>
  <c r="F58" i="5"/>
  <c r="F59" i="5"/>
  <c r="F61" i="5"/>
  <c r="F63" i="5"/>
  <c r="F65" i="5"/>
  <c r="F68" i="5"/>
  <c r="F69" i="5"/>
  <c r="F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43" i="5"/>
  <c r="M34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43" i="5"/>
  <c r="X81" i="8"/>
  <c r="Y78" i="8"/>
  <c r="X79" i="8"/>
  <c r="X78" i="8"/>
  <c r="Y86" i="8" l="1"/>
  <c r="Y87" i="8"/>
  <c r="Y88" i="8"/>
  <c r="Y89" i="8"/>
  <c r="Y85" i="8"/>
  <c r="Y84" i="8"/>
  <c r="X84" i="8"/>
  <c r="AP20" i="8"/>
  <c r="X89" i="8"/>
  <c r="X88" i="8"/>
  <c r="X87" i="8"/>
  <c r="X86" i="8"/>
  <c r="X85" i="8"/>
  <c r="Z84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Y67" i="8"/>
  <c r="AP57" i="8"/>
  <c r="Z79" i="8"/>
  <c r="Z80" i="8"/>
  <c r="Z81" i="8"/>
  <c r="Z82" i="8"/>
  <c r="Z83" i="8"/>
  <c r="Y79" i="8"/>
  <c r="X80" i="8"/>
  <c r="Y80" i="8"/>
  <c r="Y81" i="8"/>
  <c r="X82" i="8"/>
  <c r="Y82" i="8"/>
  <c r="X83" i="8"/>
  <c r="Y83" i="8"/>
  <c r="V34" i="9"/>
  <c r="W34" i="9"/>
  <c r="U34" i="9"/>
  <c r="T34" i="9"/>
  <c r="R34" i="9"/>
  <c r="H34" i="9"/>
  <c r="G34" i="9"/>
  <c r="F34" i="9"/>
  <c r="C34" i="9"/>
  <c r="B34" i="9"/>
  <c r="O17" i="13"/>
  <c r="O16" i="13"/>
  <c r="K17" i="13"/>
  <c r="L17" i="13"/>
  <c r="M17" i="13"/>
  <c r="N17" i="13"/>
  <c r="L16" i="13"/>
  <c r="M16" i="13"/>
  <c r="N16" i="13"/>
  <c r="K16" i="13"/>
  <c r="C24" i="13"/>
  <c r="Q63" i="1"/>
  <c r="T21" i="13"/>
  <c r="T20" i="13"/>
  <c r="S21" i="13"/>
  <c r="S20" i="13"/>
  <c r="R21" i="13"/>
  <c r="R20" i="13"/>
  <c r="Q21" i="13"/>
  <c r="Q20" i="13"/>
  <c r="M21" i="13"/>
  <c r="N21" i="13"/>
  <c r="N20" i="13"/>
  <c r="M20" i="13"/>
  <c r="N11" i="7"/>
  <c r="H6" i="13"/>
  <c r="H5" i="13"/>
  <c r="G6" i="13"/>
  <c r="G5" i="13"/>
  <c r="D21" i="13"/>
  <c r="D20" i="13"/>
  <c r="D6" i="13"/>
  <c r="D5" i="13"/>
  <c r="F11" i="13"/>
  <c r="S63" i="1"/>
  <c r="E63" i="1"/>
  <c r="R63" i="1"/>
  <c r="O63" i="1"/>
  <c r="N63" i="1"/>
  <c r="N62" i="1"/>
  <c r="M63" i="1"/>
  <c r="L63" i="1"/>
  <c r="H63" i="1"/>
  <c r="D63" i="1"/>
  <c r="G63" i="1"/>
  <c r="M27" i="1" l="1"/>
  <c r="V7" i="5" l="1"/>
  <c r="V11" i="5"/>
  <c r="V13" i="5"/>
  <c r="V15" i="5"/>
  <c r="V21" i="5"/>
  <c r="V23" i="5"/>
  <c r="V27" i="5"/>
  <c r="V30" i="5"/>
  <c r="V5" i="5"/>
  <c r="T5" i="5" s="1"/>
  <c r="Q7" i="5"/>
  <c r="U7" i="5" s="1"/>
  <c r="Q9" i="5"/>
  <c r="Q11" i="5"/>
  <c r="Q13" i="5"/>
  <c r="Q15" i="5"/>
  <c r="Q17" i="5"/>
  <c r="Q20" i="5"/>
  <c r="Q21" i="5"/>
  <c r="Q23" i="5"/>
  <c r="Q25" i="5"/>
  <c r="Q27" i="5"/>
  <c r="Q30" i="5"/>
  <c r="Q31" i="5"/>
  <c r="Q5" i="5"/>
  <c r="O7" i="5"/>
  <c r="O9" i="5"/>
  <c r="O11" i="5"/>
  <c r="O13" i="5"/>
  <c r="O15" i="5"/>
  <c r="O17" i="5"/>
  <c r="O20" i="5"/>
  <c r="O21" i="5"/>
  <c r="O23" i="5"/>
  <c r="O25" i="5"/>
  <c r="O27" i="5"/>
  <c r="O30" i="5"/>
  <c r="O31" i="5"/>
  <c r="O5" i="5"/>
  <c r="AP58" i="8"/>
  <c r="AG68" i="8" s="1"/>
  <c r="AP59" i="8"/>
  <c r="AF69" i="8" s="1"/>
  <c r="AP60" i="8"/>
  <c r="AF70" i="8" s="1"/>
  <c r="AP61" i="8"/>
  <c r="AF71" i="8" s="1"/>
  <c r="AP62" i="8"/>
  <c r="AF72" i="8" s="1"/>
  <c r="AP63" i="8"/>
  <c r="AF73" i="8" s="1"/>
  <c r="AP64" i="8"/>
  <c r="AF74" i="8" s="1"/>
  <c r="AB70" i="8" l="1"/>
  <c r="P27" i="5"/>
  <c r="AJ73" i="8"/>
  <c r="AI73" i="8"/>
  <c r="Y73" i="8"/>
  <c r="AM74" i="8"/>
  <c r="AJ71" i="8"/>
  <c r="AE70" i="8"/>
  <c r="AJ74" i="8"/>
  <c r="AE73" i="8"/>
  <c r="AE71" i="8"/>
  <c r="AA70" i="8"/>
  <c r="AI71" i="8"/>
  <c r="AI74" i="8"/>
  <c r="AB73" i="8"/>
  <c r="AB71" i="8"/>
  <c r="AE74" i="8"/>
  <c r="AA73" i="8"/>
  <c r="AA71" i="8"/>
  <c r="AK68" i="8"/>
  <c r="AB74" i="8"/>
  <c r="AJ72" i="8"/>
  <c r="AM70" i="8"/>
  <c r="P9" i="5"/>
  <c r="T13" i="5"/>
  <c r="AC68" i="8"/>
  <c r="AA74" i="8"/>
  <c r="AB72" i="8"/>
  <c r="AJ70" i="8"/>
  <c r="T11" i="5"/>
  <c r="Y72" i="8"/>
  <c r="AM73" i="8"/>
  <c r="AM71" i="8"/>
  <c r="AI70" i="8"/>
  <c r="AJ69" i="8"/>
  <c r="AF68" i="8"/>
  <c r="Y69" i="8"/>
  <c r="AE72" i="8"/>
  <c r="AE69" i="8"/>
  <c r="AM68" i="8"/>
  <c r="AE68" i="8"/>
  <c r="Y70" i="8"/>
  <c r="AL74" i="8"/>
  <c r="AD74" i="8"/>
  <c r="AL73" i="8"/>
  <c r="AD73" i="8"/>
  <c r="AL72" i="8"/>
  <c r="AD72" i="8"/>
  <c r="AL71" i="8"/>
  <c r="AD71" i="8"/>
  <c r="AL70" i="8"/>
  <c r="AD70" i="8"/>
  <c r="AL69" i="8"/>
  <c r="AD69" i="8"/>
  <c r="U23" i="5"/>
  <c r="AN68" i="8"/>
  <c r="AM72" i="8"/>
  <c r="AM69" i="8"/>
  <c r="AL68" i="8"/>
  <c r="AD68" i="8"/>
  <c r="Y71" i="8"/>
  <c r="AK74" i="8"/>
  <c r="AC74" i="8"/>
  <c r="AK73" i="8"/>
  <c r="AC73" i="8"/>
  <c r="AK72" i="8"/>
  <c r="AC72" i="8"/>
  <c r="AK71" i="8"/>
  <c r="AC71" i="8"/>
  <c r="AK70" i="8"/>
  <c r="AC70" i="8"/>
  <c r="AK69" i="8"/>
  <c r="AC69" i="8"/>
  <c r="P25" i="5"/>
  <c r="P21" i="5"/>
  <c r="T15" i="5"/>
  <c r="AB69" i="8"/>
  <c r="AJ68" i="8"/>
  <c r="AI72" i="8"/>
  <c r="AI69" i="8"/>
  <c r="U5" i="5"/>
  <c r="W5" i="5" s="1"/>
  <c r="AB5" i="5" s="1"/>
  <c r="AI68" i="8"/>
  <c r="AA68" i="8"/>
  <c r="Y74" i="8"/>
  <c r="AH74" i="8"/>
  <c r="Z74" i="8"/>
  <c r="AH73" i="8"/>
  <c r="Z73" i="8"/>
  <c r="AH72" i="8"/>
  <c r="Z72" i="8"/>
  <c r="AH71" i="8"/>
  <c r="Z71" i="8"/>
  <c r="AH70" i="8"/>
  <c r="Z70" i="8"/>
  <c r="AH69" i="8"/>
  <c r="Z69" i="8"/>
  <c r="P15" i="5"/>
  <c r="AA72" i="8"/>
  <c r="AA69" i="8"/>
  <c r="Y68" i="8"/>
  <c r="AH68" i="8"/>
  <c r="Z68" i="8"/>
  <c r="AO74" i="8"/>
  <c r="AG74" i="8"/>
  <c r="AO73" i="8"/>
  <c r="AG73" i="8"/>
  <c r="AO72" i="8"/>
  <c r="AG72" i="8"/>
  <c r="AO71" i="8"/>
  <c r="AG71" i="8"/>
  <c r="AO70" i="8"/>
  <c r="AG70" i="8"/>
  <c r="AO69" i="8"/>
  <c r="AG69" i="8"/>
  <c r="P30" i="5"/>
  <c r="U13" i="5"/>
  <c r="T7" i="5"/>
  <c r="W7" i="5" s="1"/>
  <c r="AB6" i="5" s="1"/>
  <c r="AB68" i="8"/>
  <c r="AO68" i="8"/>
  <c r="AN74" i="8"/>
  <c r="AN73" i="8"/>
  <c r="AN72" i="8"/>
  <c r="AN71" i="8"/>
  <c r="AN70" i="8"/>
  <c r="AN69" i="8"/>
  <c r="U27" i="5"/>
  <c r="U11" i="5"/>
  <c r="U30" i="5"/>
  <c r="P7" i="5"/>
  <c r="P31" i="5"/>
  <c r="P23" i="5"/>
  <c r="U21" i="5"/>
  <c r="P20" i="5"/>
  <c r="P17" i="5"/>
  <c r="P13" i="5"/>
  <c r="P11" i="5"/>
  <c r="P5" i="5"/>
  <c r="U15" i="5"/>
  <c r="W15" i="5" l="1"/>
  <c r="AB10" i="5" s="1"/>
  <c r="AP67" i="8"/>
  <c r="AP68" i="8"/>
  <c r="AP74" i="8"/>
  <c r="W13" i="5"/>
  <c r="AB9" i="5" s="1"/>
  <c r="W11" i="5"/>
  <c r="AB8" i="5" s="1"/>
  <c r="AP71" i="8"/>
  <c r="AP69" i="8"/>
  <c r="AP72" i="8"/>
  <c r="AP73" i="8"/>
  <c r="AP70" i="8"/>
  <c r="F83" i="8"/>
  <c r="F84" i="8"/>
  <c r="F85" i="8"/>
  <c r="AP15" i="8"/>
  <c r="AP6" i="8"/>
  <c r="Z78" i="8" l="1"/>
  <c r="T36" i="11"/>
  <c r="T21" i="5"/>
  <c r="W21" i="5" s="1"/>
  <c r="AB11" i="5" s="1"/>
  <c r="AP5" i="8"/>
  <c r="U14" i="9" l="1"/>
  <c r="AA40" i="7"/>
  <c r="AA39" i="7"/>
  <c r="N19" i="8" l="1"/>
  <c r="N17" i="8"/>
  <c r="N7" i="8"/>
  <c r="N5" i="8"/>
  <c r="P65" i="8"/>
  <c r="P66" i="8"/>
  <c r="P67" i="8"/>
  <c r="P68" i="8"/>
  <c r="AA50" i="7"/>
  <c r="AA49" i="7"/>
  <c r="AA44" i="7"/>
  <c r="AA43" i="7"/>
  <c r="AA42" i="7"/>
  <c r="AA41" i="7"/>
  <c r="AA38" i="7"/>
  <c r="AA37" i="7"/>
  <c r="AA36" i="7"/>
  <c r="AA35" i="7"/>
  <c r="AA34" i="7"/>
  <c r="AA33" i="7"/>
  <c r="AA32" i="7"/>
  <c r="AA31" i="7"/>
  <c r="AA30" i="7"/>
  <c r="AA29" i="7"/>
  <c r="M32" i="12"/>
  <c r="L32" i="12"/>
  <c r="J32" i="12"/>
  <c r="I32" i="12"/>
  <c r="G32" i="12"/>
  <c r="F32" i="12"/>
  <c r="D32" i="12"/>
  <c r="C32" i="12"/>
  <c r="AA26" i="12"/>
  <c r="AA24" i="12"/>
  <c r="AA22" i="12"/>
  <c r="AA20" i="12"/>
  <c r="AA18" i="12"/>
  <c r="AA16" i="12"/>
  <c r="AA14" i="12"/>
  <c r="AA12" i="12"/>
  <c r="AA10" i="12"/>
  <c r="AA8" i="12"/>
  <c r="AA6" i="12"/>
  <c r="AA4" i="12"/>
  <c r="AG4" i="12" l="1"/>
  <c r="AG19" i="12"/>
  <c r="I27" i="12"/>
  <c r="AG20" i="12"/>
  <c r="I4" i="12"/>
  <c r="AG13" i="12"/>
  <c r="AH27" i="12"/>
  <c r="AH24" i="12"/>
  <c r="AH25" i="12"/>
  <c r="J25" i="12"/>
  <c r="AH21" i="12"/>
  <c r="J21" i="12"/>
  <c r="J20" i="12"/>
  <c r="J19" i="12"/>
  <c r="AH12" i="12"/>
  <c r="AH11" i="12"/>
  <c r="AH9" i="12"/>
  <c r="J8" i="12"/>
  <c r="J7" i="12"/>
  <c r="AH6" i="12"/>
  <c r="J6" i="12"/>
  <c r="AH4" i="12"/>
  <c r="J18" i="12"/>
  <c r="J15" i="12"/>
  <c r="AH14" i="12"/>
  <c r="AH23" i="12"/>
  <c r="AH20" i="12"/>
  <c r="J14" i="12"/>
  <c r="AH7" i="12"/>
  <c r="J27" i="12"/>
  <c r="AH26" i="12"/>
  <c r="J26" i="12"/>
  <c r="J24" i="12"/>
  <c r="J4" i="12"/>
  <c r="I6" i="12"/>
  <c r="AG10" i="12"/>
  <c r="I11" i="12"/>
  <c r="J12" i="12"/>
  <c r="AH13" i="12"/>
  <c r="I14" i="12"/>
  <c r="AH15" i="12"/>
  <c r="AH16" i="12"/>
  <c r="I17" i="12"/>
  <c r="AG17" i="12"/>
  <c r="J23" i="12"/>
  <c r="AG5" i="12"/>
  <c r="AH8" i="12"/>
  <c r="I9" i="12"/>
  <c r="J10" i="12"/>
  <c r="AH10" i="12"/>
  <c r="J11" i="12"/>
  <c r="AG14" i="12"/>
  <c r="I15" i="12"/>
  <c r="I16" i="12"/>
  <c r="J17" i="12"/>
  <c r="AH17" i="12"/>
  <c r="I18" i="12"/>
  <c r="J22" i="12"/>
  <c r="AG25" i="12"/>
  <c r="I25" i="12"/>
  <c r="I24" i="12"/>
  <c r="AG27" i="12"/>
  <c r="AG24" i="12"/>
  <c r="I23" i="12"/>
  <c r="AG22" i="12"/>
  <c r="I22" i="12"/>
  <c r="AG16" i="12"/>
  <c r="AG15" i="12"/>
  <c r="I13" i="12"/>
  <c r="I12" i="12"/>
  <c r="I10" i="12"/>
  <c r="AG8" i="12"/>
  <c r="I5" i="12"/>
  <c r="I8" i="12"/>
  <c r="AG21" i="12"/>
  <c r="I21" i="12"/>
  <c r="I20" i="12"/>
  <c r="I19" i="12"/>
  <c r="AG12" i="12"/>
  <c r="AG11" i="12"/>
  <c r="AG9" i="12"/>
  <c r="I7" i="12"/>
  <c r="AG6" i="12"/>
  <c r="AG23" i="12"/>
  <c r="J5" i="12"/>
  <c r="AH5" i="12"/>
  <c r="AG7" i="12"/>
  <c r="J9" i="12"/>
  <c r="J13" i="12"/>
  <c r="J16" i="12"/>
  <c r="AG18" i="12"/>
  <c r="AH22" i="12"/>
  <c r="I26" i="12"/>
  <c r="AG26" i="12"/>
  <c r="AP17" i="8" l="1"/>
  <c r="AQ17" i="8" l="1"/>
  <c r="U6" i="8" s="1"/>
  <c r="Q68" i="8" s="1"/>
  <c r="AA32" i="8"/>
  <c r="AE32" i="8"/>
  <c r="AI32" i="8"/>
  <c r="AM32" i="8"/>
  <c r="AB32" i="8"/>
  <c r="AF32" i="8"/>
  <c r="AJ32" i="8"/>
  <c r="AN32" i="8"/>
  <c r="AC32" i="8"/>
  <c r="AG32" i="8"/>
  <c r="AK32" i="8"/>
  <c r="AO32" i="8"/>
  <c r="Z32" i="8"/>
  <c r="AD32" i="8"/>
  <c r="AH32" i="8"/>
  <c r="AL32" i="8"/>
  <c r="Y32" i="8"/>
  <c r="B40" i="2"/>
  <c r="Q65" i="8" l="1"/>
  <c r="Q67" i="8"/>
  <c r="Q66" i="8"/>
  <c r="AP32" i="8"/>
  <c r="G20" i="2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5" i="5"/>
  <c r="AP7" i="8"/>
  <c r="AP8" i="8"/>
  <c r="AP9" i="8"/>
  <c r="AP10" i="8"/>
  <c r="T44" i="11" s="1"/>
  <c r="AP11" i="8"/>
  <c r="AP13" i="8"/>
  <c r="AP14" i="8"/>
  <c r="AP16" i="8"/>
  <c r="T56" i="11" s="1"/>
  <c r="AP12" i="8"/>
  <c r="O40" i="11"/>
  <c r="P40" i="11" s="1"/>
  <c r="O41" i="11"/>
  <c r="P41" i="11" s="1"/>
  <c r="O42" i="11"/>
  <c r="P42" i="11" s="1"/>
  <c r="O43" i="11"/>
  <c r="P43" i="11" s="1"/>
  <c r="O44" i="11"/>
  <c r="P44" i="11" s="1"/>
  <c r="O45" i="11"/>
  <c r="P45" i="11" s="1"/>
  <c r="O46" i="11"/>
  <c r="P46" i="11" s="1"/>
  <c r="O47" i="11"/>
  <c r="P47" i="11" s="1"/>
  <c r="O48" i="11"/>
  <c r="P48" i="11" s="1"/>
  <c r="O49" i="11"/>
  <c r="P49" i="11" s="1"/>
  <c r="O50" i="11"/>
  <c r="P50" i="11" s="1"/>
  <c r="O51" i="11"/>
  <c r="P51" i="11" s="1"/>
  <c r="O52" i="11"/>
  <c r="P52" i="11" s="1"/>
  <c r="O53" i="11"/>
  <c r="P53" i="11" s="1"/>
  <c r="O54" i="11"/>
  <c r="P54" i="11" s="1"/>
  <c r="O55" i="11"/>
  <c r="P55" i="11" s="1"/>
  <c r="O56" i="11"/>
  <c r="P56" i="11" s="1"/>
  <c r="O57" i="11"/>
  <c r="P57" i="11" s="1"/>
  <c r="O58" i="11"/>
  <c r="P58" i="11" s="1"/>
  <c r="O59" i="11"/>
  <c r="P59" i="11" s="1"/>
  <c r="O60" i="11"/>
  <c r="P60" i="11" s="1"/>
  <c r="O61" i="11"/>
  <c r="P61" i="11" s="1"/>
  <c r="O62" i="11"/>
  <c r="P62" i="11" s="1"/>
  <c r="O63" i="11"/>
  <c r="P63" i="11" s="1"/>
  <c r="T48" i="11" l="1"/>
  <c r="T27" i="5"/>
  <c r="W27" i="5" s="1"/>
  <c r="AB14" i="5" s="1"/>
  <c r="T52" i="11"/>
  <c r="T30" i="5"/>
  <c r="W30" i="5" s="1"/>
  <c r="AB15" i="5" s="1"/>
  <c r="T40" i="11"/>
  <c r="T23" i="5"/>
  <c r="W23" i="5" s="1"/>
  <c r="AB12" i="5" s="1"/>
  <c r="AB25" i="8"/>
  <c r="AJ25" i="8"/>
  <c r="AC25" i="8"/>
  <c r="AK25" i="8"/>
  <c r="AA25" i="8"/>
  <c r="AD25" i="8"/>
  <c r="AL25" i="8"/>
  <c r="AE25" i="8"/>
  <c r="AM25" i="8"/>
  <c r="AO25" i="8"/>
  <c r="Z25" i="8"/>
  <c r="AH25" i="8"/>
  <c r="AF25" i="8"/>
  <c r="AN25" i="8"/>
  <c r="Y25" i="8"/>
  <c r="AG25" i="8"/>
  <c r="AI25" i="8"/>
  <c r="Z21" i="8"/>
  <c r="AA21" i="8"/>
  <c r="AB21" i="8"/>
  <c r="AJ21" i="8"/>
  <c r="Y21" i="8"/>
  <c r="AK21" i="8"/>
  <c r="AI21" i="8"/>
  <c r="AC21" i="8"/>
  <c r="AD21" i="8"/>
  <c r="AL21" i="8"/>
  <c r="AM21" i="8"/>
  <c r="AO21" i="8"/>
  <c r="AH21" i="8"/>
  <c r="AE21" i="8"/>
  <c r="AF21" i="8"/>
  <c r="AN21" i="8"/>
  <c r="AG21" i="8"/>
  <c r="AB29" i="8"/>
  <c r="AJ29" i="8"/>
  <c r="Y29" i="8"/>
  <c r="AC29" i="8"/>
  <c r="AK29" i="8"/>
  <c r="AD29" i="8"/>
  <c r="AL29" i="8"/>
  <c r="AE29" i="8"/>
  <c r="AM29" i="8"/>
  <c r="AO29" i="8"/>
  <c r="AH29" i="8"/>
  <c r="AF29" i="8"/>
  <c r="AN29" i="8"/>
  <c r="AG29" i="8"/>
  <c r="Z29" i="8"/>
  <c r="AI29" i="8"/>
  <c r="AA29" i="8"/>
  <c r="AB24" i="8"/>
  <c r="AJ24" i="8"/>
  <c r="AC24" i="8"/>
  <c r="AK24" i="8"/>
  <c r="AI24" i="8"/>
  <c r="AD24" i="8"/>
  <c r="AL24" i="8"/>
  <c r="AE24" i="8"/>
  <c r="AM24" i="8"/>
  <c r="AG24" i="8"/>
  <c r="Y24" i="8"/>
  <c r="AH24" i="8"/>
  <c r="AF24" i="8"/>
  <c r="AN24" i="8"/>
  <c r="AO24" i="8"/>
  <c r="Z24" i="8"/>
  <c r="AA24" i="8"/>
  <c r="AB30" i="8"/>
  <c r="AJ30" i="8"/>
  <c r="AC30" i="8"/>
  <c r="AK30" i="8"/>
  <c r="Z30" i="8"/>
  <c r="AD30" i="8"/>
  <c r="AL30" i="8"/>
  <c r="AE30" i="8"/>
  <c r="AM30" i="8"/>
  <c r="AO30" i="8"/>
  <c r="AH30" i="8"/>
  <c r="AF30" i="8"/>
  <c r="AN30" i="8"/>
  <c r="AG30" i="8"/>
  <c r="Y30" i="8"/>
  <c r="AA30" i="8"/>
  <c r="AI30" i="8"/>
  <c r="AG20" i="8"/>
  <c r="AO20" i="8"/>
  <c r="Z20" i="8"/>
  <c r="AH20" i="8"/>
  <c r="AA20" i="8"/>
  <c r="AI20" i="8"/>
  <c r="Y20" i="8"/>
  <c r="AB20" i="8"/>
  <c r="AJ20" i="8"/>
  <c r="AL20" i="8"/>
  <c r="AE20" i="8"/>
  <c r="AC20" i="8"/>
  <c r="AK20" i="8"/>
  <c r="AD20" i="8"/>
  <c r="AM20" i="8"/>
  <c r="AF20" i="8"/>
  <c r="AN20" i="8"/>
  <c r="AB27" i="8"/>
  <c r="AJ27" i="8"/>
  <c r="AC27" i="8"/>
  <c r="AK27" i="8"/>
  <c r="AA27" i="8"/>
  <c r="AD27" i="8"/>
  <c r="AL27" i="8"/>
  <c r="Y27" i="8"/>
  <c r="AE27" i="8"/>
  <c r="AM27" i="8"/>
  <c r="AO27" i="8"/>
  <c r="Z27" i="8"/>
  <c r="AF27" i="8"/>
  <c r="AN27" i="8"/>
  <c r="AG27" i="8"/>
  <c r="AH27" i="8"/>
  <c r="AI27" i="8"/>
  <c r="AB23" i="8"/>
  <c r="AJ23" i="8"/>
  <c r="AC23" i="8"/>
  <c r="AK23" i="8"/>
  <c r="Y23" i="8"/>
  <c r="AI23" i="8"/>
  <c r="AD23" i="8"/>
  <c r="AL23" i="8"/>
  <c r="AE23" i="8"/>
  <c r="AM23" i="8"/>
  <c r="Z23" i="8"/>
  <c r="AH23" i="8"/>
  <c r="AF23" i="8"/>
  <c r="AN23" i="8"/>
  <c r="AG23" i="8"/>
  <c r="AO23" i="8"/>
  <c r="AA23" i="8"/>
  <c r="AB28" i="8"/>
  <c r="AJ28" i="8"/>
  <c r="AC28" i="8"/>
  <c r="AK28" i="8"/>
  <c r="Y28" i="8"/>
  <c r="AA28" i="8"/>
  <c r="AD28" i="8"/>
  <c r="AL28" i="8"/>
  <c r="AE28" i="8"/>
  <c r="AM28" i="8"/>
  <c r="AO28" i="8"/>
  <c r="Z28" i="8"/>
  <c r="AH28" i="8"/>
  <c r="AF28" i="8"/>
  <c r="AN28" i="8"/>
  <c r="AG28" i="8"/>
  <c r="AI28" i="8"/>
  <c r="AB26" i="8"/>
  <c r="AJ26" i="8"/>
  <c r="AC26" i="8"/>
  <c r="AK26" i="8"/>
  <c r="AD26" i="8"/>
  <c r="AL26" i="8"/>
  <c r="AE26" i="8"/>
  <c r="AM26" i="8"/>
  <c r="Y26" i="8"/>
  <c r="AO26" i="8"/>
  <c r="Z26" i="8"/>
  <c r="AF26" i="8"/>
  <c r="AN26" i="8"/>
  <c r="AG26" i="8"/>
  <c r="AH26" i="8"/>
  <c r="AI26" i="8"/>
  <c r="AA26" i="8"/>
  <c r="AB31" i="8"/>
  <c r="AJ31" i="8"/>
  <c r="AC31" i="8"/>
  <c r="AK31" i="8"/>
  <c r="AD31" i="8"/>
  <c r="AL31" i="8"/>
  <c r="AE31" i="8"/>
  <c r="AM31" i="8"/>
  <c r="AH31" i="8"/>
  <c r="AF31" i="8"/>
  <c r="AN31" i="8"/>
  <c r="AG31" i="8"/>
  <c r="AO31" i="8"/>
  <c r="Z31" i="8"/>
  <c r="Y31" i="8"/>
  <c r="AI31" i="8"/>
  <c r="AA31" i="8"/>
  <c r="AB22" i="8"/>
  <c r="AJ22" i="8"/>
  <c r="AC22" i="8"/>
  <c r="AK22" i="8"/>
  <c r="AD22" i="8"/>
  <c r="AL22" i="8"/>
  <c r="AE22" i="8"/>
  <c r="AM22" i="8"/>
  <c r="AH22" i="8"/>
  <c r="AF22" i="8"/>
  <c r="AN22" i="8"/>
  <c r="AG22" i="8"/>
  <c r="AO22" i="8"/>
  <c r="Z22" i="8"/>
  <c r="AA22" i="8"/>
  <c r="AI22" i="8"/>
  <c r="Y22" i="8"/>
  <c r="Q44" i="11"/>
  <c r="R44" i="11" s="1"/>
  <c r="S44" i="11" s="1"/>
  <c r="Q56" i="11"/>
  <c r="R56" i="11" s="1"/>
  <c r="S56" i="11" s="1"/>
  <c r="Q48" i="11"/>
  <c r="R48" i="11" s="1"/>
  <c r="S48" i="11" s="1"/>
  <c r="Q54" i="11"/>
  <c r="R54" i="11" s="1"/>
  <c r="S54" i="11" s="1"/>
  <c r="Q50" i="11"/>
  <c r="R50" i="11" s="1"/>
  <c r="S50" i="11" s="1"/>
  <c r="Q42" i="11"/>
  <c r="R42" i="11" s="1"/>
  <c r="S42" i="11" s="1"/>
  <c r="Q62" i="11"/>
  <c r="R62" i="11" s="1"/>
  <c r="S62" i="11" s="1"/>
  <c r="Q60" i="11"/>
  <c r="R60" i="11" s="1"/>
  <c r="S60" i="11" s="1"/>
  <c r="Q40" i="11"/>
  <c r="R40" i="11" s="1"/>
  <c r="S40" i="11" s="1"/>
  <c r="Q58" i="11"/>
  <c r="R58" i="11" s="1"/>
  <c r="S58" i="11" s="1"/>
  <c r="Q46" i="11"/>
  <c r="R46" i="11" s="1"/>
  <c r="S46" i="11" s="1"/>
  <c r="Q52" i="11"/>
  <c r="R52" i="11" s="1"/>
  <c r="S52" i="11" s="1"/>
  <c r="F60" i="11"/>
  <c r="G60" i="11" s="1"/>
  <c r="H60" i="11" s="1"/>
  <c r="F62" i="11"/>
  <c r="G62" i="11" s="1"/>
  <c r="H62" i="11" s="1"/>
  <c r="L60" i="1"/>
  <c r="L59" i="1"/>
  <c r="V31" i="5" s="1"/>
  <c r="K60" i="1"/>
  <c r="K59" i="1"/>
  <c r="L54" i="1"/>
  <c r="K54" i="1"/>
  <c r="K62" i="1"/>
  <c r="K61" i="1"/>
  <c r="K58" i="1"/>
  <c r="K57" i="1"/>
  <c r="K56" i="1"/>
  <c r="K55" i="1"/>
  <c r="K53" i="1"/>
  <c r="K52" i="1"/>
  <c r="K51" i="1"/>
  <c r="L62" i="1"/>
  <c r="L53" i="1"/>
  <c r="V25" i="5" s="1"/>
  <c r="AB65" i="10"/>
  <c r="AB67" i="10"/>
  <c r="T31" i="5" l="1"/>
  <c r="U31" i="5"/>
  <c r="T25" i="5"/>
  <c r="U25" i="5"/>
  <c r="AP25" i="8"/>
  <c r="AP27" i="8"/>
  <c r="AP24" i="8"/>
  <c r="AP21" i="8"/>
  <c r="AP28" i="8"/>
  <c r="AP22" i="8"/>
  <c r="AP29" i="8"/>
  <c r="AP26" i="8"/>
  <c r="AP23" i="8"/>
  <c r="AP30" i="8"/>
  <c r="AP31" i="8"/>
  <c r="AB47" i="10"/>
  <c r="AB49" i="10"/>
  <c r="AB51" i="10"/>
  <c r="AB53" i="10"/>
  <c r="AB55" i="10"/>
  <c r="AB57" i="10"/>
  <c r="AB59" i="10"/>
  <c r="AB61" i="10"/>
  <c r="AB63" i="10"/>
  <c r="AB45" i="10"/>
  <c r="AB7" i="10"/>
  <c r="AB9" i="10"/>
  <c r="AB11" i="10"/>
  <c r="AB13" i="10"/>
  <c r="AB15" i="10"/>
  <c r="AB17" i="10"/>
  <c r="AB19" i="10"/>
  <c r="AB21" i="10"/>
  <c r="AB23" i="10"/>
  <c r="AB25" i="10"/>
  <c r="AB27" i="10"/>
  <c r="AB29" i="10"/>
  <c r="AB31" i="10"/>
  <c r="AB33" i="10"/>
  <c r="AB35" i="10"/>
  <c r="AB37" i="10"/>
  <c r="AB39" i="10"/>
  <c r="AB41" i="10"/>
  <c r="AB43" i="10"/>
  <c r="AB5" i="10"/>
  <c r="P61" i="8"/>
  <c r="Q61" i="8" s="1"/>
  <c r="P62" i="8"/>
  <c r="Q62" i="8" s="1"/>
  <c r="P63" i="8"/>
  <c r="Q63" i="8" s="1"/>
  <c r="I62" i="11" s="1"/>
  <c r="P64" i="8"/>
  <c r="Q64" i="8" s="1"/>
  <c r="F33" i="5"/>
  <c r="D61" i="6" s="1"/>
  <c r="H61" i="6" s="1"/>
  <c r="G33" i="5"/>
  <c r="E32" i="9" s="1"/>
  <c r="F34" i="5"/>
  <c r="D64" i="8" s="1"/>
  <c r="G64" i="8" s="1"/>
  <c r="H64" i="8" s="1"/>
  <c r="G34" i="5"/>
  <c r="E33" i="9" s="1"/>
  <c r="R61" i="1"/>
  <c r="Z32" i="9" s="1"/>
  <c r="R62" i="1"/>
  <c r="AA33" i="9" s="1"/>
  <c r="M61" i="1"/>
  <c r="M62" i="1"/>
  <c r="G61" i="1"/>
  <c r="G62" i="1"/>
  <c r="W25" i="5" l="1"/>
  <c r="AB13" i="5" s="1"/>
  <c r="W31" i="5"/>
  <c r="AB16" i="5" s="1"/>
  <c r="I60" i="11"/>
  <c r="Z33" i="9"/>
  <c r="AA32" i="9"/>
  <c r="Q62" i="1"/>
  <c r="R62" i="8"/>
  <c r="R61" i="8"/>
  <c r="F33" i="9"/>
  <c r="D64" i="6"/>
  <c r="H64" i="6" s="1"/>
  <c r="D67" i="10"/>
  <c r="D61" i="8"/>
  <c r="G61" i="8" s="1"/>
  <c r="H61" i="8" s="1"/>
  <c r="Q61" i="1"/>
  <c r="D65" i="10"/>
  <c r="F32" i="9"/>
  <c r="R63" i="8"/>
  <c r="R64" i="8"/>
  <c r="D62" i="8"/>
  <c r="G62" i="8" s="1"/>
  <c r="H62" i="8" s="1"/>
  <c r="N61" i="1"/>
  <c r="O61" i="1" s="1"/>
  <c r="D62" i="6"/>
  <c r="H62" i="6" s="1"/>
  <c r="D32" i="9" s="1"/>
  <c r="D63" i="8"/>
  <c r="G63" i="8" s="1"/>
  <c r="H63" i="8" s="1"/>
  <c r="D63" i="6"/>
  <c r="H63" i="6" s="1"/>
  <c r="O62" i="1"/>
  <c r="F40" i="11"/>
  <c r="G40" i="11" s="1"/>
  <c r="H40" i="11" s="1"/>
  <c r="F42" i="11"/>
  <c r="G42" i="11" s="1"/>
  <c r="H42" i="11" s="1"/>
  <c r="F44" i="11"/>
  <c r="G44" i="11" s="1"/>
  <c r="H44" i="11" s="1"/>
  <c r="F46" i="11"/>
  <c r="G46" i="11" s="1"/>
  <c r="H46" i="11" s="1"/>
  <c r="F48" i="11"/>
  <c r="G48" i="11" s="1"/>
  <c r="H48" i="11" s="1"/>
  <c r="F50" i="11"/>
  <c r="G50" i="11" s="1"/>
  <c r="H50" i="11" s="1"/>
  <c r="F52" i="11"/>
  <c r="G52" i="11" s="1"/>
  <c r="H52" i="11" s="1"/>
  <c r="F54" i="11"/>
  <c r="G54" i="11" s="1"/>
  <c r="H54" i="11" s="1"/>
  <c r="F56" i="11"/>
  <c r="G56" i="11" s="1"/>
  <c r="H56" i="11" s="1"/>
  <c r="F58" i="11"/>
  <c r="G58" i="11" s="1"/>
  <c r="H58" i="11" s="1"/>
  <c r="AM44" i="10"/>
  <c r="D41" i="10"/>
  <c r="AC41" i="10" s="1"/>
  <c r="D42" i="10"/>
  <c r="D43" i="10"/>
  <c r="AC43" i="10" s="1"/>
  <c r="D44" i="10"/>
  <c r="N44" i="10"/>
  <c r="P49" i="8"/>
  <c r="P50" i="8"/>
  <c r="Q50" i="8" s="1"/>
  <c r="P51" i="8"/>
  <c r="Q51" i="8" s="1"/>
  <c r="I50" i="11" s="1"/>
  <c r="P52" i="8"/>
  <c r="Q52" i="8" s="1"/>
  <c r="P53" i="8"/>
  <c r="P54" i="8"/>
  <c r="Q54" i="8" s="1"/>
  <c r="P55" i="8"/>
  <c r="Q55" i="8" s="1"/>
  <c r="P56" i="8"/>
  <c r="Q56" i="8" s="1"/>
  <c r="P57" i="8"/>
  <c r="Q57" i="8" s="1"/>
  <c r="P58" i="8"/>
  <c r="P59" i="8"/>
  <c r="Q59" i="8" s="1"/>
  <c r="I58" i="11" s="1"/>
  <c r="P60" i="8"/>
  <c r="Q60" i="8" s="1"/>
  <c r="F27" i="5"/>
  <c r="Q55" i="1" s="1"/>
  <c r="C65" i="5" s="1"/>
  <c r="G27" i="5"/>
  <c r="E26" i="9" s="1"/>
  <c r="F28" i="5"/>
  <c r="Q56" i="1" s="1"/>
  <c r="C66" i="5" s="1"/>
  <c r="G28" i="5"/>
  <c r="E27" i="9" s="1"/>
  <c r="F29" i="5"/>
  <c r="Q57" i="1" s="1"/>
  <c r="C67" i="5" s="1"/>
  <c r="G29" i="5"/>
  <c r="E28" i="9" s="1"/>
  <c r="F30" i="5"/>
  <c r="Q58" i="1" s="1"/>
  <c r="C68" i="5" s="1"/>
  <c r="G30" i="5"/>
  <c r="E29" i="9" s="1"/>
  <c r="F31" i="5"/>
  <c r="G31" i="5"/>
  <c r="E30" i="9" s="1"/>
  <c r="F32" i="5"/>
  <c r="F31" i="9" s="1"/>
  <c r="G32" i="5"/>
  <c r="E31" i="9" s="1"/>
  <c r="G55" i="1"/>
  <c r="M55" i="1"/>
  <c r="R55" i="1"/>
  <c r="AA26" i="9" s="1"/>
  <c r="G56" i="1"/>
  <c r="M56" i="1"/>
  <c r="R56" i="1"/>
  <c r="AA27" i="9" s="1"/>
  <c r="G57" i="1"/>
  <c r="M57" i="1"/>
  <c r="R57" i="1"/>
  <c r="AA28" i="9" s="1"/>
  <c r="G58" i="1"/>
  <c r="M58" i="1"/>
  <c r="R58" i="1"/>
  <c r="AA29" i="9" s="1"/>
  <c r="G59" i="1"/>
  <c r="M59" i="1"/>
  <c r="R59" i="1"/>
  <c r="AA30" i="9" s="1"/>
  <c r="G60" i="1"/>
  <c r="M60" i="1"/>
  <c r="R60" i="1"/>
  <c r="AA31" i="9" s="1"/>
  <c r="I54" i="11" l="1"/>
  <c r="T65" i="10"/>
  <c r="T66" i="10"/>
  <c r="Q58" i="8"/>
  <c r="I56" i="11" s="1"/>
  <c r="AQ16" i="8"/>
  <c r="Q49" i="8"/>
  <c r="I48" i="11" s="1"/>
  <c r="AQ12" i="8"/>
  <c r="Q53" i="8"/>
  <c r="I52" i="11" s="1"/>
  <c r="AQ14" i="8"/>
  <c r="L32" i="9"/>
  <c r="B32" i="9"/>
  <c r="I61" i="6"/>
  <c r="I61" i="8"/>
  <c r="S61" i="8"/>
  <c r="Q33" i="9"/>
  <c r="AC65" i="10"/>
  <c r="S63" i="8"/>
  <c r="Q32" i="9"/>
  <c r="Z28" i="9"/>
  <c r="R52" i="8"/>
  <c r="Z27" i="9"/>
  <c r="R59" i="8"/>
  <c r="Z31" i="9"/>
  <c r="R60" i="8"/>
  <c r="I63" i="6"/>
  <c r="D33" i="9"/>
  <c r="Z26" i="9"/>
  <c r="R57" i="8"/>
  <c r="Z30" i="9"/>
  <c r="Z29" i="9"/>
  <c r="AC67" i="10"/>
  <c r="I63" i="8"/>
  <c r="B33" i="9"/>
  <c r="R56" i="8"/>
  <c r="D54" i="8"/>
  <c r="G54" i="8" s="1"/>
  <c r="H54" i="8" s="1"/>
  <c r="D53" i="8"/>
  <c r="G53" i="8" s="1"/>
  <c r="D54" i="6"/>
  <c r="H54" i="6" s="1"/>
  <c r="D53" i="6"/>
  <c r="H53" i="6" s="1"/>
  <c r="D57" i="10"/>
  <c r="N60" i="1"/>
  <c r="O60" i="1" s="1"/>
  <c r="D63" i="10"/>
  <c r="D60" i="6"/>
  <c r="H60" i="6" s="1"/>
  <c r="D60" i="8"/>
  <c r="G60" i="8" s="1"/>
  <c r="H60" i="8" s="1"/>
  <c r="D59" i="6"/>
  <c r="H59" i="6" s="1"/>
  <c r="D59" i="8"/>
  <c r="G59" i="8" s="1"/>
  <c r="H59" i="8" s="1"/>
  <c r="D55" i="10"/>
  <c r="D52" i="6"/>
  <c r="H52" i="6" s="1"/>
  <c r="D52" i="8"/>
  <c r="G52" i="8" s="1"/>
  <c r="H52" i="8" s="1"/>
  <c r="D51" i="6"/>
  <c r="H51" i="6" s="1"/>
  <c r="D51" i="8"/>
  <c r="G51" i="8" s="1"/>
  <c r="H51" i="8" s="1"/>
  <c r="R55" i="8"/>
  <c r="F27" i="9"/>
  <c r="R54" i="8"/>
  <c r="Q59" i="1"/>
  <c r="C69" i="5" s="1"/>
  <c r="D61" i="10"/>
  <c r="D58" i="6"/>
  <c r="H58" i="6" s="1"/>
  <c r="D58" i="8"/>
  <c r="G58" i="8" s="1"/>
  <c r="D57" i="6"/>
  <c r="H57" i="6" s="1"/>
  <c r="D57" i="8"/>
  <c r="G57" i="8" s="1"/>
  <c r="D53" i="10"/>
  <c r="D50" i="8"/>
  <c r="G50" i="8" s="1"/>
  <c r="H50" i="8" s="1"/>
  <c r="D49" i="6"/>
  <c r="H49" i="6" s="1"/>
  <c r="D50" i="6"/>
  <c r="H50" i="6" s="1"/>
  <c r="D49" i="8"/>
  <c r="G49" i="8" s="1"/>
  <c r="F29" i="9"/>
  <c r="D56" i="8"/>
  <c r="G56" i="8" s="1"/>
  <c r="H56" i="8" s="1"/>
  <c r="D55" i="6"/>
  <c r="H55" i="6" s="1"/>
  <c r="D55" i="8"/>
  <c r="G55" i="8" s="1"/>
  <c r="H55" i="8" s="1"/>
  <c r="D56" i="6"/>
  <c r="H56" i="6" s="1"/>
  <c r="D59" i="10"/>
  <c r="R51" i="8"/>
  <c r="Q60" i="1"/>
  <c r="C70" i="5" s="1"/>
  <c r="N58" i="1"/>
  <c r="O58" i="1" s="1"/>
  <c r="R50" i="8"/>
  <c r="N55" i="1"/>
  <c r="O55" i="1" s="1"/>
  <c r="F30" i="9"/>
  <c r="F26" i="9"/>
  <c r="N59" i="1"/>
  <c r="O59" i="1" s="1"/>
  <c r="F28" i="9"/>
  <c r="N57" i="1"/>
  <c r="O57" i="1" s="1"/>
  <c r="N56" i="1"/>
  <c r="O56" i="1" s="1"/>
  <c r="R49" i="8" l="1"/>
  <c r="R53" i="8"/>
  <c r="R58" i="8"/>
  <c r="I32" i="9"/>
  <c r="B27" i="9"/>
  <c r="B26" i="9" s="1"/>
  <c r="Q29" i="9"/>
  <c r="D31" i="9"/>
  <c r="L31" i="9" s="1"/>
  <c r="H58" i="8"/>
  <c r="B30" i="9" s="1"/>
  <c r="AQ15" i="8"/>
  <c r="L33" i="9"/>
  <c r="J32" i="9"/>
  <c r="I49" i="6"/>
  <c r="I53" i="6"/>
  <c r="D28" i="9"/>
  <c r="H49" i="8"/>
  <c r="I49" i="8" s="1"/>
  <c r="AQ11" i="8"/>
  <c r="H53" i="8"/>
  <c r="I53" i="8" s="1"/>
  <c r="AQ13" i="8"/>
  <c r="S49" i="8"/>
  <c r="H57" i="8"/>
  <c r="D30" i="9"/>
  <c r="L30" i="9" s="1"/>
  <c r="I57" i="6"/>
  <c r="J33" i="9"/>
  <c r="S53" i="8"/>
  <c r="Q28" i="9"/>
  <c r="B31" i="9"/>
  <c r="S57" i="8"/>
  <c r="Q31" i="9"/>
  <c r="Q27" i="9"/>
  <c r="Q30" i="9"/>
  <c r="D26" i="9"/>
  <c r="B29" i="9"/>
  <c r="D29" i="9"/>
  <c r="D27" i="9"/>
  <c r="AC55" i="10"/>
  <c r="AC57" i="10"/>
  <c r="AC61" i="10"/>
  <c r="AC59" i="10"/>
  <c r="AC53" i="10"/>
  <c r="AC63" i="10"/>
  <c r="Q26" i="9"/>
  <c r="L26" i="9" l="1"/>
  <c r="L27" i="9"/>
  <c r="L28" i="9"/>
  <c r="L29" i="9"/>
  <c r="B28" i="9"/>
  <c r="I57" i="8"/>
  <c r="J30" i="9"/>
  <c r="J27" i="9"/>
  <c r="J31" i="9"/>
  <c r="J29" i="9"/>
  <c r="F6" i="11"/>
  <c r="G6" i="11" s="1"/>
  <c r="F8" i="11"/>
  <c r="G8" i="11" s="1"/>
  <c r="F10" i="11"/>
  <c r="G10" i="11" s="1"/>
  <c r="F12" i="11"/>
  <c r="G12" i="11" s="1"/>
  <c r="F14" i="11"/>
  <c r="G14" i="11" s="1"/>
  <c r="F16" i="11"/>
  <c r="G16" i="11" s="1"/>
  <c r="F18" i="11"/>
  <c r="G18" i="11" s="1"/>
  <c r="F20" i="11"/>
  <c r="G20" i="11" s="1"/>
  <c r="F22" i="11"/>
  <c r="G22" i="11" s="1"/>
  <c r="F24" i="11"/>
  <c r="G24" i="11" s="1"/>
  <c r="F26" i="11"/>
  <c r="G26" i="11" s="1"/>
  <c r="F28" i="11"/>
  <c r="G28" i="11" s="1"/>
  <c r="F30" i="11"/>
  <c r="G30" i="11" s="1"/>
  <c r="F32" i="11"/>
  <c r="G32" i="11" s="1"/>
  <c r="F34" i="11"/>
  <c r="G34" i="11" s="1"/>
  <c r="F36" i="11"/>
  <c r="G36" i="11" s="1"/>
  <c r="F38" i="11"/>
  <c r="G38" i="11" s="1"/>
  <c r="F4" i="11"/>
  <c r="G4" i="11" s="1"/>
  <c r="D69" i="11"/>
  <c r="P15" i="1"/>
  <c r="P17" i="1"/>
  <c r="P7" i="1"/>
  <c r="M7" i="1"/>
  <c r="P9" i="1"/>
  <c r="P41" i="8"/>
  <c r="Q41" i="8" s="1"/>
  <c r="P42" i="8"/>
  <c r="P43" i="8"/>
  <c r="Q43" i="8" s="1"/>
  <c r="P44" i="8"/>
  <c r="Q44" i="8" s="1"/>
  <c r="P45" i="8"/>
  <c r="Q45" i="8" s="1"/>
  <c r="P46" i="8"/>
  <c r="P47" i="8"/>
  <c r="Q47" i="8" s="1"/>
  <c r="P48" i="8"/>
  <c r="Q48" i="8" s="1"/>
  <c r="F23" i="5"/>
  <c r="Q51" i="1" s="1"/>
  <c r="C61" i="5" s="1"/>
  <c r="G23" i="5"/>
  <c r="E22" i="9" s="1"/>
  <c r="F24" i="5"/>
  <c r="Q52" i="1" s="1"/>
  <c r="C62" i="5" s="1"/>
  <c r="G24" i="5"/>
  <c r="F25" i="5"/>
  <c r="G25" i="5"/>
  <c r="F26" i="5"/>
  <c r="G26" i="5"/>
  <c r="E25" i="9" s="1"/>
  <c r="G51" i="1"/>
  <c r="M51" i="1"/>
  <c r="R51" i="1"/>
  <c r="G52" i="1"/>
  <c r="M52" i="1"/>
  <c r="R52" i="1"/>
  <c r="AA23" i="9" s="1"/>
  <c r="G53" i="1"/>
  <c r="M53" i="1"/>
  <c r="R53" i="1"/>
  <c r="AA24" i="9" s="1"/>
  <c r="G54" i="1"/>
  <c r="M54" i="1"/>
  <c r="R54" i="1"/>
  <c r="AA25" i="9" s="1"/>
  <c r="I46" i="11" l="1"/>
  <c r="I42" i="11"/>
  <c r="Q42" i="8"/>
  <c r="I40" i="11" s="1"/>
  <c r="AQ8" i="8"/>
  <c r="Q46" i="8"/>
  <c r="R46" i="8" s="1"/>
  <c r="AQ10" i="8"/>
  <c r="J28" i="9"/>
  <c r="J26" i="9"/>
  <c r="Z22" i="9"/>
  <c r="AA22" i="9"/>
  <c r="R47" i="8"/>
  <c r="R48" i="8"/>
  <c r="Z23" i="9"/>
  <c r="Z25" i="9"/>
  <c r="Z24" i="9"/>
  <c r="R45" i="8"/>
  <c r="D45" i="6"/>
  <c r="H45" i="6" s="1"/>
  <c r="D45" i="8"/>
  <c r="G45" i="8" s="1"/>
  <c r="D49" i="10"/>
  <c r="D46" i="6"/>
  <c r="H46" i="6" s="1"/>
  <c r="D46" i="8"/>
  <c r="G46" i="8" s="1"/>
  <c r="H46" i="8" s="1"/>
  <c r="D47" i="10"/>
  <c r="D44" i="6"/>
  <c r="H44" i="6" s="1"/>
  <c r="D44" i="8"/>
  <c r="G44" i="8" s="1"/>
  <c r="H44" i="8" s="1"/>
  <c r="B23" i="9" s="1"/>
  <c r="D43" i="6"/>
  <c r="H43" i="6" s="1"/>
  <c r="D43" i="8"/>
  <c r="G43" i="8" s="1"/>
  <c r="H43" i="8" s="1"/>
  <c r="R44" i="8"/>
  <c r="R43" i="8"/>
  <c r="D45" i="10"/>
  <c r="D42" i="8"/>
  <c r="G42" i="8" s="1"/>
  <c r="H42" i="8" s="1"/>
  <c r="D42" i="6"/>
  <c r="H42" i="6" s="1"/>
  <c r="R42" i="8"/>
  <c r="D51" i="10"/>
  <c r="D48" i="8"/>
  <c r="G48" i="8" s="1"/>
  <c r="H48" i="8" s="1"/>
  <c r="D47" i="6"/>
  <c r="H47" i="6" s="1"/>
  <c r="D48" i="6"/>
  <c r="H48" i="6" s="1"/>
  <c r="D47" i="8"/>
  <c r="G47" i="8" s="1"/>
  <c r="H47" i="8" s="1"/>
  <c r="B25" i="9" s="1"/>
  <c r="D41" i="8"/>
  <c r="G41" i="8" s="1"/>
  <c r="F22" i="9"/>
  <c r="Q54" i="1"/>
  <c r="C64" i="5" s="1"/>
  <c r="F25" i="9"/>
  <c r="E24" i="9"/>
  <c r="Q53" i="1"/>
  <c r="C63" i="5" s="1"/>
  <c r="F24" i="9"/>
  <c r="E23" i="9"/>
  <c r="F23" i="9"/>
  <c r="R41" i="8"/>
  <c r="N54" i="1"/>
  <c r="O54" i="1" s="1"/>
  <c r="D41" i="6"/>
  <c r="H41" i="6" s="1"/>
  <c r="N52" i="1"/>
  <c r="O52" i="1" s="1"/>
  <c r="N53" i="1"/>
  <c r="O53" i="1" s="1"/>
  <c r="N51" i="1"/>
  <c r="O51" i="1" s="1"/>
  <c r="AQ7" i="8" l="1"/>
  <c r="I44" i="11"/>
  <c r="S41" i="8"/>
  <c r="H45" i="8"/>
  <c r="AQ9" i="8"/>
  <c r="H41" i="8"/>
  <c r="I41" i="6"/>
  <c r="D23" i="9"/>
  <c r="I45" i="6"/>
  <c r="S45" i="8"/>
  <c r="D24" i="9"/>
  <c r="Q25" i="9"/>
  <c r="Q24" i="9"/>
  <c r="D25" i="9"/>
  <c r="AC47" i="10"/>
  <c r="AC49" i="10"/>
  <c r="AC45" i="10"/>
  <c r="AC51" i="10"/>
  <c r="D22" i="9"/>
  <c r="Q22" i="9"/>
  <c r="Q23" i="9"/>
  <c r="O5" i="11"/>
  <c r="P5" i="11" s="1"/>
  <c r="O6" i="11"/>
  <c r="P6" i="11" s="1"/>
  <c r="O7" i="11"/>
  <c r="P7" i="11" s="1"/>
  <c r="O8" i="11"/>
  <c r="P8" i="11" s="1"/>
  <c r="O9" i="11"/>
  <c r="P9" i="11" s="1"/>
  <c r="O10" i="11"/>
  <c r="P10" i="11" s="1"/>
  <c r="O11" i="11"/>
  <c r="P11" i="11" s="1"/>
  <c r="O12" i="11"/>
  <c r="P12" i="11" s="1"/>
  <c r="O13" i="11"/>
  <c r="P13" i="11" s="1"/>
  <c r="O14" i="11"/>
  <c r="P14" i="11" s="1"/>
  <c r="O15" i="11"/>
  <c r="P15" i="11" s="1"/>
  <c r="O16" i="11"/>
  <c r="P16" i="11" s="1"/>
  <c r="O17" i="11"/>
  <c r="P17" i="11" s="1"/>
  <c r="O18" i="11"/>
  <c r="P18" i="11" s="1"/>
  <c r="O19" i="11"/>
  <c r="P19" i="11" s="1"/>
  <c r="O20" i="11"/>
  <c r="P20" i="11" s="1"/>
  <c r="O21" i="11"/>
  <c r="P21" i="11" s="1"/>
  <c r="O22" i="11"/>
  <c r="P22" i="11" s="1"/>
  <c r="O23" i="11"/>
  <c r="P23" i="11" s="1"/>
  <c r="O24" i="11"/>
  <c r="P24" i="11" s="1"/>
  <c r="O25" i="11"/>
  <c r="P25" i="11" s="1"/>
  <c r="O26" i="11"/>
  <c r="P26" i="11" s="1"/>
  <c r="O27" i="11"/>
  <c r="P27" i="11" s="1"/>
  <c r="O28" i="11"/>
  <c r="P28" i="11" s="1"/>
  <c r="O29" i="11"/>
  <c r="P29" i="11" s="1"/>
  <c r="O30" i="11"/>
  <c r="P30" i="11" s="1"/>
  <c r="O31" i="11"/>
  <c r="P31" i="11" s="1"/>
  <c r="O32" i="11"/>
  <c r="P32" i="11" s="1"/>
  <c r="O33" i="11"/>
  <c r="P33" i="11" s="1"/>
  <c r="O34" i="11"/>
  <c r="P34" i="11" s="1"/>
  <c r="O35" i="11"/>
  <c r="P35" i="11" s="1"/>
  <c r="O36" i="11"/>
  <c r="P36" i="11" s="1"/>
  <c r="O37" i="11"/>
  <c r="P37" i="11" s="1"/>
  <c r="O38" i="11"/>
  <c r="P38" i="11" s="1"/>
  <c r="O39" i="11"/>
  <c r="P39" i="11" s="1"/>
  <c r="O4" i="11"/>
  <c r="P4" i="11" s="1"/>
  <c r="I41" i="8" l="1"/>
  <c r="B22" i="9"/>
  <c r="J22" i="9" s="1"/>
  <c r="I45" i="8"/>
  <c r="B24" i="9"/>
  <c r="L22" i="9"/>
  <c r="L24" i="9"/>
  <c r="L25" i="9"/>
  <c r="L23" i="9"/>
  <c r="J25" i="9"/>
  <c r="J23" i="9"/>
  <c r="Q30" i="11"/>
  <c r="R30" i="11" s="1"/>
  <c r="S30" i="11" s="1"/>
  <c r="Q16" i="11"/>
  <c r="R16" i="11" s="1"/>
  <c r="S16" i="11" s="1"/>
  <c r="Q32" i="11"/>
  <c r="R32" i="11" s="1"/>
  <c r="S32" i="11" s="1"/>
  <c r="Q8" i="11"/>
  <c r="R8" i="11" s="1"/>
  <c r="S8" i="11" s="1"/>
  <c r="Q36" i="11"/>
  <c r="R36" i="11" s="1"/>
  <c r="S36" i="11" s="1"/>
  <c r="Q12" i="11"/>
  <c r="R12" i="11" s="1"/>
  <c r="S12" i="11" s="1"/>
  <c r="Q18" i="11"/>
  <c r="R18" i="11" s="1"/>
  <c r="S18" i="11" s="1"/>
  <c r="Q34" i="11"/>
  <c r="R34" i="11" s="1"/>
  <c r="S34" i="11" s="1"/>
  <c r="Q38" i="11"/>
  <c r="R38" i="11" s="1"/>
  <c r="S38" i="11" s="1"/>
  <c r="Q22" i="11"/>
  <c r="R22" i="11" s="1"/>
  <c r="S22" i="11" s="1"/>
  <c r="Q14" i="11"/>
  <c r="R14" i="11" s="1"/>
  <c r="S14" i="11" s="1"/>
  <c r="Q6" i="11"/>
  <c r="R6" i="11" s="1"/>
  <c r="S6" i="11" s="1"/>
  <c r="Q28" i="11"/>
  <c r="R28" i="11" s="1"/>
  <c r="S28" i="11" s="1"/>
  <c r="Q20" i="11"/>
  <c r="R20" i="11" s="1"/>
  <c r="S20" i="11" s="1"/>
  <c r="Q4" i="11"/>
  <c r="R4" i="11" s="1"/>
  <c r="S4" i="11" s="1"/>
  <c r="Q24" i="11"/>
  <c r="R24" i="11" s="1"/>
  <c r="S24" i="11" s="1"/>
  <c r="Q26" i="11"/>
  <c r="R26" i="11" s="1"/>
  <c r="S26" i="11" s="1"/>
  <c r="Q10" i="11"/>
  <c r="R10" i="11" s="1"/>
  <c r="S10" i="11" s="1"/>
  <c r="H26" i="11"/>
  <c r="J24" i="9" l="1"/>
  <c r="H38" i="11"/>
  <c r="H36" i="11"/>
  <c r="H34" i="11"/>
  <c r="H32" i="11"/>
  <c r="H30" i="11"/>
  <c r="H28" i="11"/>
  <c r="H24" i="11"/>
  <c r="H22" i="11"/>
  <c r="H20" i="11"/>
  <c r="H14" i="11"/>
  <c r="H18" i="11"/>
  <c r="H16" i="11"/>
  <c r="J2" i="11" s="1"/>
  <c r="H10" i="11"/>
  <c r="H6" i="11"/>
  <c r="H12" i="11"/>
  <c r="H8" i="11"/>
  <c r="H4" i="11"/>
  <c r="M73" i="10"/>
  <c r="L73" i="10"/>
  <c r="J73" i="10"/>
  <c r="I73" i="10"/>
  <c r="G73" i="10"/>
  <c r="F73" i="10"/>
  <c r="D73" i="10"/>
  <c r="C73" i="10"/>
  <c r="F81" i="8"/>
  <c r="F82" i="8"/>
  <c r="F80" i="8"/>
  <c r="J1" i="11" l="1"/>
  <c r="AI23" i="10"/>
  <c r="AI24" i="10"/>
  <c r="L39" i="10"/>
  <c r="L11" i="10"/>
  <c r="L7" i="10"/>
  <c r="L12" i="10"/>
  <c r="L8" i="10"/>
  <c r="L13" i="10"/>
  <c r="L15" i="10"/>
  <c r="L16" i="10"/>
  <c r="L14" i="10"/>
  <c r="L5" i="10"/>
  <c r="L10" i="10"/>
  <c r="L6" i="10"/>
  <c r="L36" i="10"/>
  <c r="L9" i="10"/>
  <c r="AI65" i="10"/>
  <c r="AI68" i="10"/>
  <c r="AI67" i="10"/>
  <c r="AI66" i="10"/>
  <c r="J5" i="10"/>
  <c r="J68" i="10"/>
  <c r="J67" i="10"/>
  <c r="L68" i="10"/>
  <c r="L67" i="10"/>
  <c r="AH67" i="10"/>
  <c r="AH66" i="10"/>
  <c r="AH65" i="10"/>
  <c r="AH68" i="10"/>
  <c r="I67" i="10"/>
  <c r="I68" i="10"/>
  <c r="I66" i="10"/>
  <c r="I65" i="10"/>
  <c r="L35" i="10"/>
  <c r="J40" i="10"/>
  <c r="J15" i="10"/>
  <c r="L40" i="10"/>
  <c r="AI56" i="10"/>
  <c r="AI60" i="10"/>
  <c r="AI57" i="10"/>
  <c r="AI54" i="10"/>
  <c r="AI63" i="10"/>
  <c r="AI51" i="10"/>
  <c r="AI48" i="10"/>
  <c r="AI52" i="10"/>
  <c r="AI45" i="10"/>
  <c r="AI58" i="10"/>
  <c r="AI55" i="10"/>
  <c r="AI59" i="10"/>
  <c r="AI53" i="10"/>
  <c r="AI64" i="10"/>
  <c r="AI61" i="10"/>
  <c r="AI49" i="10"/>
  <c r="AI50" i="10"/>
  <c r="AI62" i="10"/>
  <c r="AI47" i="10"/>
  <c r="AI46" i="10"/>
  <c r="AH62" i="10"/>
  <c r="AH47" i="10"/>
  <c r="AH56" i="10"/>
  <c r="AH61" i="10"/>
  <c r="AH60" i="10"/>
  <c r="AH57" i="10"/>
  <c r="AH54" i="10"/>
  <c r="AH63" i="10"/>
  <c r="AH51" i="10"/>
  <c r="AH48" i="10"/>
  <c r="AH52" i="10"/>
  <c r="AH45" i="10"/>
  <c r="AH58" i="10"/>
  <c r="AH55" i="10"/>
  <c r="AH59" i="10"/>
  <c r="AH53" i="10"/>
  <c r="AH50" i="10"/>
  <c r="AH46" i="10"/>
  <c r="AH64" i="10"/>
  <c r="AH49" i="10"/>
  <c r="J10" i="10"/>
  <c r="J32" i="10"/>
  <c r="J36" i="10"/>
  <c r="J59" i="10"/>
  <c r="J53" i="10"/>
  <c r="J50" i="10"/>
  <c r="AI39" i="10"/>
  <c r="AI37" i="10"/>
  <c r="AI35" i="10"/>
  <c r="AI33" i="10"/>
  <c r="AI31" i="10"/>
  <c r="AI29" i="10"/>
  <c r="AI27" i="10"/>
  <c r="AI25" i="10"/>
  <c r="AI21" i="10"/>
  <c r="AI13" i="10"/>
  <c r="AI11" i="10"/>
  <c r="AI9" i="10"/>
  <c r="J47" i="10"/>
  <c r="J56" i="10"/>
  <c r="J48" i="10"/>
  <c r="J45" i="10"/>
  <c r="AI18" i="10"/>
  <c r="J58" i="10"/>
  <c r="AI19" i="10"/>
  <c r="AI7" i="10"/>
  <c r="J63" i="10"/>
  <c r="J60" i="10"/>
  <c r="AI42" i="10"/>
  <c r="AM42" i="10" s="1"/>
  <c r="AI15" i="10"/>
  <c r="J57" i="10"/>
  <c r="J51" i="10"/>
  <c r="AI20" i="10"/>
  <c r="AI8" i="10"/>
  <c r="J64" i="10"/>
  <c r="J54" i="10"/>
  <c r="J46" i="10"/>
  <c r="AI43" i="10"/>
  <c r="AM43" i="10" s="1"/>
  <c r="AI40" i="10"/>
  <c r="AI38" i="10"/>
  <c r="AI36" i="10"/>
  <c r="AI34" i="10"/>
  <c r="AI32" i="10"/>
  <c r="AI30" i="10"/>
  <c r="AI28" i="10"/>
  <c r="AI26" i="10"/>
  <c r="AI22" i="10"/>
  <c r="AI17" i="10"/>
  <c r="AI12" i="10"/>
  <c r="AI10" i="10"/>
  <c r="J61" i="10"/>
  <c r="J52" i="10"/>
  <c r="J49" i="10"/>
  <c r="AI14" i="10"/>
  <c r="J62" i="10"/>
  <c r="AI41" i="10"/>
  <c r="AM41" i="10" s="1"/>
  <c r="AI16" i="10"/>
  <c r="J55" i="10"/>
  <c r="J9" i="10"/>
  <c r="J33" i="10"/>
  <c r="I62" i="10"/>
  <c r="AH41" i="10"/>
  <c r="AL41" i="10" s="1"/>
  <c r="AH16" i="10"/>
  <c r="I59" i="10"/>
  <c r="I53" i="10"/>
  <c r="I50" i="10"/>
  <c r="AH39" i="10"/>
  <c r="AH37" i="10"/>
  <c r="AH35" i="10"/>
  <c r="AH33" i="10"/>
  <c r="AH31" i="10"/>
  <c r="AH29" i="10"/>
  <c r="AH27" i="10"/>
  <c r="AH25" i="10"/>
  <c r="AH23" i="10"/>
  <c r="AH21" i="10"/>
  <c r="AH13" i="10"/>
  <c r="AH11" i="10"/>
  <c r="AH9" i="10"/>
  <c r="I49" i="10"/>
  <c r="I56" i="10"/>
  <c r="I48" i="10"/>
  <c r="I45" i="10"/>
  <c r="AH18" i="10"/>
  <c r="AH6" i="10"/>
  <c r="I52" i="10"/>
  <c r="I63" i="10"/>
  <c r="I60" i="10"/>
  <c r="AH42" i="10"/>
  <c r="AL42" i="10" s="1"/>
  <c r="AH15" i="10"/>
  <c r="I61" i="10"/>
  <c r="AH14" i="10"/>
  <c r="I57" i="10"/>
  <c r="I51" i="10"/>
  <c r="AH20" i="10"/>
  <c r="AH8" i="10"/>
  <c r="I64" i="10"/>
  <c r="I54" i="10"/>
  <c r="I46" i="10"/>
  <c r="AH43" i="10"/>
  <c r="AL43" i="10" s="1"/>
  <c r="AH40" i="10"/>
  <c r="AH38" i="10"/>
  <c r="AH36" i="10"/>
  <c r="AH34" i="10"/>
  <c r="AH32" i="10"/>
  <c r="AH30" i="10"/>
  <c r="AH28" i="10"/>
  <c r="AH26" i="10"/>
  <c r="AH24" i="10"/>
  <c r="AH22" i="10"/>
  <c r="AH17" i="10"/>
  <c r="AH12" i="10"/>
  <c r="AH10" i="10"/>
  <c r="AH5" i="10"/>
  <c r="I58" i="10"/>
  <c r="I55" i="10"/>
  <c r="I47" i="10"/>
  <c r="AH44" i="10"/>
  <c r="AL44" i="10" s="1"/>
  <c r="AH19" i="10"/>
  <c r="AH7" i="10"/>
  <c r="L56" i="10"/>
  <c r="L48" i="10"/>
  <c r="L45" i="10"/>
  <c r="L63" i="10"/>
  <c r="L60" i="10"/>
  <c r="L57" i="10"/>
  <c r="L51" i="10"/>
  <c r="L64" i="10"/>
  <c r="L54" i="10"/>
  <c r="L46" i="10"/>
  <c r="L61" i="10"/>
  <c r="L52" i="10"/>
  <c r="L49" i="10"/>
  <c r="L62" i="10"/>
  <c r="L58" i="10"/>
  <c r="L55" i="10"/>
  <c r="L47" i="10"/>
  <c r="L59" i="10"/>
  <c r="L53" i="10"/>
  <c r="L50" i="10"/>
  <c r="I8" i="10"/>
  <c r="I42" i="10"/>
  <c r="M42" i="10" s="1"/>
  <c r="I41" i="10"/>
  <c r="M41" i="10" s="1"/>
  <c r="Q41" i="10" s="1"/>
  <c r="I43" i="10"/>
  <c r="M43" i="10" s="1"/>
  <c r="I44" i="10"/>
  <c r="M44" i="10" s="1"/>
  <c r="Q44" i="10" s="1"/>
  <c r="J7" i="10"/>
  <c r="J12" i="10"/>
  <c r="J30" i="10"/>
  <c r="J38" i="10"/>
  <c r="J16" i="10"/>
  <c r="J35" i="10"/>
  <c r="J13" i="10"/>
  <c r="J29" i="10"/>
  <c r="J37" i="10"/>
  <c r="J41" i="10"/>
  <c r="N41" i="10" s="1"/>
  <c r="J42" i="10"/>
  <c r="N42" i="10" s="1"/>
  <c r="J43" i="10"/>
  <c r="N43" i="10" s="1"/>
  <c r="I6" i="10"/>
  <c r="J8" i="10"/>
  <c r="J34" i="10"/>
  <c r="J6" i="10"/>
  <c r="J11" i="10"/>
  <c r="J14" i="10"/>
  <c r="J31" i="10"/>
  <c r="J39" i="10"/>
  <c r="L41" i="10"/>
  <c r="P41" i="10" s="1"/>
  <c r="T41" i="10" s="1"/>
  <c r="L42" i="10"/>
  <c r="P42" i="10" s="1"/>
  <c r="T42" i="10" s="1"/>
  <c r="L43" i="10"/>
  <c r="P43" i="10" s="1"/>
  <c r="T43" i="10" s="1"/>
  <c r="L44" i="10"/>
  <c r="P44" i="10" s="1"/>
  <c r="T44" i="10" s="1"/>
  <c r="I7" i="10"/>
  <c r="I9" i="10"/>
  <c r="I36" i="10"/>
  <c r="I38" i="10"/>
  <c r="I32" i="10"/>
  <c r="I34" i="10"/>
  <c r="I21" i="10"/>
  <c r="I11" i="10"/>
  <c r="I17" i="10"/>
  <c r="I20" i="10"/>
  <c r="I30" i="10"/>
  <c r="I37" i="10"/>
  <c r="I10" i="10"/>
  <c r="I13" i="10"/>
  <c r="I15" i="10"/>
  <c r="I16" i="10"/>
  <c r="I18" i="10"/>
  <c r="I19" i="10"/>
  <c r="I22" i="10"/>
  <c r="I23" i="10"/>
  <c r="I24" i="10"/>
  <c r="I25" i="10"/>
  <c r="I33" i="10"/>
  <c r="I35" i="10"/>
  <c r="I39" i="10"/>
  <c r="I14" i="10"/>
  <c r="I40" i="10"/>
  <c r="I12" i="10"/>
  <c r="I5" i="10"/>
  <c r="I26" i="10"/>
  <c r="I27" i="10"/>
  <c r="I28" i="10"/>
  <c r="I29" i="10"/>
  <c r="I31" i="10"/>
  <c r="Q43" i="10" l="1"/>
  <c r="Q42" i="10"/>
  <c r="AP41" i="10"/>
  <c r="AS41" i="10" s="1"/>
  <c r="AP43" i="10"/>
  <c r="AS43" i="10" s="1"/>
  <c r="AP42" i="10"/>
  <c r="AS42" i="10" s="1"/>
  <c r="AP44" i="10"/>
  <c r="AS44" i="10" s="1"/>
  <c r="U43" i="10"/>
  <c r="U44" i="10"/>
  <c r="U41" i="10"/>
  <c r="U42" i="10"/>
  <c r="F16" i="2" l="1"/>
  <c r="G16" i="2"/>
  <c r="G15" i="2"/>
  <c r="F15" i="2"/>
  <c r="J9" i="2" l="1"/>
  <c r="J10" i="2"/>
  <c r="P32" i="2" s="1"/>
  <c r="M50" i="7"/>
  <c r="L50" i="7"/>
  <c r="L12" i="7" s="1"/>
  <c r="J50" i="7"/>
  <c r="I50" i="7"/>
  <c r="G50" i="7"/>
  <c r="F50" i="7"/>
  <c r="D50" i="7"/>
  <c r="C50" i="7"/>
  <c r="AG56" i="7" l="1"/>
  <c r="AK56" i="7" s="1"/>
  <c r="AG55" i="7"/>
  <c r="AK55" i="7" s="1"/>
  <c r="AG54" i="7"/>
  <c r="AK54" i="7" s="1"/>
  <c r="AG53" i="7"/>
  <c r="AG52" i="7"/>
  <c r="AK52" i="7" s="1"/>
  <c r="W27" i="9" s="1"/>
  <c r="AG57" i="7"/>
  <c r="AG58" i="7"/>
  <c r="AK58" i="7" s="1"/>
  <c r="AG50" i="7"/>
  <c r="AK50" i="7" s="1"/>
  <c r="AG59" i="7"/>
  <c r="AK59" i="7" s="1"/>
  <c r="AG49" i="7"/>
  <c r="AG60" i="7"/>
  <c r="AK60" i="7" s="1"/>
  <c r="AG51" i="7"/>
  <c r="AK51" i="7" s="1"/>
  <c r="AE53" i="7"/>
  <c r="AI53" i="7" s="1"/>
  <c r="AH23" i="7"/>
  <c r="AH24" i="7"/>
  <c r="AH21" i="7"/>
  <c r="AH25" i="7"/>
  <c r="AH18" i="7"/>
  <c r="AH26" i="7"/>
  <c r="AH28" i="7"/>
  <c r="AH17" i="7"/>
  <c r="AH19" i="7"/>
  <c r="AH27" i="7"/>
  <c r="AH20" i="7"/>
  <c r="AH22" i="7"/>
  <c r="AF19" i="7"/>
  <c r="AF20" i="7"/>
  <c r="AF21" i="7"/>
  <c r="AF22" i="7"/>
  <c r="AF17" i="7"/>
  <c r="AF23" i="7"/>
  <c r="AF24" i="7"/>
  <c r="AF18" i="7"/>
  <c r="AE19" i="7"/>
  <c r="AE27" i="7"/>
  <c r="AE20" i="7"/>
  <c r="AE28" i="7"/>
  <c r="AE21" i="7"/>
  <c r="AE17" i="7"/>
  <c r="AE22" i="7"/>
  <c r="AE24" i="7"/>
  <c r="AE23" i="7"/>
  <c r="AE25" i="7"/>
  <c r="AE26" i="7"/>
  <c r="AE18" i="7"/>
  <c r="AH53" i="7"/>
  <c r="AL53" i="7" s="1"/>
  <c r="AH43" i="7"/>
  <c r="AL43" i="7" s="1"/>
  <c r="AH46" i="7"/>
  <c r="AL46" i="7" s="1"/>
  <c r="V24" i="9" s="1"/>
  <c r="AH58" i="7"/>
  <c r="AL58" i="7" s="1"/>
  <c r="AH62" i="7"/>
  <c r="AL62" i="7" s="1"/>
  <c r="V32" i="9" s="1"/>
  <c r="AH44" i="7"/>
  <c r="AL44" i="7" s="1"/>
  <c r="AH49" i="7"/>
  <c r="AL49" i="7" s="1"/>
  <c r="AH63" i="7"/>
  <c r="AL63" i="7" s="1"/>
  <c r="AH61" i="7"/>
  <c r="AL61" i="7" s="1"/>
  <c r="AH41" i="7"/>
  <c r="AL41" i="7" s="1"/>
  <c r="AH52" i="7"/>
  <c r="AL52" i="7" s="1"/>
  <c r="V27" i="9" s="1"/>
  <c r="AH55" i="7"/>
  <c r="AL55" i="7" s="1"/>
  <c r="AH50" i="7"/>
  <c r="AL50" i="7" s="1"/>
  <c r="V26" i="9" s="1"/>
  <c r="AH64" i="7"/>
  <c r="AL64" i="7" s="1"/>
  <c r="AH56" i="7"/>
  <c r="AL56" i="7" s="1"/>
  <c r="V29" i="9" s="1"/>
  <c r="AH45" i="7"/>
  <c r="AL45" i="7" s="1"/>
  <c r="AH57" i="7"/>
  <c r="AL57" i="7" s="1"/>
  <c r="AH48" i="7"/>
  <c r="AL48" i="7" s="1"/>
  <c r="V25" i="9" s="1"/>
  <c r="AH60" i="7"/>
  <c r="AL60" i="7" s="1"/>
  <c r="V31" i="9" s="1"/>
  <c r="AH42" i="7"/>
  <c r="AL42" i="7" s="1"/>
  <c r="AH51" i="7"/>
  <c r="AL51" i="7" s="1"/>
  <c r="AH54" i="7"/>
  <c r="AL54" i="7" s="1"/>
  <c r="V28" i="9" s="1"/>
  <c r="AH59" i="7"/>
  <c r="AL59" i="7" s="1"/>
  <c r="AH47" i="7"/>
  <c r="AL47" i="7" s="1"/>
  <c r="AF63" i="7"/>
  <c r="AJ63" i="7" s="1"/>
  <c r="AF64" i="7"/>
  <c r="AJ64" i="7" s="1"/>
  <c r="AE58" i="7"/>
  <c r="AI58" i="7" s="1"/>
  <c r="AE49" i="7"/>
  <c r="AI49" i="7" s="1"/>
  <c r="AE63" i="7"/>
  <c r="AI63" i="7" s="1"/>
  <c r="AE43" i="7"/>
  <c r="AI43" i="7" s="1"/>
  <c r="AE52" i="7"/>
  <c r="AI52" i="7" s="1"/>
  <c r="AE62" i="7"/>
  <c r="AI62" i="7" s="1"/>
  <c r="AE44" i="7"/>
  <c r="AI44" i="7" s="1"/>
  <c r="AE47" i="7"/>
  <c r="AI47" i="7" s="1"/>
  <c r="AE59" i="7"/>
  <c r="AI59" i="7" s="1"/>
  <c r="AE61" i="7"/>
  <c r="AI61" i="7" s="1"/>
  <c r="AE41" i="7"/>
  <c r="AI41" i="7" s="1"/>
  <c r="AE50" i="7"/>
  <c r="AI50" i="7" s="1"/>
  <c r="AE64" i="7"/>
  <c r="AI64" i="7" s="1"/>
  <c r="AE55" i="7"/>
  <c r="AI55" i="7" s="1"/>
  <c r="AE48" i="7"/>
  <c r="AI48" i="7" s="1"/>
  <c r="AE60" i="7"/>
  <c r="AI60" i="7" s="1"/>
  <c r="AE56" i="7"/>
  <c r="AI56" i="7" s="1"/>
  <c r="AE51" i="7"/>
  <c r="AI51" i="7" s="1"/>
  <c r="AE46" i="7"/>
  <c r="AI46" i="7" s="1"/>
  <c r="AE42" i="7"/>
  <c r="AI42" i="7" s="1"/>
  <c r="AE45" i="7"/>
  <c r="AI45" i="7" s="1"/>
  <c r="AE54" i="7"/>
  <c r="AI54" i="7" s="1"/>
  <c r="AE57" i="7"/>
  <c r="AI57" i="7" s="1"/>
  <c r="L36" i="7"/>
  <c r="J18" i="7"/>
  <c r="L38" i="7"/>
  <c r="L37" i="7"/>
  <c r="J17" i="7"/>
  <c r="I44" i="7"/>
  <c r="AE7" i="7"/>
  <c r="AE15" i="7"/>
  <c r="AE35" i="7"/>
  <c r="AE16" i="7"/>
  <c r="AE36" i="7"/>
  <c r="AE37" i="7"/>
  <c r="AE39" i="7"/>
  <c r="AE40" i="7"/>
  <c r="AE33" i="7"/>
  <c r="AE8" i="7"/>
  <c r="AE31" i="7"/>
  <c r="AE32" i="7"/>
  <c r="AE5" i="7"/>
  <c r="AE6" i="7"/>
  <c r="AE9" i="7"/>
  <c r="AE29" i="7"/>
  <c r="AE11" i="7"/>
  <c r="AE12" i="7"/>
  <c r="AE14" i="7"/>
  <c r="AE10" i="7"/>
  <c r="AE30" i="7"/>
  <c r="AE38" i="7"/>
  <c r="AE13" i="7"/>
  <c r="AE34" i="7"/>
  <c r="L23" i="7"/>
  <c r="AH35" i="7"/>
  <c r="AH36" i="7"/>
  <c r="AH29" i="7"/>
  <c r="AH32" i="7"/>
  <c r="AH34" i="7"/>
  <c r="AH37" i="7"/>
  <c r="AH40" i="7"/>
  <c r="AH30" i="7"/>
  <c r="AH38" i="7"/>
  <c r="AH31" i="7"/>
  <c r="AH39" i="7"/>
  <c r="AH33" i="7"/>
  <c r="K42" i="7"/>
  <c r="J26" i="7"/>
  <c r="AF7" i="7"/>
  <c r="AF8" i="7"/>
  <c r="AF5" i="7"/>
  <c r="AF6" i="7"/>
  <c r="I43" i="7"/>
  <c r="J41" i="7"/>
  <c r="J34" i="7"/>
  <c r="J33" i="7"/>
  <c r="J10" i="7"/>
  <c r="L30" i="7"/>
  <c r="J27" i="7"/>
  <c r="J9" i="7"/>
  <c r="L29" i="7"/>
  <c r="I5" i="7"/>
  <c r="L11" i="7"/>
  <c r="L28" i="7"/>
  <c r="J12" i="7"/>
  <c r="J43" i="7"/>
  <c r="J25" i="7"/>
  <c r="L10" i="7"/>
  <c r="L22" i="7"/>
  <c r="J35" i="7"/>
  <c r="J11" i="7"/>
  <c r="J42" i="7"/>
  <c r="J19" i="7"/>
  <c r="L21" i="7"/>
  <c r="I28" i="7"/>
  <c r="I27" i="7"/>
  <c r="I34" i="7"/>
  <c r="I41" i="7"/>
  <c r="I33" i="7"/>
  <c r="I25" i="7"/>
  <c r="I17" i="7"/>
  <c r="I9" i="7"/>
  <c r="J40" i="7"/>
  <c r="J32" i="7"/>
  <c r="J24" i="7"/>
  <c r="J16" i="7"/>
  <c r="J8" i="7"/>
  <c r="L43" i="7"/>
  <c r="L35" i="7"/>
  <c r="L27" i="7"/>
  <c r="I36" i="7"/>
  <c r="I12" i="7"/>
  <c r="I35" i="7"/>
  <c r="I10" i="7"/>
  <c r="I40" i="7"/>
  <c r="I32" i="7"/>
  <c r="I24" i="7"/>
  <c r="I16" i="7"/>
  <c r="I8" i="7"/>
  <c r="J39" i="7"/>
  <c r="J31" i="7"/>
  <c r="J23" i="7"/>
  <c r="J15" i="7"/>
  <c r="J7" i="7"/>
  <c r="L42" i="7"/>
  <c r="L34" i="7"/>
  <c r="L26" i="7"/>
  <c r="I20" i="7"/>
  <c r="I42" i="7"/>
  <c r="I39" i="7"/>
  <c r="I31" i="7"/>
  <c r="I23" i="7"/>
  <c r="I15" i="7"/>
  <c r="I7" i="7"/>
  <c r="J38" i="7"/>
  <c r="J30" i="7"/>
  <c r="J22" i="7"/>
  <c r="J14" i="7"/>
  <c r="J6" i="7"/>
  <c r="L41" i="7"/>
  <c r="L33" i="7"/>
  <c r="L25" i="7"/>
  <c r="L44" i="7"/>
  <c r="I11" i="7"/>
  <c r="I18" i="7"/>
  <c r="I38" i="7"/>
  <c r="I30" i="7"/>
  <c r="I22" i="7"/>
  <c r="I14" i="7"/>
  <c r="I6" i="7"/>
  <c r="J37" i="7"/>
  <c r="J29" i="7"/>
  <c r="J21" i="7"/>
  <c r="J13" i="7"/>
  <c r="L9" i="7"/>
  <c r="L40" i="7"/>
  <c r="L32" i="7"/>
  <c r="L24" i="7"/>
  <c r="I19" i="7"/>
  <c r="I26" i="7"/>
  <c r="I37" i="7"/>
  <c r="I29" i="7"/>
  <c r="I21" i="7"/>
  <c r="I13" i="7"/>
  <c r="J5" i="7"/>
  <c r="J36" i="7"/>
  <c r="J28" i="7"/>
  <c r="J20" i="7"/>
  <c r="L39" i="7"/>
  <c r="L31" i="7"/>
  <c r="D42" i="7"/>
  <c r="D43" i="7"/>
  <c r="D44" i="7"/>
  <c r="D41" i="7"/>
  <c r="V33" i="9" l="1"/>
  <c r="V23" i="9"/>
  <c r="V22" i="9"/>
  <c r="V30" i="9"/>
  <c r="W31" i="9"/>
  <c r="AQ51" i="7"/>
  <c r="AK57" i="7"/>
  <c r="W30" i="9" s="1"/>
  <c r="AQ50" i="7"/>
  <c r="AK53" i="7"/>
  <c r="W28" i="9" s="1"/>
  <c r="AQ49" i="7"/>
  <c r="AK49" i="7"/>
  <c r="W26" i="9" s="1"/>
  <c r="W29" i="9"/>
  <c r="AM50" i="7"/>
  <c r="U31" i="9"/>
  <c r="AM58" i="7"/>
  <c r="U22" i="9"/>
  <c r="AM41" i="7"/>
  <c r="U32" i="9"/>
  <c r="U28" i="9"/>
  <c r="AM62" i="7"/>
  <c r="AM56" i="7"/>
  <c r="AM60" i="7"/>
  <c r="AM52" i="7"/>
  <c r="U29" i="9"/>
  <c r="T30" i="9"/>
  <c r="T26" i="9"/>
  <c r="AM54" i="7"/>
  <c r="AM44" i="7"/>
  <c r="U25" i="9"/>
  <c r="T27" i="9"/>
  <c r="AM51" i="7"/>
  <c r="R27" i="9" s="1"/>
  <c r="T24" i="9"/>
  <c r="AD24" i="9" s="1"/>
  <c r="AM45" i="7"/>
  <c r="AM48" i="7"/>
  <c r="T32" i="9"/>
  <c r="AM61" i="7"/>
  <c r="U30" i="9"/>
  <c r="T31" i="9"/>
  <c r="AM59" i="7"/>
  <c r="U27" i="9"/>
  <c r="U24" i="9"/>
  <c r="U33" i="9"/>
  <c r="T28" i="9"/>
  <c r="AD28" i="9" s="1"/>
  <c r="AM53" i="7"/>
  <c r="R28" i="9" s="1"/>
  <c r="T22" i="9"/>
  <c r="AM42" i="7"/>
  <c r="R22" i="9" s="1"/>
  <c r="T29" i="9"/>
  <c r="AM55" i="7"/>
  <c r="T25" i="9"/>
  <c r="AM47" i="7"/>
  <c r="R25" i="9" s="1"/>
  <c r="T23" i="9"/>
  <c r="AD23" i="9" s="1"/>
  <c r="AM43" i="7"/>
  <c r="R23" i="9" s="1"/>
  <c r="U26" i="9"/>
  <c r="AM46" i="7"/>
  <c r="AM64" i="7"/>
  <c r="T33" i="9"/>
  <c r="AM63" i="7"/>
  <c r="U23" i="9"/>
  <c r="B12" i="4"/>
  <c r="AD22" i="9" l="1"/>
  <c r="AD29" i="9"/>
  <c r="AD26" i="9"/>
  <c r="AD25" i="9"/>
  <c r="R24" i="9"/>
  <c r="AM57" i="7"/>
  <c r="R30" i="9" s="1"/>
  <c r="R29" i="9"/>
  <c r="AD30" i="9"/>
  <c r="AM49" i="7"/>
  <c r="R26" i="9" s="1"/>
  <c r="R31" i="9"/>
  <c r="AD31" i="9"/>
  <c r="AD27" i="9"/>
  <c r="AN61" i="7"/>
  <c r="R33" i="9"/>
  <c r="AN63" i="7"/>
  <c r="R32" i="9"/>
  <c r="AN53" i="7"/>
  <c r="AN45" i="7"/>
  <c r="AN41" i="7"/>
  <c r="AN57" i="7"/>
  <c r="D16" i="2"/>
  <c r="D15" i="2"/>
  <c r="AN49" i="7" l="1"/>
  <c r="B29" i="4"/>
  <c r="B28" i="4"/>
  <c r="B27" i="4"/>
  <c r="B22" i="4"/>
  <c r="B21" i="4"/>
  <c r="B20" i="4"/>
  <c r="B15" i="4"/>
  <c r="B14" i="4"/>
  <c r="B13" i="4"/>
  <c r="B6" i="4"/>
  <c r="B8" i="4"/>
  <c r="B7" i="4"/>
  <c r="F20" i="2" l="1"/>
  <c r="J8" i="2" s="1"/>
  <c r="E20" i="2"/>
  <c r="J19" i="2" l="1"/>
  <c r="J18" i="2"/>
  <c r="J17" i="2"/>
  <c r="J4" i="2"/>
  <c r="D59" i="1" s="1"/>
  <c r="B11" i="2"/>
  <c r="C11" i="2" s="1"/>
  <c r="F11" i="2" s="1"/>
  <c r="G11" i="2" s="1"/>
  <c r="B10" i="2"/>
  <c r="C10" i="2" s="1"/>
  <c r="F10" i="2" s="1"/>
  <c r="G10" i="2" s="1"/>
  <c r="B15" i="2"/>
  <c r="C15" i="2" s="1"/>
  <c r="E15" i="2" s="1"/>
  <c r="B16" i="2"/>
  <c r="C16" i="2" s="1"/>
  <c r="E16" i="2" s="1"/>
  <c r="K50" i="1"/>
  <c r="K49" i="1"/>
  <c r="K48" i="1"/>
  <c r="K47" i="1"/>
  <c r="K46" i="1"/>
  <c r="K45" i="1"/>
  <c r="D62" i="1" l="1"/>
  <c r="D61" i="1"/>
  <c r="D55" i="1"/>
  <c r="D56" i="1"/>
  <c r="D58" i="1"/>
  <c r="D60" i="1"/>
  <c r="D57" i="1"/>
  <c r="D52" i="1"/>
  <c r="D54" i="1"/>
  <c r="D51" i="1"/>
  <c r="D53" i="1"/>
  <c r="B6" i="2"/>
  <c r="C6" i="2" s="1"/>
  <c r="F6" i="2" s="1"/>
  <c r="B5" i="2"/>
  <c r="C5" i="2" s="1"/>
  <c r="F5" i="2" s="1"/>
  <c r="R34" i="1"/>
  <c r="R35" i="1"/>
  <c r="R36" i="1"/>
  <c r="R39" i="1"/>
  <c r="AA10" i="9" s="1"/>
  <c r="R40" i="1"/>
  <c r="AA11" i="9" s="1"/>
  <c r="R41" i="1"/>
  <c r="AA12" i="9" s="1"/>
  <c r="R42" i="1"/>
  <c r="AA13" i="9" s="1"/>
  <c r="R43" i="1"/>
  <c r="AA14" i="9" s="1"/>
  <c r="R44" i="1"/>
  <c r="AA15" i="9" s="1"/>
  <c r="R45" i="1"/>
  <c r="R46" i="1"/>
  <c r="R47" i="1"/>
  <c r="R48" i="1"/>
  <c r="R49" i="1"/>
  <c r="R50" i="1"/>
  <c r="R33" i="1"/>
  <c r="K44" i="1"/>
  <c r="K43" i="1"/>
  <c r="Z17" i="9" l="1"/>
  <c r="AA17" i="9"/>
  <c r="Z7" i="9"/>
  <c r="AA7" i="9"/>
  <c r="Z16" i="9"/>
  <c r="AA16" i="9"/>
  <c r="Z4" i="9"/>
  <c r="AA4" i="9"/>
  <c r="Z21" i="9"/>
  <c r="AA21" i="9"/>
  <c r="Z20" i="9"/>
  <c r="AA20" i="9"/>
  <c r="Z19" i="9"/>
  <c r="AA19" i="9"/>
  <c r="Z6" i="9"/>
  <c r="AA6" i="9"/>
  <c r="Z5" i="9"/>
  <c r="AA5" i="9"/>
  <c r="Z18" i="9"/>
  <c r="AA18" i="9"/>
  <c r="AL28" i="7"/>
  <c r="AL27" i="7"/>
  <c r="AL25" i="7"/>
  <c r="AL26" i="7"/>
  <c r="AL23" i="7"/>
  <c r="AL24" i="7"/>
  <c r="AL21" i="7"/>
  <c r="AL22" i="7"/>
  <c r="V12" i="9" s="1"/>
  <c r="AL19" i="7"/>
  <c r="AL20" i="7"/>
  <c r="V11" i="9" s="1"/>
  <c r="AJ17" i="7"/>
  <c r="AL18" i="7"/>
  <c r="AL17" i="7"/>
  <c r="V10" i="9" s="1"/>
  <c r="Z14" i="9"/>
  <c r="J5" i="2"/>
  <c r="Z15" i="9"/>
  <c r="Z13" i="9"/>
  <c r="Z12" i="9"/>
  <c r="Z11" i="9"/>
  <c r="Z10" i="9"/>
  <c r="H61" i="1"/>
  <c r="S61" i="1"/>
  <c r="H62" i="1"/>
  <c r="S62" i="1"/>
  <c r="H59" i="1"/>
  <c r="S59" i="1"/>
  <c r="H57" i="1"/>
  <c r="S57" i="1"/>
  <c r="H60" i="1"/>
  <c r="S60" i="1"/>
  <c r="H58" i="1"/>
  <c r="S58" i="1"/>
  <c r="H56" i="1"/>
  <c r="S56" i="1"/>
  <c r="H55" i="1"/>
  <c r="S55" i="1"/>
  <c r="U55" i="1" s="1"/>
  <c r="H51" i="1"/>
  <c r="S51" i="1"/>
  <c r="H54" i="1"/>
  <c r="S54" i="1"/>
  <c r="S53" i="1"/>
  <c r="H53" i="1"/>
  <c r="H52" i="1"/>
  <c r="S52" i="1"/>
  <c r="AJ22" i="7"/>
  <c r="AJ21" i="7"/>
  <c r="AI22" i="7"/>
  <c r="AI21" i="7"/>
  <c r="AJ18" i="7"/>
  <c r="AI17" i="7"/>
  <c r="AI18" i="7"/>
  <c r="AL31" i="7"/>
  <c r="AI32" i="7"/>
  <c r="AI31" i="7"/>
  <c r="AL32" i="7"/>
  <c r="AI11" i="7"/>
  <c r="AI12" i="7"/>
  <c r="AI38" i="7"/>
  <c r="AI37" i="7"/>
  <c r="AL37" i="7"/>
  <c r="AL38" i="7"/>
  <c r="AL36" i="7"/>
  <c r="AL35" i="7"/>
  <c r="AI35" i="7"/>
  <c r="AI36" i="7"/>
  <c r="AJ20" i="7"/>
  <c r="AJ19" i="7"/>
  <c r="AI19" i="7"/>
  <c r="AI20" i="7"/>
  <c r="AI33" i="7"/>
  <c r="AI34" i="7"/>
  <c r="AL34" i="7"/>
  <c r="AL33" i="7"/>
  <c r="AL30" i="7"/>
  <c r="AI29" i="7"/>
  <c r="AL29" i="7"/>
  <c r="AI30" i="7"/>
  <c r="AI10" i="7"/>
  <c r="AI9" i="7"/>
  <c r="AJ7" i="7"/>
  <c r="AI8" i="7"/>
  <c r="AJ8" i="7"/>
  <c r="AI7" i="7"/>
  <c r="AI6" i="7"/>
  <c r="AJ6" i="7"/>
  <c r="AJ5" i="7"/>
  <c r="AI5" i="7"/>
  <c r="AI26" i="7"/>
  <c r="AI25" i="7"/>
  <c r="AI28" i="7"/>
  <c r="AI27" i="7"/>
  <c r="AI39" i="7"/>
  <c r="AL40" i="7"/>
  <c r="V21" i="9" s="1"/>
  <c r="AL39" i="7"/>
  <c r="AI40" i="7"/>
  <c r="AJ23" i="7"/>
  <c r="AJ24" i="7"/>
  <c r="AI23" i="7"/>
  <c r="AI24" i="7"/>
  <c r="K38" i="1"/>
  <c r="K37" i="1"/>
  <c r="L38" i="1"/>
  <c r="R38" i="1" s="1"/>
  <c r="L37" i="1"/>
  <c r="V14" i="9" l="1"/>
  <c r="V16" i="9"/>
  <c r="V15" i="9"/>
  <c r="V18" i="9"/>
  <c r="V17" i="9"/>
  <c r="V19" i="9"/>
  <c r="V13" i="9"/>
  <c r="V20" i="9"/>
  <c r="R37" i="1"/>
  <c r="V9" i="5"/>
  <c r="U53" i="1"/>
  <c r="Z8" i="9"/>
  <c r="AA8" i="9"/>
  <c r="Z9" i="9"/>
  <c r="AA9" i="9"/>
  <c r="U51" i="1"/>
  <c r="U57" i="1"/>
  <c r="U59" i="1"/>
  <c r="AM18" i="7"/>
  <c r="U15" i="9"/>
  <c r="AM22" i="7"/>
  <c r="U12" i="9"/>
  <c r="U10" i="9"/>
  <c r="AM40" i="7"/>
  <c r="U18" i="9"/>
  <c r="U11" i="9"/>
  <c r="AM30" i="7"/>
  <c r="U17" i="9"/>
  <c r="AM12" i="7"/>
  <c r="U7" i="9"/>
  <c r="U5" i="9"/>
  <c r="AM32" i="7"/>
  <c r="U21" i="9"/>
  <c r="AI14" i="7"/>
  <c r="AI13" i="7"/>
  <c r="AM6" i="7"/>
  <c r="AM36" i="7"/>
  <c r="T20" i="9"/>
  <c r="AM37" i="7"/>
  <c r="R20" i="9" s="1"/>
  <c r="AM26" i="7"/>
  <c r="AM34" i="7"/>
  <c r="U19" i="9"/>
  <c r="AM17" i="7"/>
  <c r="R10" i="9" s="1"/>
  <c r="T10" i="9"/>
  <c r="T14" i="9"/>
  <c r="AD14" i="9" s="1"/>
  <c r="AM25" i="7"/>
  <c r="AM7" i="7"/>
  <c r="T5" i="9"/>
  <c r="AD5" i="9" s="1"/>
  <c r="AM24" i="7"/>
  <c r="T21" i="9"/>
  <c r="AD21" i="9" s="1"/>
  <c r="AM39" i="7"/>
  <c r="AM8" i="7"/>
  <c r="T16" i="9"/>
  <c r="AM29" i="7"/>
  <c r="R16" i="9" s="1"/>
  <c r="AM33" i="7"/>
  <c r="R18" i="9" s="1"/>
  <c r="T18" i="9"/>
  <c r="AD18" i="9" s="1"/>
  <c r="T19" i="9"/>
  <c r="AD19" i="9" s="1"/>
  <c r="AM35" i="7"/>
  <c r="R19" i="9" s="1"/>
  <c r="U20" i="9"/>
  <c r="T17" i="9"/>
  <c r="AD17" i="9" s="1"/>
  <c r="AM31" i="7"/>
  <c r="AM21" i="7"/>
  <c r="R12" i="9" s="1"/>
  <c r="T12" i="9"/>
  <c r="AD12" i="9" s="1"/>
  <c r="AI15" i="7"/>
  <c r="AI16" i="7"/>
  <c r="T13" i="9"/>
  <c r="AM23" i="7"/>
  <c r="R13" i="9" s="1"/>
  <c r="AM38" i="7"/>
  <c r="T4" i="9"/>
  <c r="AM5" i="7"/>
  <c r="T6" i="9"/>
  <c r="AD6" i="9" s="1"/>
  <c r="AM9" i="7"/>
  <c r="U16" i="9"/>
  <c r="AM20" i="7"/>
  <c r="U6" i="9"/>
  <c r="AM27" i="7"/>
  <c r="U13" i="9"/>
  <c r="AM28" i="7"/>
  <c r="R15" i="9" s="1"/>
  <c r="T15" i="9"/>
  <c r="AD15" i="9" s="1"/>
  <c r="U4" i="9"/>
  <c r="AM10" i="7"/>
  <c r="T11" i="9"/>
  <c r="AD11" i="9" s="1"/>
  <c r="AM19" i="7"/>
  <c r="R11" i="9" s="1"/>
  <c r="T7" i="9"/>
  <c r="AD7" i="9" s="1"/>
  <c r="AM11" i="7"/>
  <c r="G6" i="5"/>
  <c r="E5" i="9" s="1"/>
  <c r="G7" i="5"/>
  <c r="E6" i="9" s="1"/>
  <c r="G8" i="5"/>
  <c r="E7" i="9" s="1"/>
  <c r="G9" i="5"/>
  <c r="E8" i="9" s="1"/>
  <c r="G10" i="5"/>
  <c r="G11" i="5"/>
  <c r="E10" i="9" s="1"/>
  <c r="G12" i="5"/>
  <c r="E11" i="9" s="1"/>
  <c r="G13" i="5"/>
  <c r="E12" i="9" s="1"/>
  <c r="G14" i="5"/>
  <c r="E13" i="9" s="1"/>
  <c r="G15" i="5"/>
  <c r="E14" i="9" s="1"/>
  <c r="G16" i="5"/>
  <c r="E15" i="9" s="1"/>
  <c r="G17" i="5"/>
  <c r="E16" i="9" s="1"/>
  <c r="G18" i="5"/>
  <c r="E17" i="9" s="1"/>
  <c r="G19" i="5"/>
  <c r="E18" i="9" s="1"/>
  <c r="G20" i="5"/>
  <c r="E19" i="9" s="1"/>
  <c r="G21" i="5"/>
  <c r="E20" i="9" s="1"/>
  <c r="G22" i="5"/>
  <c r="E21" i="9" s="1"/>
  <c r="G5" i="5"/>
  <c r="F6" i="5"/>
  <c r="D68" i="8" s="1"/>
  <c r="G68" i="8" s="1"/>
  <c r="H68" i="8" s="1"/>
  <c r="F7" i="5"/>
  <c r="D65" i="8" s="1"/>
  <c r="G65" i="8" s="1"/>
  <c r="H65" i="8" s="1"/>
  <c r="F8" i="5"/>
  <c r="F9" i="5"/>
  <c r="D8" i="12" s="1"/>
  <c r="F10" i="5"/>
  <c r="D67" i="8" s="1"/>
  <c r="G67" i="8" s="1"/>
  <c r="H67" i="8" s="1"/>
  <c r="F11" i="5"/>
  <c r="D12" i="12" s="1"/>
  <c r="F12" i="5"/>
  <c r="D14" i="12" s="1"/>
  <c r="F13" i="5"/>
  <c r="F14" i="5"/>
  <c r="D18" i="12" s="1"/>
  <c r="F15" i="5"/>
  <c r="F16" i="5"/>
  <c r="D22" i="12" s="1"/>
  <c r="F17" i="5"/>
  <c r="D24" i="12" s="1"/>
  <c r="F18" i="5"/>
  <c r="D26" i="12" s="1"/>
  <c r="F19" i="5"/>
  <c r="F20" i="5"/>
  <c r="F21" i="5"/>
  <c r="F22" i="5"/>
  <c r="F5" i="5"/>
  <c r="AD13" i="9" l="1"/>
  <c r="R14" i="9"/>
  <c r="AD20" i="9"/>
  <c r="AD4" i="9"/>
  <c r="R17" i="9"/>
  <c r="AD16" i="9"/>
  <c r="AD10" i="9"/>
  <c r="R21" i="9"/>
  <c r="T9" i="5"/>
  <c r="U9" i="5"/>
  <c r="D6" i="12"/>
  <c r="T7" i="12" s="1"/>
  <c r="D66" i="8"/>
  <c r="G66" i="8" s="1"/>
  <c r="H66" i="8" s="1"/>
  <c r="D16" i="12"/>
  <c r="S17" i="12" s="1"/>
  <c r="D69" i="8"/>
  <c r="G69" i="8" s="1"/>
  <c r="H69" i="8" s="1"/>
  <c r="D20" i="12"/>
  <c r="T20" i="12" s="1"/>
  <c r="D70" i="8"/>
  <c r="G70" i="8" s="1"/>
  <c r="H70" i="8" s="1"/>
  <c r="AB22" i="12"/>
  <c r="S23" i="12"/>
  <c r="T22" i="12"/>
  <c r="S22" i="12"/>
  <c r="R22" i="12"/>
  <c r="R23" i="12"/>
  <c r="T23" i="12"/>
  <c r="AB6" i="12"/>
  <c r="AB18" i="12"/>
  <c r="S18" i="12"/>
  <c r="R18" i="12"/>
  <c r="S19" i="12"/>
  <c r="T19" i="12"/>
  <c r="R19" i="12"/>
  <c r="T18" i="12"/>
  <c r="D9" i="10"/>
  <c r="AC9" i="10" s="1"/>
  <c r="D4" i="12"/>
  <c r="AB14" i="12"/>
  <c r="S14" i="12"/>
  <c r="T15" i="12"/>
  <c r="R15" i="12"/>
  <c r="S15" i="12"/>
  <c r="T14" i="12"/>
  <c r="R14" i="12"/>
  <c r="R17" i="12"/>
  <c r="AB12" i="12"/>
  <c r="S12" i="12"/>
  <c r="R12" i="12"/>
  <c r="T12" i="12"/>
  <c r="T13" i="12"/>
  <c r="S13" i="12"/>
  <c r="R13" i="12"/>
  <c r="AB26" i="12"/>
  <c r="R27" i="12"/>
  <c r="T27" i="12"/>
  <c r="S26" i="12"/>
  <c r="R26" i="12"/>
  <c r="T26" i="12"/>
  <c r="S27" i="12"/>
  <c r="D15" i="10"/>
  <c r="AC15" i="10" s="1"/>
  <c r="D10" i="12"/>
  <c r="AB24" i="12"/>
  <c r="S24" i="12"/>
  <c r="R24" i="12"/>
  <c r="R25" i="12"/>
  <c r="T25" i="12"/>
  <c r="S25" i="12"/>
  <c r="T24" i="12"/>
  <c r="AB8" i="12"/>
  <c r="T8" i="12"/>
  <c r="S8" i="12"/>
  <c r="T9" i="12"/>
  <c r="S9" i="12"/>
  <c r="R8" i="12"/>
  <c r="R9" i="12"/>
  <c r="D6" i="7"/>
  <c r="D5" i="10"/>
  <c r="D40" i="7"/>
  <c r="D39" i="10"/>
  <c r="D38" i="7"/>
  <c r="D37" i="10"/>
  <c r="D22" i="7"/>
  <c r="D21" i="10"/>
  <c r="D8" i="7"/>
  <c r="D7" i="10"/>
  <c r="D18" i="7"/>
  <c r="D17" i="10"/>
  <c r="D26" i="7"/>
  <c r="D25" i="10"/>
  <c r="D24" i="7"/>
  <c r="D23" i="10"/>
  <c r="D34" i="7"/>
  <c r="D33" i="10"/>
  <c r="D32" i="7"/>
  <c r="D31" i="10"/>
  <c r="D36" i="7"/>
  <c r="D35" i="10"/>
  <c r="D30" i="7"/>
  <c r="D29" i="10"/>
  <c r="D14" i="7"/>
  <c r="D13" i="10"/>
  <c r="D20" i="7"/>
  <c r="D19" i="10"/>
  <c r="D28" i="7"/>
  <c r="D27" i="10"/>
  <c r="D12" i="7"/>
  <c r="D11" i="10"/>
  <c r="U8" i="9"/>
  <c r="R7" i="9"/>
  <c r="AM14" i="7"/>
  <c r="R4" i="9"/>
  <c r="R6" i="9"/>
  <c r="AM16" i="7"/>
  <c r="AN9" i="7"/>
  <c r="T9" i="9"/>
  <c r="R5" i="9"/>
  <c r="AN25" i="7"/>
  <c r="AN21" i="7"/>
  <c r="AN29" i="7"/>
  <c r="AN37" i="7"/>
  <c r="AN17" i="7"/>
  <c r="T8" i="9"/>
  <c r="AM13" i="7"/>
  <c r="AM15" i="7"/>
  <c r="R9" i="9" s="1"/>
  <c r="U9" i="9"/>
  <c r="AN5" i="7"/>
  <c r="AN33" i="7"/>
  <c r="Q38" i="1"/>
  <c r="C48" i="5" s="1"/>
  <c r="D16" i="7"/>
  <c r="Q35" i="1"/>
  <c r="C45" i="5" s="1"/>
  <c r="D10" i="7"/>
  <c r="D36" i="8"/>
  <c r="Q48" i="1"/>
  <c r="C58" i="5" s="1"/>
  <c r="D18" i="8"/>
  <c r="Q39" i="1"/>
  <c r="C49" i="5" s="1"/>
  <c r="D12" i="8"/>
  <c r="Q36" i="1"/>
  <c r="C46" i="5" s="1"/>
  <c r="D5" i="6"/>
  <c r="H5" i="6" s="1"/>
  <c r="D6" i="8"/>
  <c r="D5" i="8"/>
  <c r="Q33" i="1"/>
  <c r="C43" i="5" s="1"/>
  <c r="D10" i="8"/>
  <c r="D38" i="6"/>
  <c r="H38" i="6" s="1"/>
  <c r="Q49" i="1"/>
  <c r="C59" i="5" s="1"/>
  <c r="D22" i="6"/>
  <c r="H22" i="6" s="1"/>
  <c r="D21" i="8"/>
  <c r="Q41" i="1"/>
  <c r="C51" i="5" s="1"/>
  <c r="D20" i="8"/>
  <c r="Q40" i="1"/>
  <c r="C50" i="5" s="1"/>
  <c r="D34" i="8"/>
  <c r="Q47" i="1"/>
  <c r="C57" i="5" s="1"/>
  <c r="D32" i="8"/>
  <c r="Q46" i="1"/>
  <c r="C56" i="5" s="1"/>
  <c r="D16" i="8"/>
  <c r="D16" i="6"/>
  <c r="H16" i="6" s="1"/>
  <c r="D30" i="6"/>
  <c r="H30" i="6" s="1"/>
  <c r="Q45" i="1"/>
  <c r="C55" i="5" s="1"/>
  <c r="D14" i="6"/>
  <c r="H14" i="6" s="1"/>
  <c r="Q37" i="1"/>
  <c r="C47" i="5" s="1"/>
  <c r="D28" i="8"/>
  <c r="Q44" i="1"/>
  <c r="C54" i="5" s="1"/>
  <c r="E9" i="9"/>
  <c r="D26" i="8"/>
  <c r="Q43" i="1"/>
  <c r="C53" i="5" s="1"/>
  <c r="D40" i="8"/>
  <c r="Q50" i="1"/>
  <c r="C60" i="5" s="1"/>
  <c r="D24" i="8"/>
  <c r="Q42" i="1"/>
  <c r="C52" i="5" s="1"/>
  <c r="D8" i="8"/>
  <c r="D7" i="8"/>
  <c r="Q34" i="1"/>
  <c r="C44" i="5" s="1"/>
  <c r="D15" i="6"/>
  <c r="H15" i="6" s="1"/>
  <c r="D23" i="6"/>
  <c r="H23" i="6" s="1"/>
  <c r="D31" i="6"/>
  <c r="H31" i="6" s="1"/>
  <c r="D39" i="6"/>
  <c r="H39" i="6" s="1"/>
  <c r="D13" i="8"/>
  <c r="D29" i="8"/>
  <c r="D37" i="8"/>
  <c r="F18" i="9"/>
  <c r="F14" i="9"/>
  <c r="F10" i="9"/>
  <c r="F6" i="9"/>
  <c r="D24" i="6"/>
  <c r="H24" i="6" s="1"/>
  <c r="D32" i="6"/>
  <c r="H32" i="6" s="1"/>
  <c r="D40" i="6"/>
  <c r="H40" i="6" s="1"/>
  <c r="D14" i="8"/>
  <c r="D22" i="8"/>
  <c r="D30" i="8"/>
  <c r="D38" i="8"/>
  <c r="D17" i="6"/>
  <c r="H17" i="6" s="1"/>
  <c r="D25" i="6"/>
  <c r="H25" i="6" s="1"/>
  <c r="D33" i="6"/>
  <c r="H33" i="6" s="1"/>
  <c r="D15" i="8"/>
  <c r="D23" i="8"/>
  <c r="D31" i="8"/>
  <c r="D39" i="8"/>
  <c r="F21" i="9"/>
  <c r="F17" i="9"/>
  <c r="F13" i="9"/>
  <c r="F9" i="9"/>
  <c r="F5" i="9"/>
  <c r="D18" i="6"/>
  <c r="H18" i="6" s="1"/>
  <c r="D26" i="6"/>
  <c r="H26" i="6" s="1"/>
  <c r="D34" i="6"/>
  <c r="H34" i="6" s="1"/>
  <c r="D19" i="6"/>
  <c r="H19" i="6" s="1"/>
  <c r="D27" i="6"/>
  <c r="H27" i="6" s="1"/>
  <c r="D35" i="6"/>
  <c r="H35" i="6" s="1"/>
  <c r="D9" i="8"/>
  <c r="D17" i="8"/>
  <c r="D25" i="8"/>
  <c r="D33" i="8"/>
  <c r="F20" i="9"/>
  <c r="F16" i="9"/>
  <c r="F12" i="9"/>
  <c r="F8" i="9"/>
  <c r="D20" i="6"/>
  <c r="H20" i="6" s="1"/>
  <c r="D28" i="6"/>
  <c r="H28" i="6" s="1"/>
  <c r="D36" i="6"/>
  <c r="H36" i="6" s="1"/>
  <c r="D13" i="6"/>
  <c r="H13" i="6" s="1"/>
  <c r="D21" i="6"/>
  <c r="H21" i="6" s="1"/>
  <c r="D29" i="6"/>
  <c r="H29" i="6" s="1"/>
  <c r="D37" i="6"/>
  <c r="H37" i="6" s="1"/>
  <c r="D11" i="8"/>
  <c r="D19" i="8"/>
  <c r="D27" i="8"/>
  <c r="D35" i="8"/>
  <c r="F19" i="9"/>
  <c r="F15" i="9"/>
  <c r="F11" i="9"/>
  <c r="F7" i="9"/>
  <c r="AD9" i="9" l="1"/>
  <c r="AD8" i="9"/>
  <c r="W9" i="5"/>
  <c r="AB7" i="5" s="1"/>
  <c r="R7" i="12"/>
  <c r="S6" i="12"/>
  <c r="S7" i="12"/>
  <c r="T6" i="12"/>
  <c r="T25" i="10"/>
  <c r="T26" i="10"/>
  <c r="AB20" i="12"/>
  <c r="R20" i="12"/>
  <c r="T19" i="10"/>
  <c r="T20" i="10"/>
  <c r="T31" i="10"/>
  <c r="T32" i="10"/>
  <c r="T17" i="10"/>
  <c r="T18" i="10"/>
  <c r="T33" i="10"/>
  <c r="T34" i="10"/>
  <c r="T28" i="10"/>
  <c r="T27" i="10"/>
  <c r="R6" i="12"/>
  <c r="T38" i="10"/>
  <c r="T37" i="10"/>
  <c r="T29" i="10"/>
  <c r="T30" i="10"/>
  <c r="T24" i="10"/>
  <c r="T23" i="10"/>
  <c r="T22" i="10"/>
  <c r="T21" i="10"/>
  <c r="T16" i="12"/>
  <c r="I29" i="6"/>
  <c r="S16" i="12"/>
  <c r="U12" i="12"/>
  <c r="T21" i="12"/>
  <c r="U20" i="12" s="1"/>
  <c r="R21" i="12"/>
  <c r="S21" i="12"/>
  <c r="S20" i="12"/>
  <c r="D15" i="9"/>
  <c r="R16" i="12"/>
  <c r="I13" i="6"/>
  <c r="AB16" i="12"/>
  <c r="T17" i="12"/>
  <c r="U24" i="12"/>
  <c r="D19" i="9"/>
  <c r="I21" i="6"/>
  <c r="AB4" i="12"/>
  <c r="S5" i="12"/>
  <c r="T5" i="12"/>
  <c r="R5" i="12"/>
  <c r="T4" i="12"/>
  <c r="R4" i="12"/>
  <c r="S4" i="12"/>
  <c r="I33" i="6"/>
  <c r="AB10" i="12"/>
  <c r="S11" i="12"/>
  <c r="S10" i="12"/>
  <c r="R11" i="12"/>
  <c r="R10" i="12"/>
  <c r="T10" i="12"/>
  <c r="U8" i="12" s="1"/>
  <c r="T11" i="12"/>
  <c r="D14" i="9"/>
  <c r="I25" i="6"/>
  <c r="I17" i="6"/>
  <c r="D17" i="9"/>
  <c r="I37" i="6"/>
  <c r="D11" i="9"/>
  <c r="L11" i="9" s="1"/>
  <c r="D13" i="9"/>
  <c r="AC13" i="10"/>
  <c r="AC23" i="10"/>
  <c r="AC37" i="10"/>
  <c r="AC19" i="10"/>
  <c r="AC33" i="10"/>
  <c r="AC11" i="10"/>
  <c r="AC29" i="10"/>
  <c r="AC25" i="10"/>
  <c r="AC39" i="10"/>
  <c r="AC21" i="10"/>
  <c r="AC7" i="10"/>
  <c r="AC27" i="10"/>
  <c r="AC35" i="10"/>
  <c r="AC31" i="10"/>
  <c r="AC17" i="10"/>
  <c r="AC5" i="10"/>
  <c r="AN13" i="7"/>
  <c r="R8" i="9"/>
  <c r="M9" i="1"/>
  <c r="I17" i="9" l="1"/>
  <c r="I12" i="9"/>
  <c r="I15" i="9"/>
  <c r="I10" i="9"/>
  <c r="I14" i="9"/>
  <c r="I13" i="9"/>
  <c r="I11" i="9"/>
  <c r="U16" i="12"/>
  <c r="I18" i="9"/>
  <c r="I16" i="9"/>
  <c r="I20" i="9"/>
  <c r="U4" i="12"/>
  <c r="L14" i="9"/>
  <c r="L15" i="9"/>
  <c r="L17" i="9"/>
  <c r="L19" i="9"/>
  <c r="L13" i="9"/>
  <c r="F4" i="9"/>
  <c r="E4" i="9"/>
  <c r="P6" i="8"/>
  <c r="P7" i="8"/>
  <c r="Q7" i="8" s="1"/>
  <c r="R7" i="8" s="1"/>
  <c r="P8" i="8"/>
  <c r="Q8" i="8" s="1"/>
  <c r="P9" i="8"/>
  <c r="P10" i="8"/>
  <c r="Q10" i="8" s="1"/>
  <c r="R10" i="8" s="1"/>
  <c r="P11" i="8"/>
  <c r="Q11" i="8" s="1"/>
  <c r="P12" i="8"/>
  <c r="Q12" i="8" s="1"/>
  <c r="R12" i="8" s="1"/>
  <c r="P13" i="8"/>
  <c r="P14" i="8"/>
  <c r="Q14" i="8" s="1"/>
  <c r="R14" i="8" s="1"/>
  <c r="P15" i="8"/>
  <c r="Q15" i="8" s="1"/>
  <c r="P16" i="8"/>
  <c r="Q16" i="8" s="1"/>
  <c r="R16" i="8" s="1"/>
  <c r="P17" i="8"/>
  <c r="Q17" i="8" s="1"/>
  <c r="R17" i="8" s="1"/>
  <c r="P18" i="8"/>
  <c r="P19" i="8"/>
  <c r="Q19" i="8" s="1"/>
  <c r="R19" i="8" s="1"/>
  <c r="P20" i="8"/>
  <c r="Q20" i="8" s="1"/>
  <c r="P21" i="8"/>
  <c r="Q21" i="8" s="1"/>
  <c r="P22" i="8"/>
  <c r="P23" i="8"/>
  <c r="Q23" i="8" s="1"/>
  <c r="P24" i="8"/>
  <c r="Q24" i="8" s="1"/>
  <c r="R24" i="8" s="1"/>
  <c r="P25" i="8"/>
  <c r="P26" i="8"/>
  <c r="Q26" i="8" s="1"/>
  <c r="R26" i="8" s="1"/>
  <c r="P27" i="8"/>
  <c r="Q27" i="8" s="1"/>
  <c r="P28" i="8"/>
  <c r="Q28" i="8" s="1"/>
  <c r="R28" i="8" s="1"/>
  <c r="P29" i="8"/>
  <c r="P30" i="8"/>
  <c r="Q30" i="8" s="1"/>
  <c r="R30" i="8" s="1"/>
  <c r="P31" i="8"/>
  <c r="Q31" i="8" s="1"/>
  <c r="P32" i="8"/>
  <c r="Q32" i="8" s="1"/>
  <c r="R32" i="8" s="1"/>
  <c r="P33" i="8"/>
  <c r="Q33" i="8" s="1"/>
  <c r="P34" i="8"/>
  <c r="P35" i="8"/>
  <c r="Q35" i="8" s="1"/>
  <c r="P36" i="8"/>
  <c r="Q36" i="8" s="1"/>
  <c r="R36" i="8" s="1"/>
  <c r="P37" i="8"/>
  <c r="Q37" i="8" s="1"/>
  <c r="P38" i="8"/>
  <c r="P39" i="8"/>
  <c r="Q39" i="8" s="1"/>
  <c r="P40" i="8"/>
  <c r="Q40" i="8" s="1"/>
  <c r="R40" i="8" s="1"/>
  <c r="P5" i="8"/>
  <c r="Q5" i="8" s="1"/>
  <c r="G6" i="8"/>
  <c r="H6" i="8" s="1"/>
  <c r="B4" i="9" s="1"/>
  <c r="G7" i="8"/>
  <c r="H7" i="8" s="1"/>
  <c r="B5" i="9" s="1"/>
  <c r="G8" i="8"/>
  <c r="H8" i="8" s="1"/>
  <c r="G9" i="8"/>
  <c r="H9" i="8" s="1"/>
  <c r="B6" i="9" s="1"/>
  <c r="G10" i="8"/>
  <c r="H10" i="8" s="1"/>
  <c r="G11" i="8"/>
  <c r="H11" i="8" s="1"/>
  <c r="B7" i="9" s="1"/>
  <c r="G12" i="8"/>
  <c r="H12" i="8" s="1"/>
  <c r="G13" i="8"/>
  <c r="H13" i="8" s="1"/>
  <c r="G14" i="8"/>
  <c r="H14" i="8" s="1"/>
  <c r="B8" i="9" s="1"/>
  <c r="G15" i="8"/>
  <c r="H15" i="8" s="1"/>
  <c r="G16" i="8"/>
  <c r="H16" i="8" s="1"/>
  <c r="B9" i="9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B15" i="9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G38" i="8"/>
  <c r="H38" i="8" s="1"/>
  <c r="G39" i="8"/>
  <c r="H39" i="8" s="1"/>
  <c r="G40" i="8"/>
  <c r="H40" i="8" s="1"/>
  <c r="G5" i="8"/>
  <c r="H5" i="8" s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N41" i="7"/>
  <c r="O41" i="7"/>
  <c r="P41" i="7"/>
  <c r="N42" i="7"/>
  <c r="O42" i="7"/>
  <c r="P42" i="7"/>
  <c r="N43" i="7"/>
  <c r="O43" i="7"/>
  <c r="P43" i="7"/>
  <c r="N44" i="7"/>
  <c r="O44" i="7"/>
  <c r="P44" i="7"/>
  <c r="O5" i="7"/>
  <c r="M41" i="7"/>
  <c r="M42" i="7"/>
  <c r="M43" i="7"/>
  <c r="M44" i="7"/>
  <c r="D39" i="7"/>
  <c r="D37" i="7"/>
  <c r="D35" i="7"/>
  <c r="D33" i="7"/>
  <c r="D31" i="7"/>
  <c r="D29" i="7"/>
  <c r="D27" i="7"/>
  <c r="D25" i="7"/>
  <c r="D23" i="7"/>
  <c r="D21" i="7"/>
  <c r="D19" i="7"/>
  <c r="D17" i="7"/>
  <c r="D15" i="7"/>
  <c r="D13" i="7"/>
  <c r="D11" i="7"/>
  <c r="D9" i="7"/>
  <c r="D7" i="7"/>
  <c r="D5" i="7"/>
  <c r="D12" i="6"/>
  <c r="H12" i="6" s="1"/>
  <c r="D11" i="6"/>
  <c r="D10" i="6"/>
  <c r="H10" i="6" s="1"/>
  <c r="D9" i="6"/>
  <c r="D8" i="6"/>
  <c r="H8" i="6" s="1"/>
  <c r="D7" i="6"/>
  <c r="H7" i="6" s="1"/>
  <c r="D6" i="6"/>
  <c r="H6" i="6" s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33" i="1"/>
  <c r="AQ5" i="8" l="1"/>
  <c r="Q22" i="8"/>
  <c r="R22" i="8" s="1"/>
  <c r="AQ61" i="8"/>
  <c r="Q6" i="8"/>
  <c r="AQ57" i="8"/>
  <c r="Q29" i="8"/>
  <c r="R29" i="8" s="1"/>
  <c r="AQ63" i="8"/>
  <c r="Q13" i="8"/>
  <c r="I12" i="11" s="1"/>
  <c r="AQ59" i="8"/>
  <c r="Q34" i="8"/>
  <c r="R34" i="8" s="1"/>
  <c r="AQ64" i="8"/>
  <c r="Q18" i="8"/>
  <c r="AQ60" i="8"/>
  <c r="Q25" i="8"/>
  <c r="R25" i="8" s="1"/>
  <c r="Q14" i="9" s="1"/>
  <c r="AQ62" i="8"/>
  <c r="Q9" i="8"/>
  <c r="R9" i="8" s="1"/>
  <c r="Q6" i="9" s="1"/>
  <c r="AQ58" i="8"/>
  <c r="R8" i="8"/>
  <c r="Q5" i="9" s="1"/>
  <c r="I6" i="11"/>
  <c r="B19" i="9"/>
  <c r="B18" i="9" s="1"/>
  <c r="R35" i="8"/>
  <c r="Q19" i="9" s="1"/>
  <c r="I34" i="11"/>
  <c r="R31" i="8"/>
  <c r="I30" i="11"/>
  <c r="R23" i="8"/>
  <c r="Q13" i="9" s="1"/>
  <c r="I22" i="11"/>
  <c r="R15" i="8"/>
  <c r="Q9" i="9" s="1"/>
  <c r="I14" i="11"/>
  <c r="R11" i="8"/>
  <c r="Q7" i="9" s="1"/>
  <c r="I10" i="11"/>
  <c r="R37" i="8"/>
  <c r="R33" i="8"/>
  <c r="R21" i="8"/>
  <c r="R20" i="8"/>
  <c r="Q11" i="9" s="1"/>
  <c r="I18" i="11"/>
  <c r="R39" i="8"/>
  <c r="Q21" i="9" s="1"/>
  <c r="I38" i="11"/>
  <c r="R27" i="8"/>
  <c r="Q15" i="9" s="1"/>
  <c r="I26" i="11"/>
  <c r="R18" i="8"/>
  <c r="Q10" i="9" s="1"/>
  <c r="I16" i="11"/>
  <c r="R6" i="8"/>
  <c r="Q4" i="9" s="1"/>
  <c r="I4" i="11"/>
  <c r="Q38" i="8"/>
  <c r="R38" i="8" s="1"/>
  <c r="AQ6" i="8"/>
  <c r="I29" i="8"/>
  <c r="B16" i="9"/>
  <c r="B17" i="9" s="1"/>
  <c r="I33" i="8"/>
  <c r="S17" i="8"/>
  <c r="J5" i="9"/>
  <c r="H37" i="8"/>
  <c r="I37" i="8" s="1"/>
  <c r="Q18" i="9"/>
  <c r="I25" i="8"/>
  <c r="I9" i="8"/>
  <c r="J9" i="9"/>
  <c r="Q41" i="7"/>
  <c r="T41" i="7" s="1"/>
  <c r="W15" i="7" s="1"/>
  <c r="I13" i="8"/>
  <c r="R5" i="8"/>
  <c r="I5" i="8"/>
  <c r="H11" i="6"/>
  <c r="D7" i="9" s="1"/>
  <c r="H9" i="6"/>
  <c r="D9" i="9"/>
  <c r="D5" i="9"/>
  <c r="Q17" i="9"/>
  <c r="I21" i="8"/>
  <c r="B12" i="9"/>
  <c r="B11" i="9"/>
  <c r="D18" i="9"/>
  <c r="D8" i="9"/>
  <c r="B14" i="9"/>
  <c r="B10" i="9"/>
  <c r="Q44" i="7"/>
  <c r="T44" i="7" s="1"/>
  <c r="W18" i="7" s="1"/>
  <c r="D10" i="9"/>
  <c r="D21" i="9"/>
  <c r="D12" i="9"/>
  <c r="B21" i="9"/>
  <c r="B13" i="9"/>
  <c r="D20" i="9"/>
  <c r="D16" i="9"/>
  <c r="I5" i="6"/>
  <c r="D4" i="9"/>
  <c r="Q43" i="7"/>
  <c r="T43" i="7" s="1"/>
  <c r="W12" i="7" s="1"/>
  <c r="Q42" i="7"/>
  <c r="T42" i="7" s="1"/>
  <c r="W9" i="7" s="1"/>
  <c r="I17" i="8"/>
  <c r="D29" i="4"/>
  <c r="D28" i="4"/>
  <c r="D27" i="4"/>
  <c r="D26" i="4"/>
  <c r="D22" i="4"/>
  <c r="D21" i="4"/>
  <c r="D20" i="4"/>
  <c r="D19" i="4"/>
  <c r="D15" i="4"/>
  <c r="D14" i="4"/>
  <c r="D13" i="4"/>
  <c r="D12" i="4"/>
  <c r="D8" i="4"/>
  <c r="D7" i="4"/>
  <c r="D6" i="4"/>
  <c r="D5" i="4"/>
  <c r="J19" i="9" l="1"/>
  <c r="S33" i="8"/>
  <c r="I36" i="11"/>
  <c r="I20" i="11"/>
  <c r="I32" i="11"/>
  <c r="Q12" i="9"/>
  <c r="I24" i="11"/>
  <c r="S29" i="8"/>
  <c r="Q16" i="9"/>
  <c r="R13" i="8"/>
  <c r="S21" i="8"/>
  <c r="S37" i="8"/>
  <c r="I8" i="11"/>
  <c r="I28" i="11"/>
  <c r="B20" i="9"/>
  <c r="J20" i="9" s="1"/>
  <c r="S25" i="8"/>
  <c r="S9" i="8"/>
  <c r="Q20" i="9"/>
  <c r="S5" i="8"/>
  <c r="L4" i="9"/>
  <c r="L21" i="9"/>
  <c r="L9" i="9"/>
  <c r="L10" i="9"/>
  <c r="L18" i="9"/>
  <c r="L20" i="9"/>
  <c r="L7" i="9"/>
  <c r="L5" i="9"/>
  <c r="L16" i="9"/>
  <c r="L8" i="9"/>
  <c r="L12" i="9"/>
  <c r="J7" i="9"/>
  <c r="X9" i="10"/>
  <c r="W4" i="12"/>
  <c r="X12" i="10"/>
  <c r="N35" i="10" s="1"/>
  <c r="S35" i="10" s="1"/>
  <c r="W7" i="12"/>
  <c r="X15" i="10"/>
  <c r="M13" i="10" s="1"/>
  <c r="W10" i="12"/>
  <c r="X18" i="10"/>
  <c r="P5" i="10" s="1"/>
  <c r="T5" i="10" s="1"/>
  <c r="W13" i="12"/>
  <c r="D6" i="9"/>
  <c r="I9" i="6"/>
  <c r="J12" i="9"/>
  <c r="J16" i="9"/>
  <c r="J8" i="9"/>
  <c r="J15" i="9"/>
  <c r="J18" i="9"/>
  <c r="J21" i="9"/>
  <c r="J11" i="9"/>
  <c r="J13" i="9"/>
  <c r="J10" i="9"/>
  <c r="J14" i="9"/>
  <c r="J6" i="9"/>
  <c r="AL36" i="10"/>
  <c r="AL58" i="10"/>
  <c r="AQ58" i="10" s="1"/>
  <c r="AL40" i="10"/>
  <c r="AL15" i="10"/>
  <c r="AL61" i="10"/>
  <c r="M20" i="10"/>
  <c r="Q20" i="10" s="1"/>
  <c r="AL8" i="10"/>
  <c r="AL22" i="10"/>
  <c r="AL14" i="10"/>
  <c r="AL38" i="10"/>
  <c r="M54" i="10"/>
  <c r="AL33" i="10"/>
  <c r="S24" i="10"/>
  <c r="S19" i="10"/>
  <c r="S18" i="10"/>
  <c r="S26" i="10"/>
  <c r="S28" i="10"/>
  <c r="S66" i="10"/>
  <c r="S20" i="10"/>
  <c r="S21" i="10"/>
  <c r="N18" i="7"/>
  <c r="S18" i="7" s="1"/>
  <c r="N17" i="7"/>
  <c r="S17" i="7" s="1"/>
  <c r="N25" i="7"/>
  <c r="S25" i="7" s="1"/>
  <c r="N14" i="7"/>
  <c r="S14" i="7" s="1"/>
  <c r="N33" i="7"/>
  <c r="S33" i="7" s="1"/>
  <c r="N28" i="7"/>
  <c r="S28" i="7" s="1"/>
  <c r="N19" i="7"/>
  <c r="S19" i="7" s="1"/>
  <c r="N8" i="7"/>
  <c r="S8" i="7" s="1"/>
  <c r="N37" i="7"/>
  <c r="S37" i="7" s="1"/>
  <c r="N12" i="7"/>
  <c r="S12" i="7" s="1"/>
  <c r="N29" i="7"/>
  <c r="S29" i="7" s="1"/>
  <c r="N13" i="7"/>
  <c r="S13" i="7" s="1"/>
  <c r="N9" i="7"/>
  <c r="S9" i="7" s="1"/>
  <c r="N40" i="7"/>
  <c r="S40" i="7" s="1"/>
  <c r="N31" i="7"/>
  <c r="S31" i="7" s="1"/>
  <c r="N16" i="7"/>
  <c r="S16" i="7" s="1"/>
  <c r="N27" i="7"/>
  <c r="S27" i="7" s="1"/>
  <c r="N7" i="7"/>
  <c r="S7" i="7" s="1"/>
  <c r="N22" i="7"/>
  <c r="S22" i="7" s="1"/>
  <c r="N23" i="7"/>
  <c r="S23" i="7" s="1"/>
  <c r="N21" i="7"/>
  <c r="S21" i="7" s="1"/>
  <c r="N30" i="7"/>
  <c r="S30" i="7" s="1"/>
  <c r="N5" i="7"/>
  <c r="S5" i="7" s="1"/>
  <c r="N38" i="7"/>
  <c r="S38" i="7" s="1"/>
  <c r="N24" i="7"/>
  <c r="S24" i="7" s="1"/>
  <c r="N10" i="7"/>
  <c r="S10" i="7" s="1"/>
  <c r="N32" i="7"/>
  <c r="S32" i="7" s="1"/>
  <c r="N35" i="7"/>
  <c r="S35" i="7" s="1"/>
  <c r="S11" i="7"/>
  <c r="N39" i="7"/>
  <c r="S39" i="7" s="1"/>
  <c r="N36" i="7"/>
  <c r="S36" i="7" s="1"/>
  <c r="N20" i="7"/>
  <c r="S20" i="7" s="1"/>
  <c r="N34" i="7"/>
  <c r="S34" i="7" s="1"/>
  <c r="N6" i="7"/>
  <c r="S6" i="7" s="1"/>
  <c r="N26" i="7"/>
  <c r="S26" i="7" s="1"/>
  <c r="N15" i="7"/>
  <c r="S15" i="7" s="1"/>
  <c r="M6" i="7"/>
  <c r="R6" i="7" s="1"/>
  <c r="M38" i="7"/>
  <c r="R38" i="7" s="1"/>
  <c r="M27" i="7"/>
  <c r="R27" i="7" s="1"/>
  <c r="M34" i="7"/>
  <c r="R34" i="7" s="1"/>
  <c r="M17" i="7"/>
  <c r="R17" i="7" s="1"/>
  <c r="M13" i="7"/>
  <c r="R13" i="7" s="1"/>
  <c r="M40" i="7"/>
  <c r="R40" i="7" s="1"/>
  <c r="M22" i="7"/>
  <c r="R22" i="7" s="1"/>
  <c r="M18" i="7"/>
  <c r="R18" i="7" s="1"/>
  <c r="M26" i="7"/>
  <c r="R26" i="7" s="1"/>
  <c r="M33" i="7"/>
  <c r="R33" i="7" s="1"/>
  <c r="M36" i="7"/>
  <c r="R36" i="7" s="1"/>
  <c r="M10" i="7"/>
  <c r="R10" i="7" s="1"/>
  <c r="M28" i="7"/>
  <c r="R28" i="7" s="1"/>
  <c r="M24" i="7"/>
  <c r="R24" i="7" s="1"/>
  <c r="M23" i="7"/>
  <c r="R23" i="7" s="1"/>
  <c r="M32" i="7"/>
  <c r="R32" i="7" s="1"/>
  <c r="M25" i="7"/>
  <c r="R25" i="7" s="1"/>
  <c r="M29" i="7"/>
  <c r="R29" i="7" s="1"/>
  <c r="M16" i="7"/>
  <c r="R16" i="7" s="1"/>
  <c r="M19" i="7"/>
  <c r="R19" i="7" s="1"/>
  <c r="M39" i="7"/>
  <c r="R39" i="7" s="1"/>
  <c r="M11" i="7"/>
  <c r="R11" i="7" s="1"/>
  <c r="M20" i="7"/>
  <c r="R20" i="7" s="1"/>
  <c r="M21" i="7"/>
  <c r="R21" i="7" s="1"/>
  <c r="M37" i="7"/>
  <c r="R37" i="7" s="1"/>
  <c r="M8" i="7"/>
  <c r="R8" i="7" s="1"/>
  <c r="M5" i="7"/>
  <c r="R5" i="7" s="1"/>
  <c r="M12" i="7"/>
  <c r="R12" i="7" s="1"/>
  <c r="M30" i="7"/>
  <c r="R30" i="7" s="1"/>
  <c r="M35" i="7"/>
  <c r="R35" i="7" s="1"/>
  <c r="M7" i="7"/>
  <c r="R7" i="7" s="1"/>
  <c r="M14" i="7"/>
  <c r="R14" i="7" s="1"/>
  <c r="M15" i="7"/>
  <c r="R15" i="7" s="1"/>
  <c r="M31" i="7"/>
  <c r="R31" i="7" s="1"/>
  <c r="M9" i="7"/>
  <c r="R9" i="7" s="1"/>
  <c r="P8" i="7"/>
  <c r="P12" i="7"/>
  <c r="P16" i="7"/>
  <c r="P20" i="7"/>
  <c r="P24" i="7"/>
  <c r="P28" i="7"/>
  <c r="P32" i="7"/>
  <c r="P36" i="7"/>
  <c r="P40" i="7"/>
  <c r="P11" i="7"/>
  <c r="P23" i="7"/>
  <c r="P31" i="7"/>
  <c r="P9" i="7"/>
  <c r="P13" i="7"/>
  <c r="P17" i="7"/>
  <c r="P21" i="7"/>
  <c r="P25" i="7"/>
  <c r="P29" i="7"/>
  <c r="P33" i="7"/>
  <c r="P37" i="7"/>
  <c r="P5" i="7"/>
  <c r="P15" i="7"/>
  <c r="P27" i="7"/>
  <c r="P39" i="7"/>
  <c r="P6" i="7"/>
  <c r="P10" i="7"/>
  <c r="P14" i="7"/>
  <c r="P18" i="7"/>
  <c r="P22" i="7"/>
  <c r="P26" i="7"/>
  <c r="P30" i="7"/>
  <c r="P34" i="7"/>
  <c r="P38" i="7"/>
  <c r="P7" i="7"/>
  <c r="P19" i="7"/>
  <c r="P35" i="7"/>
  <c r="J4" i="9"/>
  <c r="L3" i="1"/>
  <c r="P10" i="1" s="1"/>
  <c r="J7" i="2"/>
  <c r="J6" i="2"/>
  <c r="G34" i="1"/>
  <c r="N34" i="1" s="1"/>
  <c r="O34" i="1" s="1"/>
  <c r="G35" i="1"/>
  <c r="N35" i="1" s="1"/>
  <c r="O35" i="1" s="1"/>
  <c r="G36" i="1"/>
  <c r="N36" i="1" s="1"/>
  <c r="O36" i="1" s="1"/>
  <c r="G37" i="1"/>
  <c r="N37" i="1" s="1"/>
  <c r="O37" i="1" s="1"/>
  <c r="G38" i="1"/>
  <c r="N38" i="1" s="1"/>
  <c r="O38" i="1" s="1"/>
  <c r="G39" i="1"/>
  <c r="N39" i="1" s="1"/>
  <c r="O39" i="1" s="1"/>
  <c r="G40" i="1"/>
  <c r="N40" i="1" s="1"/>
  <c r="O40" i="1" s="1"/>
  <c r="G41" i="1"/>
  <c r="N41" i="1" s="1"/>
  <c r="O41" i="1" s="1"/>
  <c r="G42" i="1"/>
  <c r="N42" i="1" s="1"/>
  <c r="O42" i="1" s="1"/>
  <c r="G43" i="1"/>
  <c r="N43" i="1" s="1"/>
  <c r="O43" i="1" s="1"/>
  <c r="G44" i="1"/>
  <c r="N44" i="1" s="1"/>
  <c r="O44" i="1" s="1"/>
  <c r="G45" i="1"/>
  <c r="N45" i="1" s="1"/>
  <c r="O45" i="1" s="1"/>
  <c r="G46" i="1"/>
  <c r="N46" i="1" s="1"/>
  <c r="O46" i="1" s="1"/>
  <c r="G47" i="1"/>
  <c r="N47" i="1" s="1"/>
  <c r="O47" i="1" s="1"/>
  <c r="G48" i="1"/>
  <c r="N48" i="1" s="1"/>
  <c r="O48" i="1" s="1"/>
  <c r="G49" i="1"/>
  <c r="N49" i="1" s="1"/>
  <c r="O49" i="1" s="1"/>
  <c r="G50" i="1"/>
  <c r="N50" i="1" s="1"/>
  <c r="O50" i="1" s="1"/>
  <c r="G33" i="1"/>
  <c r="N33" i="1" s="1"/>
  <c r="O33" i="1" s="1"/>
  <c r="AM13" i="10" l="1"/>
  <c r="AR13" i="10" s="1"/>
  <c r="AL30" i="10"/>
  <c r="M9" i="10"/>
  <c r="AM27" i="10"/>
  <c r="AR27" i="10" s="1"/>
  <c r="N14" i="10"/>
  <c r="S14" i="10" s="1"/>
  <c r="M30" i="10"/>
  <c r="R30" i="10" s="1"/>
  <c r="M26" i="10"/>
  <c r="Q26" i="10" s="1"/>
  <c r="AL37" i="10"/>
  <c r="AQ37" i="10" s="1"/>
  <c r="M35" i="10"/>
  <c r="Q35" i="10" s="1"/>
  <c r="AL60" i="10"/>
  <c r="AQ60" i="10" s="1"/>
  <c r="AL12" i="10"/>
  <c r="M51" i="10"/>
  <c r="M61" i="10"/>
  <c r="AL52" i="10"/>
  <c r="AQ52" i="10" s="1"/>
  <c r="M38" i="10"/>
  <c r="AL39" i="10"/>
  <c r="AQ39" i="10" s="1"/>
  <c r="AL48" i="10"/>
  <c r="M39" i="10"/>
  <c r="R39" i="10" s="1"/>
  <c r="M57" i="10"/>
  <c r="AL23" i="10"/>
  <c r="AQ23" i="10" s="1"/>
  <c r="M23" i="10"/>
  <c r="Q23" i="10" s="1"/>
  <c r="M17" i="10"/>
  <c r="Q17" i="10" s="1"/>
  <c r="AL51" i="10"/>
  <c r="AQ51" i="10" s="1"/>
  <c r="AL35" i="10"/>
  <c r="AQ35" i="10" s="1"/>
  <c r="M62" i="10"/>
  <c r="M47" i="10"/>
  <c r="AL68" i="10"/>
  <c r="AQ68" i="10" s="1"/>
  <c r="M28" i="10"/>
  <c r="Q28" i="10" s="1"/>
  <c r="U28" i="10" s="1"/>
  <c r="AL49" i="10"/>
  <c r="AQ49" i="10" s="1"/>
  <c r="M27" i="10"/>
  <c r="Q27" i="10" s="1"/>
  <c r="AL31" i="10"/>
  <c r="M12" i="10"/>
  <c r="R12" i="10" s="1"/>
  <c r="M58" i="10"/>
  <c r="M52" i="10"/>
  <c r="M53" i="10"/>
  <c r="M48" i="10"/>
  <c r="AL56" i="10"/>
  <c r="AQ56" i="10" s="1"/>
  <c r="M37" i="10"/>
  <c r="AL34" i="10"/>
  <c r="AQ34" i="10" s="1"/>
  <c r="M18" i="10"/>
  <c r="Q18" i="10" s="1"/>
  <c r="U18" i="10" s="1"/>
  <c r="M24" i="10"/>
  <c r="Q24" i="10" s="1"/>
  <c r="U24" i="10" s="1"/>
  <c r="AL10" i="10"/>
  <c r="M22" i="10"/>
  <c r="Q22" i="10" s="1"/>
  <c r="M31" i="10"/>
  <c r="R9" i="10"/>
  <c r="M56" i="10"/>
  <c r="R56" i="10" s="1"/>
  <c r="M46" i="10"/>
  <c r="R46" i="10" s="1"/>
  <c r="M19" i="10"/>
  <c r="Q19" i="10" s="1"/>
  <c r="AL57" i="10"/>
  <c r="AQ57" i="10" s="1"/>
  <c r="AL17" i="10"/>
  <c r="AQ17" i="10" s="1"/>
  <c r="AL25" i="10"/>
  <c r="M65" i="10"/>
  <c r="Q65" i="10" s="1"/>
  <c r="M5" i="10"/>
  <c r="AL32" i="10"/>
  <c r="AL9" i="10"/>
  <c r="AQ9" i="10" s="1"/>
  <c r="AL53" i="10"/>
  <c r="AQ53" i="10" s="1"/>
  <c r="AL13" i="10"/>
  <c r="AP13" i="10" s="1"/>
  <c r="AS13" i="10" s="1"/>
  <c r="AL65" i="10"/>
  <c r="M50" i="10"/>
  <c r="M29" i="10"/>
  <c r="M16" i="10"/>
  <c r="AL18" i="10"/>
  <c r="AQ18" i="10" s="1"/>
  <c r="AL7" i="10"/>
  <c r="AQ7" i="10" s="1"/>
  <c r="AL66" i="10"/>
  <c r="AQ66" i="10" s="1"/>
  <c r="M33" i="10"/>
  <c r="M63" i="10"/>
  <c r="AL63" i="10"/>
  <c r="AL45" i="10"/>
  <c r="M68" i="10"/>
  <c r="M11" i="10"/>
  <c r="AL19" i="10"/>
  <c r="AQ19" i="10" s="1"/>
  <c r="AL11" i="10"/>
  <c r="AQ11" i="10" s="1"/>
  <c r="AL28" i="10"/>
  <c r="M67" i="10"/>
  <c r="M59" i="10"/>
  <c r="M36" i="10"/>
  <c r="M32" i="10"/>
  <c r="M49" i="10"/>
  <c r="R49" i="10" s="1"/>
  <c r="M60" i="10"/>
  <c r="R60" i="10" s="1"/>
  <c r="M40" i="10"/>
  <c r="R40" i="10" s="1"/>
  <c r="M10" i="10"/>
  <c r="M15" i="10"/>
  <c r="AL67" i="10"/>
  <c r="AL29" i="10"/>
  <c r="Q8" i="9"/>
  <c r="S13" i="8"/>
  <c r="M6" i="10"/>
  <c r="R6" i="10" s="1"/>
  <c r="M34" i="10"/>
  <c r="AL6" i="10"/>
  <c r="AP6" i="10" s="1"/>
  <c r="AS6" i="10" s="1"/>
  <c r="AL16" i="10"/>
  <c r="AQ16" i="10" s="1"/>
  <c r="AL54" i="10"/>
  <c r="AQ54" i="10" s="1"/>
  <c r="M7" i="10"/>
  <c r="R7" i="10" s="1"/>
  <c r="M21" i="10"/>
  <c r="Q21" i="10" s="1"/>
  <c r="M25" i="10"/>
  <c r="Q25" i="10" s="1"/>
  <c r="U25" i="10" s="1"/>
  <c r="AL21" i="10"/>
  <c r="AP21" i="10" s="1"/>
  <c r="AS21" i="10" s="1"/>
  <c r="M14" i="10"/>
  <c r="Q14" i="10" s="1"/>
  <c r="AL26" i="10"/>
  <c r="M45" i="10"/>
  <c r="AL62" i="10"/>
  <c r="AQ62" i="10" s="1"/>
  <c r="AL24" i="10"/>
  <c r="AL50" i="10"/>
  <c r="AQ50" i="10" s="1"/>
  <c r="AM11" i="10"/>
  <c r="AR11" i="10" s="1"/>
  <c r="N32" i="10"/>
  <c r="S32" i="10" s="1"/>
  <c r="N7" i="10"/>
  <c r="S7" i="10" s="1"/>
  <c r="N51" i="10"/>
  <c r="S51" i="10" s="1"/>
  <c r="N31" i="10"/>
  <c r="S31" i="10" s="1"/>
  <c r="AL27" i="10"/>
  <c r="AL20" i="10"/>
  <c r="AQ20" i="10" s="1"/>
  <c r="M8" i="10"/>
  <c r="N16" i="10"/>
  <c r="S16" i="10" s="1"/>
  <c r="N62" i="10"/>
  <c r="S62" i="10" s="1"/>
  <c r="N52" i="10"/>
  <c r="S52" i="10" s="1"/>
  <c r="AM45" i="10"/>
  <c r="AR45" i="10" s="1"/>
  <c r="AM59" i="10"/>
  <c r="AR59" i="10" s="1"/>
  <c r="AM52" i="10"/>
  <c r="AR52" i="10" s="1"/>
  <c r="N55" i="10"/>
  <c r="S55" i="10" s="1"/>
  <c r="N48" i="10"/>
  <c r="S48" i="10" s="1"/>
  <c r="N29" i="10"/>
  <c r="S29" i="10" s="1"/>
  <c r="AM31" i="10"/>
  <c r="AR31" i="10" s="1"/>
  <c r="P52" i="10"/>
  <c r="T52" i="10" s="1"/>
  <c r="P39" i="10"/>
  <c r="T39" i="10" s="1"/>
  <c r="P40" i="10"/>
  <c r="T40" i="10" s="1"/>
  <c r="P56" i="10"/>
  <c r="T56" i="10" s="1"/>
  <c r="N9" i="10"/>
  <c r="S9" i="10" s="1"/>
  <c r="N57" i="10"/>
  <c r="S57" i="10" s="1"/>
  <c r="AM10" i="10"/>
  <c r="AR10" i="10" s="1"/>
  <c r="N34" i="10"/>
  <c r="S34" i="10" s="1"/>
  <c r="AM38" i="10"/>
  <c r="AR38" i="10" s="1"/>
  <c r="N46" i="10"/>
  <c r="S46" i="10" s="1"/>
  <c r="AM48" i="10"/>
  <c r="AR48" i="10" s="1"/>
  <c r="AM47" i="10"/>
  <c r="AR47" i="10" s="1"/>
  <c r="N37" i="10"/>
  <c r="S37" i="10" s="1"/>
  <c r="AM62" i="10"/>
  <c r="AR62" i="10" s="1"/>
  <c r="M66" i="10"/>
  <c r="Q66" i="10" s="1"/>
  <c r="AL5" i="10"/>
  <c r="AP5" i="10" s="1"/>
  <c r="AS5" i="10" s="1"/>
  <c r="AL55" i="10"/>
  <c r="AP55" i="10" s="1"/>
  <c r="AS55" i="10" s="1"/>
  <c r="AL59" i="10"/>
  <c r="AQ59" i="10" s="1"/>
  <c r="P6" i="10"/>
  <c r="T6" i="10" s="1"/>
  <c r="I4" i="9" s="1"/>
  <c r="AM17" i="10"/>
  <c r="AR17" i="10" s="1"/>
  <c r="N53" i="10"/>
  <c r="S53" i="10" s="1"/>
  <c r="AM68" i="10"/>
  <c r="AR68" i="10" s="1"/>
  <c r="AM35" i="10"/>
  <c r="AR35" i="10" s="1"/>
  <c r="N54" i="10"/>
  <c r="S54" i="10" s="1"/>
  <c r="N61" i="10"/>
  <c r="S61" i="10" s="1"/>
  <c r="AM37" i="10"/>
  <c r="AR37" i="10" s="1"/>
  <c r="N49" i="10"/>
  <c r="S49" i="10" s="1"/>
  <c r="N63" i="10"/>
  <c r="S63" i="10" s="1"/>
  <c r="AM30" i="10"/>
  <c r="AR30" i="10" s="1"/>
  <c r="AM54" i="10"/>
  <c r="AR54" i="10" s="1"/>
  <c r="N15" i="10"/>
  <c r="S15" i="10" s="1"/>
  <c r="AM8" i="10"/>
  <c r="AR8" i="10" s="1"/>
  <c r="N8" i="10"/>
  <c r="S8" i="10" s="1"/>
  <c r="N38" i="10"/>
  <c r="S38" i="10" s="1"/>
  <c r="N64" i="10"/>
  <c r="S64" i="10" s="1"/>
  <c r="P35" i="10"/>
  <c r="T35" i="10" s="1"/>
  <c r="AM28" i="10"/>
  <c r="AR28" i="10" s="1"/>
  <c r="AM56" i="10"/>
  <c r="AR56" i="10" s="1"/>
  <c r="AM33" i="10"/>
  <c r="AR33" i="10" s="1"/>
  <c r="N36" i="10"/>
  <c r="S36" i="10" s="1"/>
  <c r="N45" i="10"/>
  <c r="S45" i="10" s="1"/>
  <c r="N56" i="10"/>
  <c r="S56" i="10" s="1"/>
  <c r="AM22" i="10"/>
  <c r="AR22" i="10" s="1"/>
  <c r="AM55" i="10"/>
  <c r="AR55" i="10" s="1"/>
  <c r="AM39" i="10"/>
  <c r="AR39" i="10" s="1"/>
  <c r="AM51" i="10"/>
  <c r="AR51" i="10" s="1"/>
  <c r="AM29" i="10"/>
  <c r="AR29" i="10" s="1"/>
  <c r="AM32" i="10"/>
  <c r="AR32" i="10" s="1"/>
  <c r="AM66" i="10"/>
  <c r="AR66" i="10" s="1"/>
  <c r="AM64" i="10"/>
  <c r="AR64" i="10" s="1"/>
  <c r="AM24" i="10"/>
  <c r="AR24" i="10" s="1"/>
  <c r="AM23" i="10"/>
  <c r="AR23" i="10" s="1"/>
  <c r="L6" i="9"/>
  <c r="P57" i="10"/>
  <c r="AM63" i="10"/>
  <c r="AR63" i="10" s="1"/>
  <c r="N5" i="10"/>
  <c r="S5" i="10" s="1"/>
  <c r="AM65" i="10"/>
  <c r="AR65" i="10" s="1"/>
  <c r="N50" i="10"/>
  <c r="S50" i="10" s="1"/>
  <c r="N6" i="10"/>
  <c r="S6" i="10" s="1"/>
  <c r="N13" i="10"/>
  <c r="S13" i="10" s="1"/>
  <c r="N68" i="10"/>
  <c r="S68" i="10" s="1"/>
  <c r="N58" i="10"/>
  <c r="S58" i="10" s="1"/>
  <c r="S27" i="10"/>
  <c r="S25" i="10"/>
  <c r="AM16" i="10"/>
  <c r="AR16" i="10" s="1"/>
  <c r="AM58" i="10"/>
  <c r="AR58" i="10" s="1"/>
  <c r="N39" i="10"/>
  <c r="S39" i="10" s="1"/>
  <c r="AM46" i="10"/>
  <c r="AR46" i="10" s="1"/>
  <c r="S65" i="10"/>
  <c r="AM18" i="10"/>
  <c r="AR18" i="10" s="1"/>
  <c r="AM21" i="10"/>
  <c r="AR21" i="10" s="1"/>
  <c r="AM53" i="10"/>
  <c r="AR53" i="10" s="1"/>
  <c r="AM26" i="10"/>
  <c r="AR26" i="10" s="1"/>
  <c r="N47" i="10"/>
  <c r="S47" i="10" s="1"/>
  <c r="N33" i="10"/>
  <c r="S33" i="10" s="1"/>
  <c r="N11" i="10"/>
  <c r="S11" i="10" s="1"/>
  <c r="N40" i="10"/>
  <c r="S40" i="10" s="1"/>
  <c r="AM14" i="10"/>
  <c r="AR14" i="10" s="1"/>
  <c r="P58" i="10"/>
  <c r="T58" i="10" s="1"/>
  <c r="P53" i="10"/>
  <c r="T53" i="10" s="1"/>
  <c r="P68" i="10"/>
  <c r="T68" i="10" s="1"/>
  <c r="P48" i="10"/>
  <c r="T48" i="10" s="1"/>
  <c r="P67" i="10"/>
  <c r="T67" i="10" s="1"/>
  <c r="N30" i="10"/>
  <c r="S30" i="10" s="1"/>
  <c r="AM12" i="10"/>
  <c r="AR12" i="10" s="1"/>
  <c r="AM61" i="10"/>
  <c r="AR61" i="10" s="1"/>
  <c r="AM34" i="10"/>
  <c r="AR34" i="10" s="1"/>
  <c r="AM9" i="10"/>
  <c r="AR9" i="10" s="1"/>
  <c r="AM67" i="10"/>
  <c r="AR67" i="10" s="1"/>
  <c r="AM20" i="10"/>
  <c r="AR20" i="10" s="1"/>
  <c r="N67" i="10"/>
  <c r="S67" i="10" s="1"/>
  <c r="AM57" i="10"/>
  <c r="AR57" i="10" s="1"/>
  <c r="AM36" i="10"/>
  <c r="AR36" i="10" s="1"/>
  <c r="AM7" i="10"/>
  <c r="AR7" i="10" s="1"/>
  <c r="AM19" i="10"/>
  <c r="AR19" i="10" s="1"/>
  <c r="AM15" i="10"/>
  <c r="AR15" i="10" s="1"/>
  <c r="AM60" i="10"/>
  <c r="AR60" i="10" s="1"/>
  <c r="S22" i="10"/>
  <c r="AM40" i="10"/>
  <c r="AR40" i="10" s="1"/>
  <c r="N12" i="10"/>
  <c r="S12" i="10" s="1"/>
  <c r="N59" i="10"/>
  <c r="S59" i="10" s="1"/>
  <c r="N10" i="10"/>
  <c r="S10" i="10" s="1"/>
  <c r="AM49" i="10"/>
  <c r="AR49" i="10" s="1"/>
  <c r="AM25" i="10"/>
  <c r="AR25" i="10" s="1"/>
  <c r="S17" i="10"/>
  <c r="S23" i="10"/>
  <c r="N60" i="10"/>
  <c r="S60" i="10" s="1"/>
  <c r="AM50" i="10"/>
  <c r="AR50" i="10" s="1"/>
  <c r="AL47" i="10"/>
  <c r="AQ47" i="10" s="1"/>
  <c r="AL64" i="10"/>
  <c r="AQ64" i="10" s="1"/>
  <c r="M55" i="10"/>
  <c r="Q55" i="10" s="1"/>
  <c r="M64" i="10"/>
  <c r="P60" i="10"/>
  <c r="P10" i="10"/>
  <c r="T10" i="10" s="1"/>
  <c r="P49" i="10"/>
  <c r="U66" i="10"/>
  <c r="P11" i="10"/>
  <c r="T11" i="10" s="1"/>
  <c r="P50" i="10"/>
  <c r="T50" i="10" s="1"/>
  <c r="P47" i="10"/>
  <c r="T47" i="10" s="1"/>
  <c r="P62" i="10"/>
  <c r="P13" i="10"/>
  <c r="T13" i="10" s="1"/>
  <c r="Q36" i="7"/>
  <c r="T36" i="7" s="1"/>
  <c r="P16" i="10"/>
  <c r="P15" i="10"/>
  <c r="P8" i="10"/>
  <c r="T8" i="10" s="1"/>
  <c r="P12" i="10"/>
  <c r="T12" i="10" s="1"/>
  <c r="U19" i="10"/>
  <c r="P9" i="10"/>
  <c r="T9" i="10" s="1"/>
  <c r="P61" i="10"/>
  <c r="P36" i="10"/>
  <c r="P64" i="10"/>
  <c r="T64" i="10" s="1"/>
  <c r="P45" i="10"/>
  <c r="T45" i="10" s="1"/>
  <c r="P59" i="10"/>
  <c r="T59" i="10" s="1"/>
  <c r="U20" i="10"/>
  <c r="P7" i="10"/>
  <c r="P54" i="10"/>
  <c r="T54" i="10" s="1"/>
  <c r="P55" i="10"/>
  <c r="T55" i="10" s="1"/>
  <c r="I27" i="9" s="1"/>
  <c r="P63" i="10"/>
  <c r="P51" i="10"/>
  <c r="P46" i="10"/>
  <c r="T46" i="10" s="1"/>
  <c r="P14" i="10"/>
  <c r="AK8" i="12"/>
  <c r="AK21" i="12"/>
  <c r="AK25" i="12"/>
  <c r="AK27" i="12"/>
  <c r="AK14" i="12"/>
  <c r="AK4" i="12"/>
  <c r="AK10" i="12"/>
  <c r="AK16" i="12"/>
  <c r="AK18" i="12"/>
  <c r="AK11" i="12"/>
  <c r="AK5" i="12"/>
  <c r="AK13" i="12"/>
  <c r="AK12" i="12"/>
  <c r="AK7" i="12"/>
  <c r="AK22" i="12"/>
  <c r="AK23" i="12"/>
  <c r="AK6" i="12"/>
  <c r="AK9" i="12"/>
  <c r="AK26" i="12"/>
  <c r="AK19" i="12"/>
  <c r="AK24" i="12"/>
  <c r="AK17" i="12"/>
  <c r="AK20" i="12"/>
  <c r="AK15" i="12"/>
  <c r="AL4" i="12"/>
  <c r="AQ4" i="12" s="1"/>
  <c r="AL13" i="12"/>
  <c r="AQ13" i="12" s="1"/>
  <c r="AL9" i="12"/>
  <c r="AQ9" i="12" s="1"/>
  <c r="AL7" i="12"/>
  <c r="AQ7" i="12" s="1"/>
  <c r="AL10" i="12"/>
  <c r="AQ10" i="12" s="1"/>
  <c r="AL27" i="12"/>
  <c r="AQ27" i="12" s="1"/>
  <c r="AL6" i="12"/>
  <c r="AQ6" i="12" s="1"/>
  <c r="AL14" i="12"/>
  <c r="AQ14" i="12" s="1"/>
  <c r="AL17" i="12"/>
  <c r="AQ17" i="12" s="1"/>
  <c r="AL21" i="12"/>
  <c r="AQ21" i="12" s="1"/>
  <c r="AL8" i="12"/>
  <c r="AQ8" i="12" s="1"/>
  <c r="AL26" i="12"/>
  <c r="AQ26" i="12" s="1"/>
  <c r="AL20" i="12"/>
  <c r="AQ20" i="12" s="1"/>
  <c r="AL16" i="12"/>
  <c r="AQ16" i="12" s="1"/>
  <c r="AL25" i="12"/>
  <c r="AQ25" i="12" s="1"/>
  <c r="AL12" i="12"/>
  <c r="AQ12" i="12" s="1"/>
  <c r="AL15" i="12"/>
  <c r="AQ15" i="12" s="1"/>
  <c r="AL5" i="12"/>
  <c r="AQ5" i="12" s="1"/>
  <c r="AL22" i="12"/>
  <c r="AQ22" i="12" s="1"/>
  <c r="AL23" i="12"/>
  <c r="AQ23" i="12" s="1"/>
  <c r="AL11" i="12"/>
  <c r="AQ11" i="12" s="1"/>
  <c r="AL24" i="12"/>
  <c r="AQ24" i="12" s="1"/>
  <c r="AL46" i="10"/>
  <c r="J17" i="9"/>
  <c r="Q31" i="7"/>
  <c r="T31" i="7" s="1"/>
  <c r="Q19" i="7"/>
  <c r="T19" i="7" s="1"/>
  <c r="Q16" i="7"/>
  <c r="T16" i="7" s="1"/>
  <c r="AQ65" i="10"/>
  <c r="R20" i="10"/>
  <c r="AP34" i="10"/>
  <c r="AS34" i="10" s="1"/>
  <c r="U27" i="10"/>
  <c r="R27" i="10"/>
  <c r="AP27" i="10"/>
  <c r="AS27" i="10" s="1"/>
  <c r="AQ27" i="10"/>
  <c r="AQ28" i="10"/>
  <c r="AP60" i="10"/>
  <c r="AS60" i="10" s="1"/>
  <c r="AQ31" i="10"/>
  <c r="AQ48" i="10"/>
  <c r="R58" i="10"/>
  <c r="R8" i="10"/>
  <c r="AQ13" i="10"/>
  <c r="AQ8" i="10"/>
  <c r="U35" i="10"/>
  <c r="R35" i="10"/>
  <c r="R16" i="10"/>
  <c r="AQ25" i="10"/>
  <c r="R38" i="10"/>
  <c r="R5" i="10"/>
  <c r="AQ10" i="10"/>
  <c r="AQ63" i="10"/>
  <c r="AQ45" i="10"/>
  <c r="R54" i="10"/>
  <c r="AP38" i="10"/>
  <c r="AS38" i="10" s="1"/>
  <c r="AQ38" i="10"/>
  <c r="AQ30" i="10"/>
  <c r="R11" i="10"/>
  <c r="AQ32" i="10"/>
  <c r="U26" i="10"/>
  <c r="R26" i="10"/>
  <c r="AQ15" i="10"/>
  <c r="AQ24" i="10"/>
  <c r="Q8" i="7"/>
  <c r="T8" i="7" s="1"/>
  <c r="AQ22" i="10"/>
  <c r="AQ12" i="10"/>
  <c r="R47" i="10"/>
  <c r="R32" i="10"/>
  <c r="R25" i="10"/>
  <c r="AQ67" i="10"/>
  <c r="AP11" i="10"/>
  <c r="AS11" i="10" s="1"/>
  <c r="AQ55" i="10"/>
  <c r="AQ33" i="10"/>
  <c r="R53" i="10"/>
  <c r="R37" i="10"/>
  <c r="AQ61" i="10"/>
  <c r="R33" i="10"/>
  <c r="AQ36" i="10"/>
  <c r="R13" i="10"/>
  <c r="AQ14" i="10"/>
  <c r="R59" i="10"/>
  <c r="AQ40" i="10"/>
  <c r="R66" i="10"/>
  <c r="AQ5" i="10"/>
  <c r="R57" i="10"/>
  <c r="U21" i="10"/>
  <c r="R21" i="10"/>
  <c r="R51" i="10"/>
  <c r="R61" i="10"/>
  <c r="U65" i="10"/>
  <c r="U17" i="10"/>
  <c r="R17" i="10"/>
  <c r="U22" i="10"/>
  <c r="R22" i="10"/>
  <c r="R55" i="10"/>
  <c r="AQ29" i="10"/>
  <c r="Q20" i="7"/>
  <c r="T20" i="7" s="1"/>
  <c r="Q5" i="7"/>
  <c r="T5" i="7" s="1"/>
  <c r="Q26" i="7"/>
  <c r="T26" i="7" s="1"/>
  <c r="Q15" i="7"/>
  <c r="T15" i="7" s="1"/>
  <c r="Q13" i="7"/>
  <c r="T13" i="7" s="1"/>
  <c r="Q28" i="7"/>
  <c r="T28" i="7" s="1"/>
  <c r="Q35" i="7"/>
  <c r="T35" i="7" s="1"/>
  <c r="Q22" i="7"/>
  <c r="T22" i="7" s="1"/>
  <c r="Q9" i="7"/>
  <c r="T9" i="7" s="1"/>
  <c r="Q24" i="7"/>
  <c r="T24" i="7" s="1"/>
  <c r="Q18" i="7"/>
  <c r="T18" i="7" s="1"/>
  <c r="Q37" i="7"/>
  <c r="T37" i="7" s="1"/>
  <c r="Q14" i="7"/>
  <c r="T14" i="7" s="1"/>
  <c r="Q33" i="7"/>
  <c r="T33" i="7" s="1"/>
  <c r="Q23" i="7"/>
  <c r="T23" i="7" s="1"/>
  <c r="Q7" i="7"/>
  <c r="T7" i="7" s="1"/>
  <c r="Q10" i="7"/>
  <c r="T10" i="7" s="1"/>
  <c r="Q29" i="7"/>
  <c r="T29" i="7" s="1"/>
  <c r="Q11" i="7"/>
  <c r="T11" i="7" s="1"/>
  <c r="Q12" i="7"/>
  <c r="T12" i="7" s="1"/>
  <c r="Q34" i="7"/>
  <c r="T34" i="7" s="1"/>
  <c r="Q39" i="7"/>
  <c r="T39" i="7" s="1"/>
  <c r="Q21" i="7"/>
  <c r="T21" i="7" s="1"/>
  <c r="Q38" i="7"/>
  <c r="T38" i="7" s="1"/>
  <c r="Q6" i="7"/>
  <c r="T6" i="7" s="1"/>
  <c r="Q25" i="7"/>
  <c r="T25" i="7" s="1"/>
  <c r="Q40" i="7"/>
  <c r="T40" i="7" s="1"/>
  <c r="Q30" i="7"/>
  <c r="T30" i="7" s="1"/>
  <c r="Q27" i="7"/>
  <c r="T27" i="7" s="1"/>
  <c r="Q17" i="7"/>
  <c r="T17" i="7" s="1"/>
  <c r="Q32" i="7"/>
  <c r="T32" i="7" s="1"/>
  <c r="J14" i="2"/>
  <c r="D40" i="1"/>
  <c r="D48" i="1"/>
  <c r="D34" i="1"/>
  <c r="D42" i="1"/>
  <c r="D50" i="1"/>
  <c r="D35" i="1"/>
  <c r="D36" i="1"/>
  <c r="D44" i="1"/>
  <c r="D49" i="1"/>
  <c r="D37" i="1"/>
  <c r="D45" i="1"/>
  <c r="D43" i="1"/>
  <c r="D38" i="1"/>
  <c r="D46" i="1"/>
  <c r="D41" i="1"/>
  <c r="D39" i="1"/>
  <c r="D47" i="1"/>
  <c r="D33" i="1"/>
  <c r="J15" i="2"/>
  <c r="J16" i="2"/>
  <c r="M6" i="1"/>
  <c r="M20" i="1"/>
  <c r="M3" i="1"/>
  <c r="H15" i="9" l="1"/>
  <c r="AP32" i="10"/>
  <c r="AS32" i="10" s="1"/>
  <c r="AP31" i="10"/>
  <c r="AS31" i="10" s="1"/>
  <c r="AQ21" i="10"/>
  <c r="G12" i="9" s="1"/>
  <c r="Q5" i="10"/>
  <c r="U5" i="10" s="1"/>
  <c r="H19" i="9"/>
  <c r="AP29" i="10"/>
  <c r="AS29" i="10" s="1"/>
  <c r="Q36" i="10"/>
  <c r="Q29" i="10"/>
  <c r="U29" i="10" s="1"/>
  <c r="Q30" i="10"/>
  <c r="Q48" i="10"/>
  <c r="U48" i="10" s="1"/>
  <c r="R18" i="10"/>
  <c r="G10" i="9" s="1"/>
  <c r="AP8" i="10"/>
  <c r="AS8" i="10" s="1"/>
  <c r="AP30" i="10"/>
  <c r="AS30" i="10" s="1"/>
  <c r="AP15" i="10"/>
  <c r="AS15" i="10" s="1"/>
  <c r="H14" i="9"/>
  <c r="N14" i="9" s="1"/>
  <c r="Q34" i="10"/>
  <c r="U34" i="10" s="1"/>
  <c r="R65" i="10"/>
  <c r="R29" i="10"/>
  <c r="R36" i="10"/>
  <c r="G19" i="9" s="1"/>
  <c r="R19" i="10"/>
  <c r="R14" i="10"/>
  <c r="AP35" i="10"/>
  <c r="AS35" i="10" s="1"/>
  <c r="Q61" i="10"/>
  <c r="AP66" i="10"/>
  <c r="AS66" i="10" s="1"/>
  <c r="AP10" i="10"/>
  <c r="AS10" i="10" s="1"/>
  <c r="R24" i="10"/>
  <c r="H18" i="9"/>
  <c r="N18" i="9" s="1"/>
  <c r="H4" i="9"/>
  <c r="N4" i="9" s="1"/>
  <c r="H17" i="9"/>
  <c r="Q15" i="10"/>
  <c r="Q63" i="10"/>
  <c r="AP65" i="10"/>
  <c r="Q54" i="10"/>
  <c r="U54" i="10" s="1"/>
  <c r="AP19" i="10"/>
  <c r="AS19" i="10" s="1"/>
  <c r="AP33" i="10"/>
  <c r="AS33" i="10" s="1"/>
  <c r="AP39" i="10"/>
  <c r="AS39" i="10" s="1"/>
  <c r="AP63" i="10"/>
  <c r="AS63" i="10" s="1"/>
  <c r="H27" i="9"/>
  <c r="H20" i="9"/>
  <c r="N20" i="9" s="1"/>
  <c r="AP26" i="10"/>
  <c r="AS26" i="10" s="1"/>
  <c r="Q10" i="10"/>
  <c r="R34" i="10"/>
  <c r="R45" i="10"/>
  <c r="Q45" i="10"/>
  <c r="Q67" i="10"/>
  <c r="U67" i="10" s="1"/>
  <c r="R63" i="10"/>
  <c r="AQ26" i="10"/>
  <c r="G14" i="9" s="1"/>
  <c r="R15" i="10"/>
  <c r="R48" i="10"/>
  <c r="AP23" i="10"/>
  <c r="AS23" i="10" s="1"/>
  <c r="AP17" i="10"/>
  <c r="AS17" i="10" s="1"/>
  <c r="R67" i="10"/>
  <c r="AP49" i="10"/>
  <c r="AS49" i="10" s="1"/>
  <c r="Q59" i="10"/>
  <c r="R50" i="10"/>
  <c r="G24" i="9" s="1"/>
  <c r="Q50" i="10"/>
  <c r="U50" i="10" s="1"/>
  <c r="Q9" i="10"/>
  <c r="U9" i="10" s="1"/>
  <c r="Q37" i="10"/>
  <c r="U37" i="10" s="1"/>
  <c r="Q38" i="10"/>
  <c r="AP52" i="10"/>
  <c r="AS52" i="10" s="1"/>
  <c r="Q31" i="10"/>
  <c r="U31" i="10" s="1"/>
  <c r="R10" i="10"/>
  <c r="G6" i="9" s="1"/>
  <c r="I22" i="9"/>
  <c r="I23" i="9"/>
  <c r="Q40" i="10"/>
  <c r="U40" i="10" s="1"/>
  <c r="Q53" i="10"/>
  <c r="Q51" i="10"/>
  <c r="U51" i="10" s="1"/>
  <c r="Q33" i="10"/>
  <c r="R23" i="10"/>
  <c r="AQ6" i="10"/>
  <c r="AP57" i="10"/>
  <c r="AS57" i="10" s="1"/>
  <c r="R64" i="10"/>
  <c r="Q64" i="10"/>
  <c r="U64" i="10" s="1"/>
  <c r="Q6" i="10"/>
  <c r="U6" i="10" s="1"/>
  <c r="Q60" i="10"/>
  <c r="U60" i="10" s="1"/>
  <c r="Q46" i="10"/>
  <c r="R52" i="10"/>
  <c r="Q52" i="10"/>
  <c r="U52" i="10" s="1"/>
  <c r="Q47" i="10"/>
  <c r="Q57" i="10"/>
  <c r="U57" i="10" s="1"/>
  <c r="R31" i="10"/>
  <c r="G17" i="9" s="1"/>
  <c r="R28" i="10"/>
  <c r="G15" i="9" s="1"/>
  <c r="Q49" i="10"/>
  <c r="Q11" i="10"/>
  <c r="Q56" i="10"/>
  <c r="Q58" i="10"/>
  <c r="R62" i="10"/>
  <c r="G30" i="9" s="1"/>
  <c r="Q62" i="10"/>
  <c r="U62" i="10" s="1"/>
  <c r="Q39" i="10"/>
  <c r="U39" i="10" s="1"/>
  <c r="Q8" i="10"/>
  <c r="Q32" i="10"/>
  <c r="U32" i="10" s="1"/>
  <c r="R68" i="10"/>
  <c r="Q68" i="10"/>
  <c r="U68" i="10" s="1"/>
  <c r="Q16" i="10"/>
  <c r="Q13" i="10"/>
  <c r="U13" i="10" s="1"/>
  <c r="Q12" i="10"/>
  <c r="U12" i="10" s="1"/>
  <c r="Q7" i="10"/>
  <c r="U33" i="10"/>
  <c r="AP24" i="10"/>
  <c r="AS24" i="10" s="1"/>
  <c r="T51" i="10"/>
  <c r="I25" i="9" s="1"/>
  <c r="T62" i="10"/>
  <c r="H23" i="9"/>
  <c r="H31" i="9"/>
  <c r="N31" i="9" s="1"/>
  <c r="I21" i="9"/>
  <c r="AP40" i="10"/>
  <c r="AS40" i="10" s="1"/>
  <c r="U63" i="10"/>
  <c r="T63" i="10"/>
  <c r="I31" i="9" s="1"/>
  <c r="T60" i="10"/>
  <c r="I29" i="9" s="1"/>
  <c r="I33" i="9"/>
  <c r="AP22" i="10"/>
  <c r="AS22" i="10" s="1"/>
  <c r="U36" i="10"/>
  <c r="V33" i="10" s="1"/>
  <c r="T36" i="10"/>
  <c r="I19" i="9" s="1"/>
  <c r="I26" i="9"/>
  <c r="AP48" i="10"/>
  <c r="AS48" i="10" s="1"/>
  <c r="U15" i="10"/>
  <c r="C9" i="9" s="1"/>
  <c r="T15" i="10"/>
  <c r="I7" i="9"/>
  <c r="U61" i="10"/>
  <c r="T61" i="10"/>
  <c r="T57" i="10"/>
  <c r="I28" i="9" s="1"/>
  <c r="U14" i="10"/>
  <c r="T14" i="10"/>
  <c r="I8" i="9" s="1"/>
  <c r="U7" i="10"/>
  <c r="T7" i="10"/>
  <c r="I5" i="9" s="1"/>
  <c r="I6" i="9"/>
  <c r="U16" i="10"/>
  <c r="T16" i="10"/>
  <c r="U49" i="10"/>
  <c r="T49" i="10"/>
  <c r="I24" i="9" s="1"/>
  <c r="H22" i="9"/>
  <c r="N22" i="9" s="1"/>
  <c r="H25" i="9"/>
  <c r="N25" i="9" s="1"/>
  <c r="H21" i="9"/>
  <c r="N21" i="9" s="1"/>
  <c r="U8" i="10"/>
  <c r="U46" i="10"/>
  <c r="AP59" i="10"/>
  <c r="AS59" i="10" s="1"/>
  <c r="AP45" i="10"/>
  <c r="AS45" i="10" s="1"/>
  <c r="AP62" i="10"/>
  <c r="AS62" i="10" s="1"/>
  <c r="H33" i="9"/>
  <c r="N33" i="9" s="1"/>
  <c r="H5" i="9"/>
  <c r="N5" i="9" s="1"/>
  <c r="H30" i="9"/>
  <c r="N30" i="9" s="1"/>
  <c r="G29" i="9"/>
  <c r="H29" i="9"/>
  <c r="N29" i="9" s="1"/>
  <c r="U38" i="10"/>
  <c r="AP51" i="10"/>
  <c r="AS51" i="10" s="1"/>
  <c r="AP68" i="10"/>
  <c r="AS68" i="10" s="1"/>
  <c r="AP58" i="10"/>
  <c r="AS58" i="10" s="1"/>
  <c r="H9" i="9"/>
  <c r="N9" i="9" s="1"/>
  <c r="H16" i="9"/>
  <c r="N16" i="9" s="1"/>
  <c r="U53" i="10"/>
  <c r="H26" i="9"/>
  <c r="N26" i="9" s="1"/>
  <c r="AP37" i="10"/>
  <c r="AS37" i="10" s="1"/>
  <c r="U56" i="10"/>
  <c r="AP56" i="10"/>
  <c r="AS56" i="10" s="1"/>
  <c r="AP64" i="10"/>
  <c r="AS64" i="10" s="1"/>
  <c r="U45" i="10"/>
  <c r="AP28" i="10"/>
  <c r="AS28" i="10" s="1"/>
  <c r="C15" i="9" s="1"/>
  <c r="AP16" i="10"/>
  <c r="AS16" i="10" s="1"/>
  <c r="AP9" i="10"/>
  <c r="AS9" i="10" s="1"/>
  <c r="AP54" i="10"/>
  <c r="AS54" i="10" s="1"/>
  <c r="U47" i="10"/>
  <c r="H32" i="9"/>
  <c r="N32" i="9" s="1"/>
  <c r="H24" i="9"/>
  <c r="N24" i="9" s="1"/>
  <c r="H8" i="9"/>
  <c r="N8" i="9" s="1"/>
  <c r="AP36" i="10"/>
  <c r="AS36" i="10" s="1"/>
  <c r="AP12" i="10"/>
  <c r="AS12" i="10" s="1"/>
  <c r="U59" i="10"/>
  <c r="AP25" i="10"/>
  <c r="AS25" i="10" s="1"/>
  <c r="H6" i="9"/>
  <c r="N6" i="9" s="1"/>
  <c r="H28" i="9"/>
  <c r="N28" i="9" s="1"/>
  <c r="H7" i="9"/>
  <c r="N7" i="9" s="1"/>
  <c r="AP47" i="10"/>
  <c r="AS47" i="10" s="1"/>
  <c r="U30" i="10"/>
  <c r="AP53" i="10"/>
  <c r="AS53" i="10" s="1"/>
  <c r="AP46" i="10"/>
  <c r="AS46" i="10" s="1"/>
  <c r="H13" i="9"/>
  <c r="N13" i="9" s="1"/>
  <c r="H12" i="9"/>
  <c r="N12" i="9" s="1"/>
  <c r="H11" i="9"/>
  <c r="N11" i="9" s="1"/>
  <c r="G28" i="9"/>
  <c r="U55" i="10"/>
  <c r="H10" i="9"/>
  <c r="N10" i="9" s="1"/>
  <c r="U11" i="10"/>
  <c r="N19" i="9"/>
  <c r="AP14" i="10"/>
  <c r="AS14" i="10" s="1"/>
  <c r="AT13" i="10" s="1"/>
  <c r="U10" i="10"/>
  <c r="AP7" i="10"/>
  <c r="AS7" i="10" s="1"/>
  <c r="AP61" i="10"/>
  <c r="AS61" i="10" s="1"/>
  <c r="AP18" i="10"/>
  <c r="AS18" i="10" s="1"/>
  <c r="U58" i="10"/>
  <c r="AP50" i="10"/>
  <c r="AS50" i="10" s="1"/>
  <c r="AQ46" i="10"/>
  <c r="AP67" i="10"/>
  <c r="AS67" i="10" s="1"/>
  <c r="AP20" i="10"/>
  <c r="AS20" i="10" s="1"/>
  <c r="C11" i="9" s="1"/>
  <c r="U23" i="10"/>
  <c r="AO23" i="12"/>
  <c r="AR23" i="12" s="1"/>
  <c r="AP23" i="12"/>
  <c r="AP20" i="12"/>
  <c r="AO20" i="12"/>
  <c r="AR20" i="12" s="1"/>
  <c r="AO22" i="12"/>
  <c r="AR22" i="12" s="1"/>
  <c r="AP22" i="12"/>
  <c r="AP10" i="12"/>
  <c r="AO10" i="12"/>
  <c r="AR10" i="12" s="1"/>
  <c r="AP17" i="12"/>
  <c r="AO17" i="12"/>
  <c r="AR17" i="12" s="1"/>
  <c r="AO7" i="12"/>
  <c r="AR7" i="12" s="1"/>
  <c r="AP7" i="12"/>
  <c r="AP4" i="12"/>
  <c r="AO4" i="12"/>
  <c r="AR4" i="12" s="1"/>
  <c r="AS4" i="12" s="1"/>
  <c r="AP15" i="12"/>
  <c r="AO15" i="12"/>
  <c r="AR15" i="12" s="1"/>
  <c r="AO24" i="12"/>
  <c r="AR24" i="12" s="1"/>
  <c r="AS24" i="12" s="1"/>
  <c r="AP24" i="12"/>
  <c r="AP12" i="12"/>
  <c r="AO12" i="12"/>
  <c r="AR12" i="12" s="1"/>
  <c r="AS12" i="12" s="1"/>
  <c r="AO14" i="12"/>
  <c r="AR14" i="12" s="1"/>
  <c r="AP14" i="12"/>
  <c r="AO16" i="12"/>
  <c r="AR16" i="12" s="1"/>
  <c r="AS16" i="12" s="1"/>
  <c r="AP16" i="12"/>
  <c r="AP19" i="12"/>
  <c r="AO19" i="12"/>
  <c r="AR19" i="12" s="1"/>
  <c r="AP13" i="12"/>
  <c r="AO13" i="12"/>
  <c r="AR13" i="12" s="1"/>
  <c r="AP27" i="12"/>
  <c r="AO27" i="12"/>
  <c r="AR27" i="12" s="1"/>
  <c r="AP26" i="12"/>
  <c r="AO26" i="12"/>
  <c r="AR26" i="12" s="1"/>
  <c r="AP5" i="12"/>
  <c r="AO5" i="12"/>
  <c r="AR5" i="12" s="1"/>
  <c r="AP25" i="12"/>
  <c r="AO25" i="12"/>
  <c r="AR25" i="12" s="1"/>
  <c r="AO9" i="12"/>
  <c r="AR9" i="12" s="1"/>
  <c r="AP9" i="12"/>
  <c r="AP11" i="12"/>
  <c r="AO11" i="12"/>
  <c r="AR11" i="12" s="1"/>
  <c r="AP21" i="12"/>
  <c r="AO21" i="12"/>
  <c r="AR21" i="12" s="1"/>
  <c r="AP6" i="12"/>
  <c r="AO6" i="12"/>
  <c r="AR6" i="12" s="1"/>
  <c r="AO18" i="12"/>
  <c r="AR18" i="12" s="1"/>
  <c r="AP18" i="12"/>
  <c r="AP8" i="12"/>
  <c r="AO8" i="12"/>
  <c r="AR8" i="12" s="1"/>
  <c r="AS8" i="12" s="1"/>
  <c r="N17" i="9"/>
  <c r="N27" i="9"/>
  <c r="N15" i="9"/>
  <c r="N23" i="9"/>
  <c r="C12" i="9"/>
  <c r="G11" i="9"/>
  <c r="V17" i="10"/>
  <c r="G20" i="9"/>
  <c r="G18" i="9"/>
  <c r="G27" i="9"/>
  <c r="G26" i="9"/>
  <c r="AT5" i="10"/>
  <c r="G21" i="9"/>
  <c r="AT29" i="10"/>
  <c r="G32" i="9"/>
  <c r="G7" i="9"/>
  <c r="V65" i="10"/>
  <c r="G16" i="9"/>
  <c r="G5" i="9"/>
  <c r="G8" i="9"/>
  <c r="G9" i="9"/>
  <c r="G23" i="9"/>
  <c r="G4" i="9"/>
  <c r="G33" i="9"/>
  <c r="G25" i="9"/>
  <c r="AS65" i="10"/>
  <c r="AT65" i="10" s="1"/>
  <c r="AT21" i="10"/>
  <c r="V25" i="10"/>
  <c r="U17" i="7"/>
  <c r="U33" i="7"/>
  <c r="U25" i="7"/>
  <c r="U5" i="7"/>
  <c r="U37" i="7"/>
  <c r="U9" i="7"/>
  <c r="U29" i="7"/>
  <c r="U13" i="7"/>
  <c r="U21" i="7"/>
  <c r="S33" i="1"/>
  <c r="H47" i="1"/>
  <c r="S44" i="1"/>
  <c r="H44" i="1"/>
  <c r="S36" i="1"/>
  <c r="H36" i="1"/>
  <c r="S50" i="1"/>
  <c r="H50" i="1"/>
  <c r="S39" i="1"/>
  <c r="H39" i="1"/>
  <c r="S46" i="1"/>
  <c r="H46" i="1"/>
  <c r="S42" i="1"/>
  <c r="H42" i="1"/>
  <c r="S41" i="1"/>
  <c r="H41" i="1"/>
  <c r="S35" i="1"/>
  <c r="H35" i="1"/>
  <c r="S38" i="1"/>
  <c r="H38" i="1"/>
  <c r="S43" i="1"/>
  <c r="H43" i="1"/>
  <c r="S45" i="1"/>
  <c r="H45" i="1"/>
  <c r="S34" i="1"/>
  <c r="H34" i="1"/>
  <c r="H33" i="1"/>
  <c r="S37" i="1"/>
  <c r="H37" i="1"/>
  <c r="S48" i="1"/>
  <c r="H48" i="1"/>
  <c r="S47" i="1"/>
  <c r="S49" i="1"/>
  <c r="H49" i="1"/>
  <c r="S40" i="1"/>
  <c r="H40" i="1"/>
  <c r="AT57" i="10" l="1"/>
  <c r="C18" i="9"/>
  <c r="G13" i="9"/>
  <c r="V13" i="10"/>
  <c r="G22" i="9"/>
  <c r="C17" i="9"/>
  <c r="K17" i="9" s="1"/>
  <c r="C10" i="9"/>
  <c r="K10" i="9" s="1"/>
  <c r="C13" i="9"/>
  <c r="AT33" i="10"/>
  <c r="G31" i="9"/>
  <c r="AT61" i="10"/>
  <c r="U47" i="1"/>
  <c r="C16" i="9"/>
  <c r="K16" i="9" s="1"/>
  <c r="V67" i="10"/>
  <c r="C5" i="9"/>
  <c r="K5" i="9" s="1"/>
  <c r="AT45" i="10"/>
  <c r="C21" i="9"/>
  <c r="K21" i="9" s="1"/>
  <c r="V49" i="10"/>
  <c r="AT37" i="10"/>
  <c r="AT49" i="10"/>
  <c r="C29" i="9"/>
  <c r="K29" i="9" s="1"/>
  <c r="C25" i="9"/>
  <c r="C31" i="9"/>
  <c r="K31" i="9" s="1"/>
  <c r="V61" i="10"/>
  <c r="AT9" i="10"/>
  <c r="I30" i="9"/>
  <c r="V5" i="10"/>
  <c r="C22" i="9"/>
  <c r="K22" i="9" s="1"/>
  <c r="AT25" i="10"/>
  <c r="AT53" i="10"/>
  <c r="I9" i="9"/>
  <c r="C28" i="9"/>
  <c r="K28" i="9" s="1"/>
  <c r="C20" i="9"/>
  <c r="K20" i="9" s="1"/>
  <c r="V37" i="10"/>
  <c r="C4" i="9"/>
  <c r="C7" i="9"/>
  <c r="K7" i="9" s="1"/>
  <c r="C23" i="9"/>
  <c r="K23" i="9" s="1"/>
  <c r="V53" i="10"/>
  <c r="V29" i="10"/>
  <c r="C30" i="9"/>
  <c r="K30" i="9" s="1"/>
  <c r="C19" i="9"/>
  <c r="K19" i="9" s="1"/>
  <c r="C26" i="9"/>
  <c r="V21" i="10"/>
  <c r="C14" i="9"/>
  <c r="K14" i="9" s="1"/>
  <c r="V45" i="10"/>
  <c r="C24" i="9"/>
  <c r="AT67" i="10"/>
  <c r="C27" i="9"/>
  <c r="K27" i="9" s="1"/>
  <c r="C6" i="9"/>
  <c r="K6" i="9" s="1"/>
  <c r="AT17" i="10"/>
  <c r="V57" i="10"/>
  <c r="C8" i="9"/>
  <c r="K8" i="9" s="1"/>
  <c r="C33" i="9"/>
  <c r="V9" i="10"/>
  <c r="M13" i="9"/>
  <c r="K13" i="9"/>
  <c r="M11" i="9"/>
  <c r="M12" i="9"/>
  <c r="AS20" i="12"/>
  <c r="M33" i="9"/>
  <c r="M25" i="9"/>
  <c r="M23" i="9"/>
  <c r="K18" i="9"/>
  <c r="M28" i="9"/>
  <c r="M14" i="9"/>
  <c r="M24" i="9"/>
  <c r="M18" i="9"/>
  <c r="M22" i="9"/>
  <c r="M30" i="9"/>
  <c r="M20" i="9"/>
  <c r="M4" i="9"/>
  <c r="K11" i="9"/>
  <c r="M19" i="9"/>
  <c r="M16" i="9"/>
  <c r="M15" i="9"/>
  <c r="M10" i="9"/>
  <c r="K12" i="9"/>
  <c r="M27" i="9"/>
  <c r="M9" i="9"/>
  <c r="M5" i="9"/>
  <c r="M6" i="9"/>
  <c r="M31" i="9"/>
  <c r="M8" i="9"/>
  <c r="K9" i="9"/>
  <c r="M29" i="9"/>
  <c r="M7" i="9"/>
  <c r="M21" i="9"/>
  <c r="M17" i="9"/>
  <c r="M32" i="9"/>
  <c r="K25" i="9"/>
  <c r="M26" i="9"/>
  <c r="K15" i="9"/>
  <c r="U43" i="1"/>
  <c r="U45" i="1"/>
  <c r="U37" i="1"/>
  <c r="U49" i="1"/>
  <c r="U39" i="1"/>
  <c r="U35" i="1"/>
  <c r="C32" i="9"/>
  <c r="U41" i="1"/>
  <c r="U33" i="1"/>
  <c r="K24" i="9" l="1"/>
  <c r="K26" i="9"/>
  <c r="K33" i="9"/>
  <c r="K4" i="9"/>
  <c r="K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tc={958DE138-174B-4F89-B33F-E76587419EAD}</author>
  </authors>
  <commentList>
    <comment ref="G2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Dilución 1:100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tc={1F8D0D64-2D13-4882-9490-847430384F2D}</author>
  </authors>
  <commentList>
    <comment ref="E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Celobiosa 0,5%
</t>
        </r>
      </text>
    </comment>
    <comment ref="G24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Obtenido del perfil de aminoácidos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Del NREL
EN BASE SECA</t>
        </r>
      </text>
    </comment>
    <comment ref="P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Del NREL
EN BASE SECA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tc={689ED001-DC16-413D-9A15-C20D49D50AA1}</author>
    <author>tc={3DA3C818-0865-4B4A-925A-AEB9EDF087CF}</author>
    <author>tc={689ED001-DC16-413E-9A15-C20D49D50AA1}</author>
    <author>tc={F3208AEE-32C0-4BC5-BD7B-34DE7809C993}</author>
    <author>tc={1C06CCD8-5857-4E5C-AFAD-5D9C6089CAEE}</author>
  </authors>
  <commentList>
    <comment ref="AP4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Suponiendo que la densidad es igual a las del agua en las muestras LIQUIDAS (g/L)</t>
      </text>
    </comment>
    <comment ref="U6" authorId="1" shapeId="0" xr:uid="{00000000-0006-0000-06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Obtenido del perfil de aminoácidos</t>
      </text>
    </comment>
    <comment ref="AP19" authorId="2" shapeId="0" xr:uid="{00000000-0006-0000-06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Suponiendo que la densidad es igual a las del agua en las muestras LIQUIDAS (g/L)</t>
      </text>
    </comment>
    <comment ref="AP56" authorId="3" shapeId="0" xr:uid="{00000000-0006-0000-06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Suponiendo que la densidad es igual a las del agua en las muestras LIQUIDAS (g/L)</t>
      </text>
    </comment>
    <comment ref="AP66" authorId="4" shapeId="0" xr:uid="{00000000-0006-0000-06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Suponiendo que la densidad es igual a las del agua en las muestras LIQUIDAS (g/L)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ATX</author>
  </authors>
  <commentList>
    <comment ref="T4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ATX:</t>
        </r>
        <r>
          <rPr>
            <sz val="9"/>
            <color indexed="81"/>
            <rFont val="Tahoma"/>
            <family val="2"/>
          </rPr>
          <t xml:space="preserve">
Calcular el porcentaje de celobiosa a glucosa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ATX</author>
  </authors>
  <commentList>
    <comment ref="U4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ATX:</t>
        </r>
        <r>
          <rPr>
            <sz val="9"/>
            <color indexed="81"/>
            <rFont val="Tahoma"/>
            <family val="2"/>
          </rPr>
          <t xml:space="preserve">
Calcular el porcentaje de celobiosa a glucosa</t>
        </r>
      </text>
    </comment>
    <comment ref="AS4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ATX:</t>
        </r>
        <r>
          <rPr>
            <sz val="9"/>
            <color indexed="81"/>
            <rFont val="Tahoma"/>
            <family val="2"/>
          </rPr>
          <t xml:space="preserve">
Calcular el porcentaje de celobiosa a glucosa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H10" authorId="0" shapeId="0" xr:uid="{9355C70C-C465-4749-AD4D-1F5E5EAD4D7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Del NREL
EN BASE SECA</t>
        </r>
      </text>
    </comment>
  </commentList>
</comments>
</file>

<file path=xl/sharedStrings.xml><?xml version="1.0" encoding="utf-8"?>
<sst xmlns="http://schemas.openxmlformats.org/spreadsheetml/2006/main" count="2363" uniqueCount="382">
  <si>
    <t>Experimento</t>
  </si>
  <si>
    <t>Hidrólisis</t>
  </si>
  <si>
    <t>Enzima</t>
  </si>
  <si>
    <t>Reactivo</t>
  </si>
  <si>
    <t>Concentración</t>
  </si>
  <si>
    <t>Temperatura (ºC)</t>
  </si>
  <si>
    <t>Tiempo (h)</t>
  </si>
  <si>
    <t>pH</t>
  </si>
  <si>
    <t>Pretratamiento</t>
  </si>
  <si>
    <t>[alga] (%)</t>
  </si>
  <si>
    <t>m alga seca (g)</t>
  </si>
  <si>
    <t>m alga real (g)</t>
  </si>
  <si>
    <t>m total (g)</t>
  </si>
  <si>
    <t>X1A</t>
  </si>
  <si>
    <t>Ácida</t>
  </si>
  <si>
    <t>HCl</t>
  </si>
  <si>
    <t>2 M</t>
  </si>
  <si>
    <t>Erlenmeyer de 500 mL</t>
  </si>
  <si>
    <t>X1B</t>
  </si>
  <si>
    <t>X2A</t>
  </si>
  <si>
    <t>Ultrasonidos</t>
  </si>
  <si>
    <t>UAE</t>
  </si>
  <si>
    <t>X2B</t>
  </si>
  <si>
    <t>Potencia (J/s)</t>
  </si>
  <si>
    <t>Mínimo (60%)</t>
  </si>
  <si>
    <t>X3A</t>
  </si>
  <si>
    <t>Concentración (%)</t>
  </si>
  <si>
    <t>X3B</t>
  </si>
  <si>
    <t>Tiempo (min)</t>
  </si>
  <si>
    <t>X4A</t>
  </si>
  <si>
    <t>Alcalina</t>
  </si>
  <si>
    <t>NaOH</t>
  </si>
  <si>
    <t>Tiempo (s)</t>
  </si>
  <si>
    <t>X4B</t>
  </si>
  <si>
    <t>Energía (J/g TS)</t>
  </si>
  <si>
    <t>X5A</t>
  </si>
  <si>
    <t>X5B</t>
  </si>
  <si>
    <t>Molino bolas</t>
  </si>
  <si>
    <t>MAE</t>
  </si>
  <si>
    <t>X6A</t>
  </si>
  <si>
    <t>Tamaño (mm)</t>
  </si>
  <si>
    <t>Potencia (W)</t>
  </si>
  <si>
    <t>X6B</t>
  </si>
  <si>
    <t>Medianas</t>
  </si>
  <si>
    <t>Frecuencia (GHz)</t>
  </si>
  <si>
    <t>X7A</t>
  </si>
  <si>
    <t>Enzimática</t>
  </si>
  <si>
    <t>Protamex</t>
  </si>
  <si>
    <t>1:100 w/w</t>
  </si>
  <si>
    <t>X7B</t>
  </si>
  <si>
    <t>X8A</t>
  </si>
  <si>
    <t>Ultrasonido</t>
  </si>
  <si>
    <t>Hidrólisis enzimática</t>
  </si>
  <si>
    <t>X8B</t>
  </si>
  <si>
    <t>X9A</t>
  </si>
  <si>
    <t>Ninguna</t>
  </si>
  <si>
    <t>[] w/w Protamex</t>
  </si>
  <si>
    <t>1::100</t>
  </si>
  <si>
    <t>X9B</t>
  </si>
  <si>
    <t>masa (g)</t>
  </si>
  <si>
    <t>X10A</t>
  </si>
  <si>
    <t>[] Celluclast</t>
  </si>
  <si>
    <t>10 FPU</t>
  </si>
  <si>
    <t>X10B</t>
  </si>
  <si>
    <t>Volumen (mL)</t>
  </si>
  <si>
    <t>X11A</t>
  </si>
  <si>
    <t>Al mejor de protamex, aplicar ozono y UV y ver si mejora (probar también solo con ozono, ozono + HE)</t>
  </si>
  <si>
    <t>X11B</t>
  </si>
  <si>
    <t>X12A</t>
  </si>
  <si>
    <t>Pro + Cel</t>
  </si>
  <si>
    <t>1:100 w/w + 10 FPU</t>
  </si>
  <si>
    <t>X12B</t>
  </si>
  <si>
    <t>X13A</t>
  </si>
  <si>
    <t>X13B</t>
  </si>
  <si>
    <t>X14A</t>
  </si>
  <si>
    <t>X14B</t>
  </si>
  <si>
    <t>m matraz (g)</t>
  </si>
  <si>
    <t>m alga (g)</t>
  </si>
  <si>
    <t>m matraz + alga (g)</t>
  </si>
  <si>
    <t>m final (g)</t>
  </si>
  <si>
    <r>
      <t>m total</t>
    </r>
    <r>
      <rPr>
        <vertAlign val="subscript"/>
        <sz val="11"/>
        <color theme="0"/>
        <rFont val="Calibri"/>
        <family val="2"/>
        <scheme val="minor"/>
      </rPr>
      <t>o</t>
    </r>
    <r>
      <rPr>
        <sz val="11"/>
        <color theme="0"/>
        <rFont val="Calibri"/>
        <family val="2"/>
        <scheme val="minor"/>
      </rPr>
      <t xml:space="preserve"> (g)</t>
    </r>
  </si>
  <si>
    <t>m pellet (g)</t>
  </si>
  <si>
    <t>m sobrenadante (g)</t>
  </si>
  <si>
    <r>
      <t>m total</t>
    </r>
    <r>
      <rPr>
        <vertAlign val="subscript"/>
        <sz val="11"/>
        <color theme="0"/>
        <rFont val="Calibri"/>
        <family val="2"/>
        <scheme val="minor"/>
      </rPr>
      <t>F</t>
    </r>
    <r>
      <rPr>
        <sz val="11"/>
        <color theme="0"/>
        <rFont val="Calibri"/>
        <family val="2"/>
        <scheme val="minor"/>
      </rPr>
      <t xml:space="preserve"> (g)</t>
    </r>
  </si>
  <si>
    <t>Balance masa (g)</t>
  </si>
  <si>
    <t>% pérdidas</t>
  </si>
  <si>
    <t>m vaso (g)</t>
  </si>
  <si>
    <t>m liofilizada (g)</t>
  </si>
  <si>
    <t>V sobrenadante (mL)</t>
  </si>
  <si>
    <t>Solubilización total (%)</t>
  </si>
  <si>
    <t>Fecha</t>
  </si>
  <si>
    <t>SD</t>
  </si>
  <si>
    <t>Control UAE</t>
  </si>
  <si>
    <t>Control MAE</t>
  </si>
  <si>
    <t>P+C 1 hora</t>
  </si>
  <si>
    <t>Amplitud (%)</t>
  </si>
  <si>
    <t>Inicial (W)</t>
  </si>
  <si>
    <t>Final (W)</t>
  </si>
  <si>
    <t>Control</t>
  </si>
  <si>
    <t>Presión (bar)</t>
  </si>
  <si>
    <t>Fase sólida</t>
  </si>
  <si>
    <t>Fase líquida</t>
  </si>
  <si>
    <t>Carbohidratos HA secuencia FS</t>
  </si>
  <si>
    <t>Nitrógeno</t>
  </si>
  <si>
    <t>Lípidos</t>
  </si>
  <si>
    <t>Carbohidratos</t>
  </si>
  <si>
    <t>SV</t>
  </si>
  <si>
    <t>OK</t>
  </si>
  <si>
    <t>Electroforesis</t>
  </si>
  <si>
    <t>Dilucion 1:50 en las muestras ácidas y alcalinas</t>
  </si>
  <si>
    <t>Orden bandas: 9 - 8 - 7 - 6 - 5 - 4 - 3 - 2 - 1</t>
  </si>
  <si>
    <t>BCA</t>
  </si>
  <si>
    <t>Dilución 1:10 todas las muestras</t>
  </si>
  <si>
    <t>Dilución 1:10 fase líquida</t>
  </si>
  <si>
    <t>10, 13, Control UAE</t>
  </si>
  <si>
    <t>Dilución 1:10</t>
  </si>
  <si>
    <t>Orden bandas: 10 - 11 - 12 - 13 - 14 - UAE - MAE</t>
  </si>
  <si>
    <t>OK (están preparados los viales, falta analizar en HPLC)</t>
  </si>
  <si>
    <t>OK (hecho el segundo analisis)</t>
  </si>
  <si>
    <t>OK (hecho el primer analisis)</t>
  </si>
  <si>
    <t>Composición base seca (%)</t>
  </si>
  <si>
    <t>ST (%)</t>
  </si>
  <si>
    <t>m bote (g)</t>
  </si>
  <si>
    <t>m bote+lípidos (g)</t>
  </si>
  <si>
    <t>% L</t>
  </si>
  <si>
    <t>Seca (%)</t>
  </si>
  <si>
    <t>Lípidos (%)</t>
  </si>
  <si>
    <t>Proteínas (%)</t>
  </si>
  <si>
    <t>Carbohidratos (%)</t>
  </si>
  <si>
    <t>Proteínas</t>
  </si>
  <si>
    <t>Cenizas (%)</t>
  </si>
  <si>
    <t>V valorante (mL)</t>
  </si>
  <si>
    <t>M valorante</t>
  </si>
  <si>
    <t>% N</t>
  </si>
  <si>
    <t>% P</t>
  </si>
  <si>
    <t>Glucosa (%)</t>
  </si>
  <si>
    <t>Xilosa (%)</t>
  </si>
  <si>
    <t>Celobiosa (%)</t>
  </si>
  <si>
    <t>Composición base seca sin cenizas (%)</t>
  </si>
  <si>
    <t>m CH (mg)</t>
  </si>
  <si>
    <t>% CH</t>
  </si>
  <si>
    <t>% Glucosa</t>
  </si>
  <si>
    <t>% Xilosa</t>
  </si>
  <si>
    <t>Glucosa</t>
  </si>
  <si>
    <t>Sólidos</t>
  </si>
  <si>
    <t>Xilosa</t>
  </si>
  <si>
    <t>m crisol (g)</t>
  </si>
  <si>
    <t>m crisol + alga (g)</t>
  </si>
  <si>
    <t>m 105º (g)</t>
  </si>
  <si>
    <t>m 550ºC (g)</t>
  </si>
  <si>
    <t>SV (%)</t>
  </si>
  <si>
    <t>Lipids</t>
  </si>
  <si>
    <t>Aminoácido (mg/g)</t>
  </si>
  <si>
    <t>Proteins</t>
  </si>
  <si>
    <t>Ácido aspártico</t>
  </si>
  <si>
    <t>Factor N/P</t>
  </si>
  <si>
    <t>Carbohydrates</t>
  </si>
  <si>
    <t>Ácido glutámico</t>
  </si>
  <si>
    <t>Ash</t>
  </si>
  <si>
    <t>Serina</t>
  </si>
  <si>
    <t>Histidina</t>
  </si>
  <si>
    <t>Glicina</t>
  </si>
  <si>
    <t>Treonina</t>
  </si>
  <si>
    <t>Arginina</t>
  </si>
  <si>
    <t>Alanina</t>
  </si>
  <si>
    <t>Tirosina</t>
  </si>
  <si>
    <t>Cisteína</t>
  </si>
  <si>
    <t>Valina</t>
  </si>
  <si>
    <t>Metionina</t>
  </si>
  <si>
    <t>Fenilalanina</t>
  </si>
  <si>
    <t>Isoleucina</t>
  </si>
  <si>
    <t>Leucina</t>
  </si>
  <si>
    <t>Lisina</t>
  </si>
  <si>
    <t>Prolina</t>
  </si>
  <si>
    <t>&lt;&lt;</t>
  </si>
  <si>
    <t>DISOLUCIONES PATRÓN CARBOHIDRATOS</t>
  </si>
  <si>
    <t>GLUCOSA (masa = 0,2017 g)</t>
  </si>
  <si>
    <t>Patrón</t>
  </si>
  <si>
    <t>Masa (g)</t>
  </si>
  <si>
    <t>Concentración (mg/mL)</t>
  </si>
  <si>
    <t>Peak G HPLC</t>
  </si>
  <si>
    <t>A</t>
  </si>
  <si>
    <t>B</t>
  </si>
  <si>
    <t>Arabinosa</t>
  </si>
  <si>
    <t>ARABINOSA (masa = 0,1109 g)</t>
  </si>
  <si>
    <t>Celobiosa</t>
  </si>
  <si>
    <t>XILOSA (masa = 0,1099 g)</t>
  </si>
  <si>
    <t>CELOBIOSA (masa = 0,1008 g)</t>
  </si>
  <si>
    <t>Pureza proteínas (si tengo 100 g de SV, cuantos son proteínas)</t>
  </si>
  <si>
    <t>%ST</t>
  </si>
  <si>
    <t>%Ceniza</t>
  </si>
  <si>
    <t xml:space="preserve">%SV </t>
  </si>
  <si>
    <t>g SV</t>
  </si>
  <si>
    <t>m crisol + muestra (g)</t>
  </si>
  <si>
    <t>ST (g/kg)</t>
  </si>
  <si>
    <t>Ceniza (g/kg)</t>
  </si>
  <si>
    <t>SV (g/kg)</t>
  </si>
  <si>
    <t>Proteínas (g)</t>
  </si>
  <si>
    <t>SV (g)</t>
  </si>
  <si>
    <t>Sobrenadante (kg)</t>
  </si>
  <si>
    <t>Pureza (%)</t>
  </si>
  <si>
    <t>Acid</t>
  </si>
  <si>
    <t>120ºC</t>
  </si>
  <si>
    <t>60ºC</t>
  </si>
  <si>
    <t>40ºC</t>
  </si>
  <si>
    <t>Alkaline</t>
  </si>
  <si>
    <t>Enzymatic</t>
  </si>
  <si>
    <t>UAEE (P)</t>
  </si>
  <si>
    <t>MAEE (P)</t>
  </si>
  <si>
    <t>Prot + Cell</t>
  </si>
  <si>
    <t>UAEE (P+C)</t>
  </si>
  <si>
    <t>MAEE (P+C)</t>
  </si>
  <si>
    <t xml:space="preserve">P </t>
  </si>
  <si>
    <t>UAEE P</t>
  </si>
  <si>
    <t>MAEE P</t>
  </si>
  <si>
    <t>P+C</t>
  </si>
  <si>
    <t>UAEE P+C</t>
  </si>
  <si>
    <t>MAEE P+C</t>
  </si>
  <si>
    <t>Inicial</t>
  </si>
  <si>
    <t>The high levels of ash in the hydrolysates could be attributed to salt</t>
  </si>
  <si>
    <t>formation during digestion when NaOH is added</t>
  </si>
  <si>
    <t>Nwachukwu et al. 2019</t>
  </si>
  <si>
    <t>A systematic evaluation of various methods for quantifying food protein hydrolysate peptides</t>
  </si>
  <si>
    <t>SV inicial</t>
  </si>
  <si>
    <t>SV sólido</t>
  </si>
  <si>
    <t>SV líquido</t>
  </si>
  <si>
    <t>SV total</t>
  </si>
  <si>
    <t>Perdidas</t>
  </si>
  <si>
    <t>Muestra</t>
  </si>
  <si>
    <t>m muestra (g)</t>
  </si>
  <si>
    <t>m real (g)</t>
  </si>
  <si>
    <t>m alúmina (g)</t>
  </si>
  <si>
    <t>m tubo (g)</t>
  </si>
  <si>
    <t>m lípido+tubo (g)</t>
  </si>
  <si>
    <t>% (w/w)</t>
  </si>
  <si>
    <t>Desviación</t>
  </si>
  <si>
    <t>I</t>
  </si>
  <si>
    <t>II</t>
  </si>
  <si>
    <t>Aminoácidos</t>
  </si>
  <si>
    <t>V H2SO4 (mL)</t>
  </si>
  <si>
    <t>N H2SO4 (N)</t>
  </si>
  <si>
    <t>%N</t>
  </si>
  <si>
    <t>%P</t>
  </si>
  <si>
    <t>V muestra (mL)</t>
  </si>
  <si>
    <t>[N] mg/L</t>
  </si>
  <si>
    <t>[P] mg/L</t>
  </si>
  <si>
    <t>P (g)</t>
  </si>
  <si>
    <t>ASP</t>
  </si>
  <si>
    <t>GLU</t>
  </si>
  <si>
    <t>SER</t>
  </si>
  <si>
    <t>HIS</t>
  </si>
  <si>
    <t>GLY</t>
  </si>
  <si>
    <t>THR</t>
  </si>
  <si>
    <t>ARG</t>
  </si>
  <si>
    <t>ALA</t>
  </si>
  <si>
    <t>TYR</t>
  </si>
  <si>
    <t>CYS</t>
  </si>
  <si>
    <t>VAL</t>
  </si>
  <si>
    <t>MET</t>
  </si>
  <si>
    <t>PHE</t>
  </si>
  <si>
    <t>ILE</t>
  </si>
  <si>
    <t>LEU</t>
  </si>
  <si>
    <t>LYS</t>
  </si>
  <si>
    <t>PRO</t>
  </si>
  <si>
    <t>Total</t>
  </si>
  <si>
    <t>Factor N-P</t>
  </si>
  <si>
    <t>Máximo</t>
  </si>
  <si>
    <t>Mínimo</t>
  </si>
  <si>
    <t>Sheet</t>
  </si>
  <si>
    <t>FS</t>
  </si>
  <si>
    <t>FL</t>
  </si>
  <si>
    <t>BMB</t>
  </si>
  <si>
    <t>Unidades mg/g</t>
  </si>
  <si>
    <t>Unidades %</t>
  </si>
  <si>
    <t>X9</t>
  </si>
  <si>
    <t>X10</t>
  </si>
  <si>
    <t>X11</t>
  </si>
  <si>
    <t>X12</t>
  </si>
  <si>
    <t>X13</t>
  </si>
  <si>
    <t>X14</t>
  </si>
  <si>
    <t>1A</t>
  </si>
  <si>
    <t>2A</t>
  </si>
  <si>
    <t>3A</t>
  </si>
  <si>
    <t>4A</t>
  </si>
  <si>
    <t>5A</t>
  </si>
  <si>
    <t>6A</t>
  </si>
  <si>
    <t>7A</t>
  </si>
  <si>
    <t>8A</t>
  </si>
  <si>
    <t>Muestras sólidas</t>
  </si>
  <si>
    <t>Pesar 0,05 g (0,1 g) en papel de fumar y añadir 6 ml de ácido sulfúrico y programa 9</t>
  </si>
  <si>
    <t>Muestras líquidas</t>
  </si>
  <si>
    <t>2 mL de muestras y 9 mL de ácido sulfúrico y programa 9</t>
  </si>
  <si>
    <t>Essential</t>
  </si>
  <si>
    <t>Non</t>
  </si>
  <si>
    <t>120 ºC</t>
  </si>
  <si>
    <t>AMONIO</t>
  </si>
  <si>
    <t>60 ºC</t>
  </si>
  <si>
    <t>40C</t>
  </si>
  <si>
    <t>40 ºC</t>
  </si>
  <si>
    <t>9A</t>
  </si>
  <si>
    <t>10A</t>
  </si>
  <si>
    <t>11A</t>
  </si>
  <si>
    <t>12A</t>
  </si>
  <si>
    <t>13A</t>
  </si>
  <si>
    <t>14A</t>
  </si>
  <si>
    <t>Fase líquida OK</t>
  </si>
  <si>
    <t>Glucosa (area)</t>
  </si>
  <si>
    <t>Xilosa (area)</t>
  </si>
  <si>
    <t>Arabinosa (area)</t>
  </si>
  <si>
    <t>Celobiosa (area)</t>
  </si>
  <si>
    <t>Glucosa [mg/ml]</t>
  </si>
  <si>
    <t>Xilosa [mg/ml]</t>
  </si>
  <si>
    <t>Arabinosa [mg/ml]</t>
  </si>
  <si>
    <t>Celobiosa [mg/ml]</t>
  </si>
  <si>
    <t>Glucosa (mg)</t>
  </si>
  <si>
    <t>Xilosa (mg)</t>
  </si>
  <si>
    <t>Arabinosa (mg)</t>
  </si>
  <si>
    <t>Celobiosa (mg)</t>
  </si>
  <si>
    <t>Total C (mg)</t>
  </si>
  <si>
    <t>% C (w/w)</t>
  </si>
  <si>
    <t>Total C (g)</t>
  </si>
  <si>
    <t>V (mL)</t>
  </si>
  <si>
    <t>Factor A</t>
  </si>
  <si>
    <t>Factor X</t>
  </si>
  <si>
    <t>Factor G</t>
  </si>
  <si>
    <t>Factor C</t>
  </si>
  <si>
    <t>4, 5, 6</t>
  </si>
  <si>
    <t>Cromatogramas</t>
  </si>
  <si>
    <t>Ácidas: G+X (sin degradación)</t>
  </si>
  <si>
    <t>Alcalinas: G + C (con degradación)</t>
  </si>
  <si>
    <t>Enzimática: G + C (doble pico en G y con mucha degradación)</t>
  </si>
  <si>
    <t>US: - degradación</t>
  </si>
  <si>
    <t>MAE: + degradación</t>
  </si>
  <si>
    <t>Buscar tiempos retención degradación</t>
  </si>
  <si>
    <t>C(US)</t>
  </si>
  <si>
    <t>C(MAE)</t>
  </si>
  <si>
    <t>C(P+C 1h)</t>
  </si>
  <si>
    <t>MARTÍN JUÁREZ 2016 (repetir la hidrólisis 3 veces, apartado métodos)</t>
  </si>
  <si>
    <t>REPETICIÓN 1</t>
  </si>
  <si>
    <t>REPETICIÓN 2</t>
  </si>
  <si>
    <t>% Celobiosa</t>
  </si>
  <si>
    <t>PROTEINAS</t>
  </si>
  <si>
    <t>SÓLIDOS</t>
  </si>
  <si>
    <t>m 550ºC</t>
  </si>
  <si>
    <t>CARBOHIDRATOS</t>
  </si>
  <si>
    <t>FL I</t>
  </si>
  <si>
    <t>FL II</t>
  </si>
  <si>
    <t>FS I</t>
  </si>
  <si>
    <t>-</t>
  </si>
  <si>
    <t>FS II</t>
  </si>
  <si>
    <t>FASE SÓLIDA</t>
  </si>
  <si>
    <t>FASE LÍQUIDA</t>
  </si>
  <si>
    <t>PROTEÍNAS</t>
  </si>
  <si>
    <t>Base seca (%)</t>
  </si>
  <si>
    <t>Base seca sin ceniza (%)</t>
  </si>
  <si>
    <t>Base seca (g)</t>
  </si>
  <si>
    <t>Cenizas</t>
  </si>
  <si>
    <t>ST</t>
  </si>
  <si>
    <t>Ninhidrina</t>
  </si>
  <si>
    <t>P+C 1 h</t>
  </si>
  <si>
    <t>NINHIDRINA</t>
  </si>
  <si>
    <t>Dilución</t>
  </si>
  <si>
    <t>Absorbancia (562 nm)</t>
  </si>
  <si>
    <t>Absorbancia media</t>
  </si>
  <si>
    <r>
      <t>Concentración (</t>
    </r>
    <r>
      <rPr>
        <sz val="11"/>
        <color theme="0"/>
        <rFont val="Calibri"/>
        <family val="2"/>
      </rPr>
      <t>µg/ml)</t>
    </r>
  </si>
  <si>
    <r>
      <t>Concentración real (mg/L</t>
    </r>
    <r>
      <rPr>
        <sz val="11"/>
        <color theme="0"/>
        <rFont val="Calibri"/>
        <family val="2"/>
      </rPr>
      <t>)</t>
    </r>
  </si>
  <si>
    <t>NKT (mg/L</t>
  </si>
  <si>
    <t>Absorbancia (570 nm)</t>
  </si>
  <si>
    <r>
      <t>Concentración (</t>
    </r>
    <r>
      <rPr>
        <sz val="11"/>
        <color theme="0"/>
        <rFont val="Calibri"/>
        <family val="2"/>
      </rPr>
      <t>µM)</t>
    </r>
  </si>
  <si>
    <r>
      <t>Concentración real (</t>
    </r>
    <r>
      <rPr>
        <sz val="11"/>
        <color theme="0"/>
        <rFont val="Calibri"/>
        <family val="2"/>
      </rPr>
      <t>µM)</t>
    </r>
  </si>
  <si>
    <r>
      <t>Concentración media (</t>
    </r>
    <r>
      <rPr>
        <sz val="11"/>
        <color theme="0"/>
        <rFont val="Calibri"/>
        <family val="2"/>
      </rPr>
      <t>µM)</t>
    </r>
  </si>
  <si>
    <t>Concentración (mol/L)</t>
  </si>
  <si>
    <t>Concentración (mg/L)</t>
  </si>
  <si>
    <t>Perfil (mg/L)</t>
  </si>
  <si>
    <t>Salio positivo de presencia de aminoácidos en las muestras enzimáticas</t>
  </si>
  <si>
    <t>En las ácidas no (sale amarillo) y en las alcalinas el color oscuro afecta mucho</t>
  </si>
  <si>
    <t>C</t>
  </si>
  <si>
    <t>Blanco</t>
  </si>
  <si>
    <t>Muestras U: dilucion 1:400</t>
  </si>
  <si>
    <t>Muestras M: dilución 1:200</t>
  </si>
  <si>
    <t>Aspártico</t>
  </si>
  <si>
    <t>Curva calibrado con aspártico (cambiar)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</si>
</sst>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13" borderId="0" applyNumberFormat="0" applyBorder="0" applyAlignment="0" applyProtection="0"/>
    <xf numFmtId="0" fontId="9" fillId="0" borderId="14" applyNumberFormat="0" applyFill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5" fillId="0" borderId="21" applyNumberFormat="0" applyFill="0" applyAlignment="0" applyProtection="0"/>
    <xf numFmtId="0" fontId="4" fillId="16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69">
    <xf numFmtId="0" fontId="0" fillId="0" borderId="0" xfId="0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1" xfId="2" applyBorder="1" applyAlignment="1">
      <alignment horizontal="center"/>
    </xf>
    <xf numFmtId="0" fontId="1" fillId="3" borderId="1" xfId="3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2" applyBorder="1" applyAlignment="1">
      <alignment horizontal="center" vertical="center"/>
    </xf>
    <xf numFmtId="0" fontId="1" fillId="3" borderId="1" xfId="3" applyBorder="1" applyAlignment="1">
      <alignment horizontal="center" vertical="center"/>
    </xf>
    <xf numFmtId="0" fontId="4" fillId="2" borderId="8" xfId="2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1" fillId="5" borderId="1" xfId="5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" fillId="0" borderId="0" xfId="1"/>
    <xf numFmtId="0" fontId="0" fillId="0" borderId="2" xfId="0" applyBorder="1" applyAlignment="1">
      <alignment horizontal="center"/>
    </xf>
    <xf numFmtId="0" fontId="0" fillId="11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6" borderId="1" xfId="6" applyBorder="1" applyAlignment="1">
      <alignment horizontal="center"/>
    </xf>
    <xf numFmtId="0" fontId="1" fillId="6" borderId="3" xfId="6" applyBorder="1" applyAlignment="1">
      <alignment horizontal="center"/>
    </xf>
    <xf numFmtId="2" fontId="8" fillId="13" borderId="1" xfId="7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1" fillId="14" borderId="1" xfId="9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2" xfId="0" applyNumberFormat="1" applyBorder="1" applyAlignment="1">
      <alignment horizontal="center" vertical="center"/>
    </xf>
    <xf numFmtId="165" fontId="11" fillId="14" borderId="1" xfId="9" applyNumberFormat="1" applyBorder="1" applyAlignment="1">
      <alignment horizontal="center"/>
    </xf>
    <xf numFmtId="2" fontId="11" fillId="14" borderId="1" xfId="9" applyNumberFormat="1" applyBorder="1" applyAlignment="1">
      <alignment horizontal="center"/>
    </xf>
    <xf numFmtId="0" fontId="11" fillId="14" borderId="1" xfId="9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1" fillId="6" borderId="4" xfId="6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6" borderId="2" xfId="6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4" fillId="2" borderId="2" xfId="2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14" borderId="1" xfId="9" applyBorder="1" applyAlignment="1">
      <alignment horizontal="center" vertical="center"/>
    </xf>
    <xf numFmtId="0" fontId="11" fillId="14" borderId="8" xfId="9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11" fillId="14" borderId="10" xfId="9" applyNumberFormat="1" applyBorder="1" applyAlignment="1">
      <alignment horizontal="center"/>
    </xf>
    <xf numFmtId="164" fontId="11" fillId="14" borderId="1" xfId="9" applyNumberFormat="1" applyBorder="1" applyAlignment="1">
      <alignment horizontal="center"/>
    </xf>
    <xf numFmtId="2" fontId="0" fillId="0" borderId="0" xfId="0" applyNumberFormat="1"/>
    <xf numFmtId="0" fontId="4" fillId="2" borderId="4" xfId="2" applyBorder="1" applyAlignment="1">
      <alignment horizontal="center"/>
    </xf>
    <xf numFmtId="164" fontId="11" fillId="14" borderId="8" xfId="9" applyNumberFormat="1" applyBorder="1" applyAlignment="1">
      <alignment horizontal="center" vertical="center"/>
    </xf>
    <xf numFmtId="0" fontId="4" fillId="2" borderId="3" xfId="2" applyBorder="1" applyAlignment="1">
      <alignment horizontal="center"/>
    </xf>
    <xf numFmtId="165" fontId="14" fillId="0" borderId="10" xfId="9" applyNumberFormat="1" applyFont="1" applyFill="1" applyBorder="1" applyAlignment="1">
      <alignment horizontal="center"/>
    </xf>
    <xf numFmtId="165" fontId="14" fillId="0" borderId="1" xfId="9" applyNumberFormat="1" applyFont="1" applyFill="1" applyBorder="1" applyAlignment="1">
      <alignment horizontal="center"/>
    </xf>
    <xf numFmtId="2" fontId="14" fillId="0" borderId="1" xfId="9" applyNumberFormat="1" applyFont="1" applyFill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1" xfId="9" applyFont="1" applyFill="1" applyBorder="1" applyAlignment="1">
      <alignment horizontal="center"/>
    </xf>
    <xf numFmtId="164" fontId="14" fillId="0" borderId="1" xfId="9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3" fillId="0" borderId="0" xfId="1" applyFill="1" applyBorder="1" applyAlignment="1">
      <alignment horizontal="left"/>
    </xf>
    <xf numFmtId="0" fontId="8" fillId="13" borderId="1" xfId="7" applyBorder="1" applyAlignment="1">
      <alignment horizontal="center"/>
    </xf>
    <xf numFmtId="0" fontId="4" fillId="16" borderId="1" xfId="12" applyBorder="1" applyAlignment="1">
      <alignment horizontal="center"/>
    </xf>
    <xf numFmtId="0" fontId="1" fillId="3" borderId="8" xfId="3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0" borderId="0" xfId="13"/>
    <xf numFmtId="0" fontId="4" fillId="2" borderId="4" xfId="2" applyBorder="1" applyAlignment="1">
      <alignment horizontal="center" vertical="center"/>
    </xf>
    <xf numFmtId="0" fontId="1" fillId="5" borderId="3" xfId="5" applyBorder="1" applyAlignment="1">
      <alignment horizontal="center"/>
    </xf>
    <xf numFmtId="164" fontId="14" fillId="0" borderId="8" xfId="9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4" fillId="9" borderId="1" xfId="9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2" fontId="1" fillId="0" borderId="1" xfId="9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3" applyFill="1" applyBorder="1" applyAlignment="1">
      <alignment horizontal="center" vertical="center"/>
    </xf>
    <xf numFmtId="2" fontId="14" fillId="0" borderId="1" xfId="9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 wrapText="1"/>
    </xf>
    <xf numFmtId="165" fontId="14" fillId="0" borderId="9" xfId="9" applyNumberFormat="1" applyFont="1" applyFill="1" applyBorder="1" applyAlignment="1">
      <alignment horizontal="center" vertical="center"/>
    </xf>
    <xf numFmtId="0" fontId="14" fillId="0" borderId="10" xfId="9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/>
    </xf>
    <xf numFmtId="165" fontId="14" fillId="0" borderId="1" xfId="9" applyNumberFormat="1" applyFont="1" applyFill="1" applyBorder="1" applyAlignment="1">
      <alignment horizontal="center" vertical="center"/>
    </xf>
    <xf numFmtId="0" fontId="14" fillId="0" borderId="8" xfId="9" applyFont="1" applyFill="1" applyBorder="1" applyAlignment="1">
      <alignment horizontal="center" vertical="center" wrapText="1"/>
    </xf>
    <xf numFmtId="2" fontId="14" fillId="0" borderId="10" xfId="9" applyNumberFormat="1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8" xfId="9" applyFont="1" applyFill="1" applyBorder="1" applyAlignment="1">
      <alignment horizontal="center"/>
    </xf>
    <xf numFmtId="0" fontId="14" fillId="0" borderId="8" xfId="9" applyFont="1" applyFill="1" applyBorder="1" applyAlignment="1">
      <alignment horizontal="center" wrapText="1"/>
    </xf>
    <xf numFmtId="0" fontId="14" fillId="0" borderId="1" xfId="9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3" borderId="1" xfId="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3" borderId="3" xfId="3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164" fontId="14" fillId="0" borderId="25" xfId="0" applyNumberFormat="1" applyFont="1" applyBorder="1" applyAlignment="1">
      <alignment horizontal="center"/>
    </xf>
    <xf numFmtId="2" fontId="14" fillId="0" borderId="25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11" fillId="14" borderId="10" xfId="9" applyNumberFormat="1" applyBorder="1" applyAlignment="1">
      <alignment horizontal="center"/>
    </xf>
    <xf numFmtId="0" fontId="1" fillId="3" borderId="3" xfId="3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11" fillId="14" borderId="2" xfId="9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1" fontId="14" fillId="0" borderId="1" xfId="9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24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2" fillId="0" borderId="0" xfId="0" applyFont="1"/>
    <xf numFmtId="164" fontId="14" fillId="0" borderId="10" xfId="9" applyNumberFormat="1" applyFont="1" applyFill="1" applyBorder="1" applyAlignment="1">
      <alignment horizontal="center"/>
    </xf>
    <xf numFmtId="0" fontId="9" fillId="0" borderId="14" xfId="8" applyAlignment="1">
      <alignment horizontal="center"/>
    </xf>
    <xf numFmtId="0" fontId="0" fillId="10" borderId="0" xfId="0" applyFill="1" applyAlignment="1">
      <alignment horizontal="center"/>
    </xf>
    <xf numFmtId="0" fontId="0" fillId="17" borderId="2" xfId="0" applyFill="1" applyBorder="1" applyAlignment="1">
      <alignment wrapText="1"/>
    </xf>
    <xf numFmtId="0" fontId="0" fillId="17" borderId="4" xfId="0" applyFill="1" applyBorder="1" applyAlignment="1">
      <alignment wrapText="1"/>
    </xf>
    <xf numFmtId="0" fontId="0" fillId="17" borderId="3" xfId="0" applyFill="1" applyBorder="1" applyAlignment="1">
      <alignment wrapText="1"/>
    </xf>
    <xf numFmtId="2" fontId="1" fillId="3" borderId="1" xfId="3" applyNumberFormat="1" applyBorder="1" applyAlignment="1">
      <alignment horizontal="center"/>
    </xf>
    <xf numFmtId="2" fontId="1" fillId="3" borderId="1" xfId="3" applyNumberFormat="1" applyBorder="1" applyAlignment="1">
      <alignment horizontal="center" vertical="center"/>
    </xf>
    <xf numFmtId="0" fontId="0" fillId="10" borderId="20" xfId="0" applyFill="1" applyBorder="1" applyAlignment="1">
      <alignment horizontal="center"/>
    </xf>
    <xf numFmtId="165" fontId="0" fillId="0" borderId="0" xfId="0" applyNumberFormat="1"/>
    <xf numFmtId="2" fontId="0" fillId="11" borderId="1" xfId="0" applyNumberFormat="1" applyFill="1" applyBorder="1" applyAlignment="1">
      <alignment horizontal="center"/>
    </xf>
    <xf numFmtId="0" fontId="1" fillId="3" borderId="2" xfId="3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2" xfId="2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1" xfId="2" applyFon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2" fontId="14" fillId="0" borderId="1" xfId="9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15" borderId="0" xfId="1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4" fillId="4" borderId="1" xfId="4" applyBorder="1" applyAlignment="1">
      <alignment horizontal="center"/>
    </xf>
    <xf numFmtId="0" fontId="4" fillId="2" borderId="1" xfId="2" applyBorder="1" applyAlignment="1">
      <alignment horizontal="center"/>
    </xf>
    <xf numFmtId="0" fontId="4" fillId="4" borderId="8" xfId="4" applyBorder="1" applyAlignment="1">
      <alignment horizontal="center"/>
    </xf>
    <xf numFmtId="0" fontId="4" fillId="4" borderId="9" xfId="4" applyBorder="1" applyAlignment="1">
      <alignment horizontal="center"/>
    </xf>
    <xf numFmtId="0" fontId="4" fillId="4" borderId="10" xfId="4" applyBorder="1" applyAlignment="1">
      <alignment horizontal="center"/>
    </xf>
    <xf numFmtId="0" fontId="4" fillId="4" borderId="15" xfId="4" applyBorder="1" applyAlignment="1">
      <alignment horizontal="center"/>
    </xf>
    <xf numFmtId="0" fontId="4" fillId="4" borderId="0" xfId="4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" fillId="3" borderId="1" xfId="3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0" fontId="1" fillId="3" borderId="25" xfId="3" applyBorder="1" applyAlignment="1">
      <alignment horizontal="center" vertical="center"/>
    </xf>
    <xf numFmtId="0" fontId="11" fillId="14" borderId="0" xfId="9" applyAlignment="1">
      <alignment horizontal="center"/>
    </xf>
    <xf numFmtId="0" fontId="0" fillId="20" borderId="1" xfId="0" applyFill="1" applyBorder="1" applyAlignment="1">
      <alignment horizontal="center" vertical="center" wrapText="1"/>
    </xf>
    <xf numFmtId="0" fontId="1" fillId="3" borderId="2" xfId="3" applyBorder="1" applyAlignment="1">
      <alignment horizontal="center" vertical="center"/>
    </xf>
    <xf numFmtId="0" fontId="0" fillId="22" borderId="2" xfId="0" applyFill="1" applyBorder="1" applyAlignment="1">
      <alignment horizontal="center" wrapText="1"/>
    </xf>
    <xf numFmtId="0" fontId="0" fillId="22" borderId="4" xfId="0" applyFill="1" applyBorder="1" applyAlignment="1">
      <alignment horizontal="center" wrapText="1"/>
    </xf>
    <xf numFmtId="0" fontId="0" fillId="22" borderId="3" xfId="0" applyFill="1" applyBorder="1" applyAlignment="1">
      <alignment horizontal="center" wrapText="1"/>
    </xf>
    <xf numFmtId="0" fontId="0" fillId="25" borderId="2" xfId="0" applyFill="1" applyBorder="1" applyAlignment="1">
      <alignment horizontal="center" wrapText="1"/>
    </xf>
    <xf numFmtId="0" fontId="0" fillId="25" borderId="4" xfId="0" applyFill="1" applyBorder="1" applyAlignment="1">
      <alignment horizontal="center" wrapText="1"/>
    </xf>
    <xf numFmtId="0" fontId="0" fillId="25" borderId="3" xfId="0" applyFill="1" applyBorder="1" applyAlignment="1">
      <alignment horizontal="center" wrapText="1"/>
    </xf>
    <xf numFmtId="165" fontId="0" fillId="17" borderId="2" xfId="0" applyNumberFormat="1" applyFill="1" applyBorder="1" applyAlignment="1">
      <alignment horizontal="center"/>
    </xf>
    <xf numFmtId="165" fontId="0" fillId="17" borderId="4" xfId="0" applyNumberFormat="1" applyFill="1" applyBorder="1" applyAlignment="1">
      <alignment horizontal="center"/>
    </xf>
    <xf numFmtId="165" fontId="0" fillId="17" borderId="3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2" fontId="0" fillId="17" borderId="2" xfId="0" applyNumberFormat="1" applyFill="1" applyBorder="1" applyAlignment="1">
      <alignment horizontal="center"/>
    </xf>
    <xf numFmtId="2" fontId="0" fillId="17" borderId="4" xfId="0" applyNumberFormat="1" applyFill="1" applyBorder="1" applyAlignment="1">
      <alignment horizontal="center"/>
    </xf>
    <xf numFmtId="2" fontId="0" fillId="17" borderId="3" xfId="0" applyNumberFormat="1" applyFill="1" applyBorder="1" applyAlignment="1">
      <alignment horizontal="center"/>
    </xf>
    <xf numFmtId="0" fontId="0" fillId="25" borderId="1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8" borderId="1" xfId="0" applyFill="1" applyBorder="1" applyAlignment="1">
      <alignment wrapText="1"/>
    </xf>
    <xf numFmtId="0" fontId="0" fillId="19" borderId="1" xfId="0" applyFill="1" applyBorder="1" applyAlignment="1">
      <alignment wrapText="1"/>
    </xf>
    <xf numFmtId="164" fontId="0" fillId="0" borderId="11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0" fontId="14" fillId="18" borderId="2" xfId="0" applyFont="1" applyFill="1" applyBorder="1" applyAlignment="1">
      <alignment horizontal="center" wrapText="1"/>
    </xf>
    <xf numFmtId="0" fontId="14" fillId="18" borderId="4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center" wrapText="1"/>
    </xf>
    <xf numFmtId="0" fontId="0" fillId="18" borderId="2" xfId="0" applyFill="1" applyBorder="1" applyAlignment="1">
      <alignment horizontal="center" wrapText="1"/>
    </xf>
    <xf numFmtId="0" fontId="0" fillId="18" borderId="4" xfId="0" applyFill="1" applyBorder="1" applyAlignment="1">
      <alignment horizontal="center" wrapText="1"/>
    </xf>
    <xf numFmtId="0" fontId="0" fillId="18" borderId="3" xfId="0" applyFill="1" applyBorder="1" applyAlignment="1">
      <alignment horizontal="center" wrapText="1"/>
    </xf>
    <xf numFmtId="0" fontId="14" fillId="18" borderId="1" xfId="0" applyFont="1" applyFill="1" applyBorder="1" applyAlignment="1">
      <alignment wrapText="1"/>
    </xf>
    <xf numFmtId="0" fontId="1" fillId="3" borderId="13" xfId="3" applyBorder="1" applyAlignment="1">
      <alignment horizontal="center" vertical="center"/>
    </xf>
    <xf numFmtId="0" fontId="1" fillId="3" borderId="22" xfId="3" applyBorder="1" applyAlignment="1">
      <alignment horizontal="center" vertical="center"/>
    </xf>
    <xf numFmtId="0" fontId="1" fillId="3" borderId="23" xfId="3" applyBorder="1" applyAlignment="1">
      <alignment horizontal="center" vertical="center"/>
    </xf>
    <xf numFmtId="164" fontId="0" fillId="21" borderId="2" xfId="0" applyNumberFormat="1" applyFill="1" applyBorder="1" applyAlignment="1">
      <alignment horizontal="center"/>
    </xf>
    <xf numFmtId="164" fontId="0" fillId="21" borderId="4" xfId="0" applyNumberFormat="1" applyFill="1" applyBorder="1" applyAlignment="1">
      <alignment horizontal="center"/>
    </xf>
    <xf numFmtId="164" fontId="0" fillId="21" borderId="3" xfId="0" applyNumberFormat="1" applyFill="1" applyBorder="1" applyAlignment="1">
      <alignment horizontal="center"/>
    </xf>
    <xf numFmtId="0" fontId="14" fillId="17" borderId="2" xfId="0" applyFont="1" applyFill="1" applyBorder="1" applyAlignment="1">
      <alignment horizontal="center" wrapText="1"/>
    </xf>
    <xf numFmtId="0" fontId="14" fillId="17" borderId="4" xfId="0" applyFont="1" applyFill="1" applyBorder="1" applyAlignment="1">
      <alignment horizontal="center" wrapText="1"/>
    </xf>
    <xf numFmtId="0" fontId="14" fillId="17" borderId="3" xfId="0" applyFont="1" applyFill="1" applyBorder="1" applyAlignment="1">
      <alignment horizontal="center" wrapText="1"/>
    </xf>
    <xf numFmtId="0" fontId="8" fillId="13" borderId="0" xfId="7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21" borderId="1" xfId="0" applyFill="1" applyBorder="1" applyAlignment="1">
      <alignment wrapText="1"/>
    </xf>
    <xf numFmtId="0" fontId="0" fillId="26" borderId="1" xfId="0" applyFill="1" applyBorder="1" applyAlignment="1">
      <alignment wrapText="1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9" fillId="0" borderId="14" xfId="8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15" fillId="0" borderId="0" xfId="11" applyBorder="1" applyAlignment="1">
      <alignment horizontal="center"/>
    </xf>
    <xf numFmtId="0" fontId="15" fillId="0" borderId="21" xfId="1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4">
    <cellStyle name="20% - Énfasis1" xfId="3" builtinId="30"/>
    <cellStyle name="20% - Énfasis5" xfId="5" builtinId="46"/>
    <cellStyle name="20% - Énfasis6" xfId="6" builtinId="50"/>
    <cellStyle name="Bueno" xfId="7" builtinId="26"/>
    <cellStyle name="Encabezado 1" xfId="8" builtinId="16"/>
    <cellStyle name="Énfasis1" xfId="2" builtinId="29"/>
    <cellStyle name="Énfasis4" xfId="12" builtinId="41"/>
    <cellStyle name="Énfasis5" xfId="4" builtinId="45"/>
    <cellStyle name="Incorrecto" xfId="9" builtinId="27"/>
    <cellStyle name="Neutral" xfId="10" builtinId="28"/>
    <cellStyle name="Normal" xfId="0" builtinId="0"/>
    <cellStyle name="Texto de advertencia" xfId="13" builtinId="11"/>
    <cellStyle name="Texto explicativo" xfId="1" builtinId="53"/>
    <cellStyle name="Total" xfId="1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Experimentos!$A$33:$A$62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Experimentos!$S$33:$S$62</c:f>
              <c:numCache>
                <c:formatCode>0.00</c:formatCode>
                <c:ptCount val="30"/>
                <c:pt idx="0">
                  <c:v>70.115861366186323</c:v>
                </c:pt>
                <c:pt idx="1">
                  <c:v>68.258297712087185</c:v>
                </c:pt>
                <c:pt idx="2">
                  <c:v>30.66147082486723</c:v>
                </c:pt>
                <c:pt idx="3">
                  <c:v>32.918674453839813</c:v>
                </c:pt>
                <c:pt idx="4">
                  <c:v>27.825264859669762</c:v>
                </c:pt>
                <c:pt idx="5">
                  <c:v>27.534938950508721</c:v>
                </c:pt>
                <c:pt idx="6">
                  <c:v>59.365437280082944</c:v>
                </c:pt>
                <c:pt idx="7">
                  <c:v>60.087745850183872</c:v>
                </c:pt>
                <c:pt idx="8">
                  <c:v>21.183213288911361</c:v>
                </c:pt>
                <c:pt idx="9">
                  <c:v>19.662981461414432</c:v>
                </c:pt>
                <c:pt idx="10">
                  <c:v>4.3844580441455294</c:v>
                </c:pt>
                <c:pt idx="11">
                  <c:v>6.3054041376174794</c:v>
                </c:pt>
                <c:pt idx="12">
                  <c:v>29.905319536227537</c:v>
                </c:pt>
                <c:pt idx="13">
                  <c:v>29.6914594462081</c:v>
                </c:pt>
                <c:pt idx="14">
                  <c:v>28.62481387641046</c:v>
                </c:pt>
                <c:pt idx="15">
                  <c:v>31.627498047333159</c:v>
                </c:pt>
                <c:pt idx="16">
                  <c:v>24.815953945340123</c:v>
                </c:pt>
                <c:pt idx="17">
                  <c:v>25.430782250309292</c:v>
                </c:pt>
                <c:pt idx="18">
                  <c:v>43.35906971396124</c:v>
                </c:pt>
                <c:pt idx="19">
                  <c:v>43.456269336294298</c:v>
                </c:pt>
                <c:pt idx="20">
                  <c:v>12.256010641436005</c:v>
                </c:pt>
                <c:pt idx="21">
                  <c:v>7.3816334003355601</c:v>
                </c:pt>
                <c:pt idx="22">
                  <c:v>26.182939696453367</c:v>
                </c:pt>
                <c:pt idx="23">
                  <c:v>25.950031478839097</c:v>
                </c:pt>
                <c:pt idx="24">
                  <c:v>41.67727635418332</c:v>
                </c:pt>
                <c:pt idx="25">
                  <c:v>41.690340243764552</c:v>
                </c:pt>
                <c:pt idx="26">
                  <c:v>9.168305679476342</c:v>
                </c:pt>
                <c:pt idx="27">
                  <c:v>11.212737650182694</c:v>
                </c:pt>
                <c:pt idx="28">
                  <c:v>36.562795938747072</c:v>
                </c:pt>
                <c:pt idx="29">
                  <c:v>8.3637928898795781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E-4EEC-809E-63359514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7951567"/>
        <c:axId val="359884351"/>
      </c:barChart>
      <c:catAx>
        <c:axId val="42795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84351"/>
        <c:crosses val="autoZero"/>
        <c:auto val="1"/>
        <c:lblAlgn val="ctr"/>
        <c:lblOffset val="100"/>
        <c:noMultiLvlLbl val="0"/>
      </c:catAx>
      <c:valAx>
        <c:axId val="3598843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Solubilidad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5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ASP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('Análisis proteínas'!$Y$20,'Análisis proteínas'!$Y$22,'Análisis proteínas'!$Y$24,'Análisis proteínas'!$Y$26,'Análisis proteínas'!$Y$28,'Análisis proteínas'!$Y$30)</c:f>
              <c:numCache>
                <c:formatCode>0.00</c:formatCode>
                <c:ptCount val="6"/>
                <c:pt idx="0">
                  <c:v>10.732632807939286</c:v>
                </c:pt>
                <c:pt idx="1">
                  <c:v>10.770516033673928</c:v>
                </c:pt>
                <c:pt idx="2">
                  <c:v>10.925796464596029</c:v>
                </c:pt>
                <c:pt idx="3">
                  <c:v>10.608186785298422</c:v>
                </c:pt>
                <c:pt idx="4">
                  <c:v>10.743922822039117</c:v>
                </c:pt>
                <c:pt idx="5">
                  <c:v>10.735887096774192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E9B-4843-9CCB-E8061AA3D301}"/>
            </c:ext>
          </c:extLst>
        </c:ser>
        <c:ser>
          <c:idx val="1"/>
          <c:order val="1"/>
          <c:tx>
            <c:strRef>
              <c:f>'Análisis proteínas'!$Z$19</c:f>
              <c:strCache>
                <c:ptCount val="1"/>
                <c:pt idx="0">
                  <c:v>GLU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('Análisis proteínas'!$Z$20,'Análisis proteínas'!$Z$22,'Análisis proteínas'!$Z$24,'Análisis proteínas'!$Z$26,'Análisis proteínas'!$Z$28,'Análisis proteínas'!$Z$30)</c:f>
              <c:numCache>
                <c:formatCode>0.00</c:formatCode>
                <c:ptCount val="6"/>
                <c:pt idx="0">
                  <c:v>11.923525977816693</c:v>
                </c:pt>
                <c:pt idx="1">
                  <c:v>11.284621810937599</c:v>
                </c:pt>
                <c:pt idx="2">
                  <c:v>12.327307833150241</c:v>
                </c:pt>
                <c:pt idx="3">
                  <c:v>11.883080046576898</c:v>
                </c:pt>
                <c:pt idx="4">
                  <c:v>11.468199278655836</c:v>
                </c:pt>
                <c:pt idx="5">
                  <c:v>11.883960573476699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E9B-4843-9CCB-E8061AA3D301}"/>
            </c:ext>
          </c:extLst>
        </c:ser>
        <c:ser>
          <c:idx val="2"/>
          <c:order val="2"/>
          <c:tx>
            <c:strRef>
              <c:f>'Análisis proteínas'!$AA$19</c:f>
              <c:strCache>
                <c:ptCount val="1"/>
                <c:pt idx="0">
                  <c:v>SER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('Análisis proteínas'!$AA$20,'Análisis proteínas'!$AA$22,'Análisis proteínas'!$AA$24,'Análisis proteínas'!$AA$26,'Análisis proteínas'!$AA$28,'Análisis proteínas'!$AA$30)</c:f>
              <c:numCache>
                <c:formatCode>0.00</c:formatCode>
                <c:ptCount val="6"/>
                <c:pt idx="0">
                  <c:v>5.504962054874488</c:v>
                </c:pt>
                <c:pt idx="1">
                  <c:v>5.3402737613263929</c:v>
                </c:pt>
                <c:pt idx="2">
                  <c:v>5.5660974067046185</c:v>
                </c:pt>
                <c:pt idx="3">
                  <c:v>5.4996566446720223</c:v>
                </c:pt>
                <c:pt idx="4">
                  <c:v>5.4012843444858234</c:v>
                </c:pt>
                <c:pt idx="5">
                  <c:v>5.3287410394265224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E9B-4843-9CCB-E8061AA3D301}"/>
            </c:ext>
          </c:extLst>
        </c:ser>
        <c:ser>
          <c:idx val="3"/>
          <c:order val="3"/>
          <c:tx>
            <c:strRef>
              <c:f>'Análisis proteínas'!$AB$19</c:f>
              <c:strCache>
                <c:ptCount val="1"/>
                <c:pt idx="0">
                  <c:v>HIS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('Análisis proteínas'!$AB$20,'Análisis proteínas'!$AB$22,'Análisis proteínas'!$AB$24,'Análisis proteínas'!$AB$26,'Análisis proteínas'!$AB$28,'Análisis proteínas'!$AB$30)</c:f>
              <c:numCache>
                <c:formatCode>0.00</c:formatCode>
                <c:ptCount val="6"/>
                <c:pt idx="0">
                  <c:v>2.2737886748394622</c:v>
                </c:pt>
                <c:pt idx="1">
                  <c:v>2.3391812865497075</c:v>
                </c:pt>
                <c:pt idx="2">
                  <c:v>2.2737108425713246</c:v>
                </c:pt>
                <c:pt idx="3">
                  <c:v>2.2571880691487776</c:v>
                </c:pt>
                <c:pt idx="4">
                  <c:v>2.4983139313256899</c:v>
                </c:pt>
                <c:pt idx="5">
                  <c:v>2.335349462365591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E9B-4843-9CCB-E8061AA3D301}"/>
            </c:ext>
          </c:extLst>
        </c:ser>
        <c:ser>
          <c:idx val="4"/>
          <c:order val="4"/>
          <c:tx>
            <c:strRef>
              <c:f>'Análisis proteínas'!$AC$19</c:f>
              <c:strCache>
                <c:ptCount val="1"/>
                <c:pt idx="0">
                  <c:v>GLY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('Análisis proteínas'!$AC$20,'Análisis proteínas'!$AC$22,'Análisis proteínas'!$AC$24,'Análisis proteínas'!$AC$26,'Análisis proteínas'!$AC$28,'Análisis proteínas'!$AC$30)</c:f>
              <c:numCache>
                <c:formatCode>0.00</c:formatCode>
                <c:ptCount val="6"/>
                <c:pt idx="0">
                  <c:v>7.1366024518388773</c:v>
                </c:pt>
                <c:pt idx="1">
                  <c:v>7.264957264957264</c:v>
                </c:pt>
                <c:pt idx="2">
                  <c:v>7.2006391690801976</c:v>
                </c:pt>
                <c:pt idx="3">
                  <c:v>7.1567193144836239</c:v>
                </c:pt>
                <c:pt idx="4">
                  <c:v>7.1694572325015402</c:v>
                </c:pt>
                <c:pt idx="5">
                  <c:v>6.9444444444444438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E9B-4843-9CCB-E8061AA3D301}"/>
            </c:ext>
          </c:extLst>
        </c:ser>
        <c:ser>
          <c:idx val="5"/>
          <c:order val="5"/>
          <c:tx>
            <c:strRef>
              <c:f>'Análisis proteínas'!$AD$19</c:f>
              <c:strCache>
                <c:ptCount val="1"/>
                <c:pt idx="0">
                  <c:v>THR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('Análisis proteínas'!$AD$20,'Análisis proteínas'!$AD$22,'Análisis proteínas'!$AD$24,'Análisis proteínas'!$AD$26,'Análisis proteínas'!$AD$28,'Análisis proteínas'!$AD$30)</c:f>
              <c:numCache>
                <c:formatCode>0.00</c:formatCode>
                <c:ptCount val="6"/>
                <c:pt idx="0">
                  <c:v>5.3415061295971968</c:v>
                </c:pt>
                <c:pt idx="1">
                  <c:v>5.1699762226078017</c:v>
                </c:pt>
                <c:pt idx="2">
                  <c:v>5.2664869003628629</c:v>
                </c:pt>
                <c:pt idx="3">
                  <c:v>5.2727435583554785</c:v>
                </c:pt>
                <c:pt idx="4">
                  <c:v>5.415945811218954</c:v>
                </c:pt>
                <c:pt idx="5">
                  <c:v>5.3287410394265224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9B-4843-9CCB-E8061AA3D301}"/>
            </c:ext>
          </c:extLst>
        </c:ser>
        <c:ser>
          <c:idx val="6"/>
          <c:order val="6"/>
          <c:tx>
            <c:strRef>
              <c:f>'Análisis proteínas'!$AE$19</c:f>
              <c:strCache>
                <c:ptCount val="1"/>
                <c:pt idx="0">
                  <c:v>ARG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proteínas'!$AE$20,'Análisis proteínas'!$AE$22,'Análisis proteínas'!$AE$24,'Análisis proteínas'!$AE$26,'Análisis proteínas'!$AE$28,'Análisis proteínas'!$AE$30)</c:f>
              <c:numCache>
                <c:formatCode>0.00</c:formatCode>
                <c:ptCount val="6"/>
                <c:pt idx="0">
                  <c:v>6.4127262113251593</c:v>
                </c:pt>
                <c:pt idx="1">
                  <c:v>6.5419960156802253</c:v>
                </c:pt>
                <c:pt idx="2">
                  <c:v>6.6613402576650369</c:v>
                </c:pt>
                <c:pt idx="3">
                  <c:v>6.6103364882214199</c:v>
                </c:pt>
                <c:pt idx="4">
                  <c:v>6.6328475500689095</c:v>
                </c:pt>
                <c:pt idx="5">
                  <c:v>6.4124103942652315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E9B-4843-9CCB-E8061AA3D301}"/>
            </c:ext>
          </c:extLst>
        </c:ser>
        <c:ser>
          <c:idx val="7"/>
          <c:order val="7"/>
          <c:tx>
            <c:strRef>
              <c:f>'Análisis proteínas'!$AF$19</c:f>
              <c:strCache>
                <c:ptCount val="1"/>
                <c:pt idx="0">
                  <c:v>ALA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proteínas'!$AF$20,'Análisis proteínas'!$AF$22,'Análisis proteínas'!$AF$24,'Análisis proteínas'!$AF$26,'Análisis proteínas'!$AF$28,'Análisis proteínas'!$AF$30)</c:f>
              <c:numCache>
                <c:formatCode>0.00</c:formatCode>
                <c:ptCount val="6"/>
                <c:pt idx="0">
                  <c:v>9.1360186806771733</c:v>
                </c:pt>
                <c:pt idx="1">
                  <c:v>8.8072745967482788</c:v>
                </c:pt>
                <c:pt idx="2">
                  <c:v>9.1081593927893767</c:v>
                </c:pt>
                <c:pt idx="3">
                  <c:v>9.184008598811694</c:v>
                </c:pt>
                <c:pt idx="4">
                  <c:v>8.7880831598393101</c:v>
                </c:pt>
                <c:pt idx="5">
                  <c:v>8.9801747311827942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BE9B-4843-9CCB-E8061AA3D301}"/>
            </c:ext>
          </c:extLst>
        </c:ser>
        <c:ser>
          <c:idx val="8"/>
          <c:order val="8"/>
          <c:tx>
            <c:strRef>
              <c:f>'Análisis proteínas'!$AG$19</c:f>
              <c:strCache>
                <c:ptCount val="1"/>
                <c:pt idx="0">
                  <c:v>TYR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proteínas'!$AG$20,'Análisis proteínas'!$AG$22,'Análisis proteínas'!$AG$24,'Análisis proteínas'!$AG$26,'Análisis proteínas'!$AG$28,'Análisis proteínas'!$AG$30)</c:f>
              <c:numCache>
                <c:formatCode>0.00</c:formatCode>
                <c:ptCount val="6"/>
                <c:pt idx="0">
                  <c:v>4.1068301225919432</c:v>
                </c:pt>
                <c:pt idx="1">
                  <c:v>4.2317331791015995</c:v>
                </c:pt>
                <c:pt idx="2">
                  <c:v>3.9981357568494302</c:v>
                </c:pt>
                <c:pt idx="3">
                  <c:v>4.1381781267727593</c:v>
                </c:pt>
                <c:pt idx="4">
                  <c:v>4.3808462598598368</c:v>
                </c:pt>
                <c:pt idx="5">
                  <c:v>4.0882616487455188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BE9B-4843-9CCB-E8061AA3D301}"/>
            </c:ext>
          </c:extLst>
        </c:ser>
        <c:ser>
          <c:idx val="9"/>
          <c:order val="9"/>
          <c:tx>
            <c:strRef>
              <c:f>'Análisis proteínas'!$AH$19</c:f>
              <c:strCache>
                <c:ptCount val="1"/>
                <c:pt idx="0">
                  <c:v>CYS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proteínas'!$AH$20,'Análisis proteínas'!$AH$22,'Análisis proteínas'!$AH$24,'Análisis proteínas'!$AH$26,'Análisis proteínas'!$AH$28,'Análisis proteínas'!$AH$30)</c:f>
              <c:numCache>
                <c:formatCode>0.00</c:formatCode>
                <c:ptCount val="6"/>
                <c:pt idx="0">
                  <c:v>0.82019848219497937</c:v>
                </c:pt>
                <c:pt idx="1">
                  <c:v>0.88040614356403835</c:v>
                </c:pt>
                <c:pt idx="2">
                  <c:v>0.77565831086254555</c:v>
                </c:pt>
                <c:pt idx="3">
                  <c:v>0.90765234526617511</c:v>
                </c:pt>
                <c:pt idx="4">
                  <c:v>0.63630765621792806</c:v>
                </c:pt>
                <c:pt idx="5">
                  <c:v>1.1144713261648742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B-BE9B-4843-9CCB-E8061AA3D301}"/>
            </c:ext>
          </c:extLst>
        </c:ser>
        <c:ser>
          <c:idx val="10"/>
          <c:order val="10"/>
          <c:tx>
            <c:strRef>
              <c:f>'Análisis proteínas'!$AI$19</c:f>
              <c:strCache>
                <c:ptCount val="1"/>
                <c:pt idx="0">
                  <c:v>VAL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proteínas'!$AI$20,'Análisis proteínas'!$AI$22,'Análisis proteínas'!$AI$24,'Análisis proteínas'!$AI$26,'Análisis proteínas'!$AI$28,'Análisis proteínas'!$AI$30)</c:f>
              <c:numCache>
                <c:formatCode>0.00</c:formatCode>
                <c:ptCount val="6"/>
                <c:pt idx="0">
                  <c:v>4.5008756567425561</c:v>
                </c:pt>
                <c:pt idx="1">
                  <c:v>4.4598676177623542</c:v>
                </c:pt>
                <c:pt idx="2">
                  <c:v>4.557408702020707</c:v>
                </c:pt>
                <c:pt idx="3">
                  <c:v>4.4606335652225848</c:v>
                </c:pt>
                <c:pt idx="4">
                  <c:v>4.764976688267895</c:v>
                </c:pt>
                <c:pt idx="5">
                  <c:v>4.6874999999999982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C-BE9B-4843-9CCB-E8061AA3D301}"/>
            </c:ext>
          </c:extLst>
        </c:ser>
        <c:ser>
          <c:idx val="11"/>
          <c:order val="11"/>
          <c:tx>
            <c:strRef>
              <c:f>'Análisis proteínas'!$AJ$19</c:f>
              <c:strCache>
                <c:ptCount val="1"/>
                <c:pt idx="0">
                  <c:v>MET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proteínas'!$AJ$20,'Análisis proteínas'!$AJ$22,'Análisis proteínas'!$AJ$24,'Análisis proteínas'!$AJ$26,'Análisis proteínas'!$AJ$28,'Análisis proteínas'!$AJ$30)</c:f>
              <c:numCache>
                <c:formatCode>0.00</c:formatCode>
                <c:ptCount val="6"/>
                <c:pt idx="0">
                  <c:v>2.3613543490951541</c:v>
                </c:pt>
                <c:pt idx="1">
                  <c:v>2.4420024420024418</c:v>
                </c:pt>
                <c:pt idx="2">
                  <c:v>2.4834381970105537</c:v>
                </c:pt>
                <c:pt idx="3">
                  <c:v>2.5527722210611179</c:v>
                </c:pt>
                <c:pt idx="4">
                  <c:v>2.3868867841538872</c:v>
                </c:pt>
                <c:pt idx="5">
                  <c:v>2.3969534050179209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BE9B-4843-9CCB-E8061AA3D301}"/>
            </c:ext>
          </c:extLst>
        </c:ser>
        <c:ser>
          <c:idx val="12"/>
          <c:order val="12"/>
          <c:tx>
            <c:strRef>
              <c:f>'Análisis proteínas'!$AK$19</c:f>
              <c:strCache>
                <c:ptCount val="1"/>
                <c:pt idx="0">
                  <c:v>PHE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proteínas'!$AK$20,'Análisis proteínas'!$AK$22,'Análisis proteínas'!$AK$24,'Análisis proteínas'!$AK$26,'Análisis proteínas'!$AK$28,'Análisis proteínas'!$AK$30)</c:f>
              <c:numCache>
                <c:formatCode>0.00</c:formatCode>
                <c:ptCount val="6"/>
                <c:pt idx="0">
                  <c:v>5.8026853473438393</c:v>
                </c:pt>
                <c:pt idx="1">
                  <c:v>6.2078272604588394</c:v>
                </c:pt>
                <c:pt idx="2">
                  <c:v>5.4928592829321898</c:v>
                </c:pt>
                <c:pt idx="3">
                  <c:v>5.7683695100468766</c:v>
                </c:pt>
                <c:pt idx="4">
                  <c:v>6.3102952819400056</c:v>
                </c:pt>
                <c:pt idx="5">
                  <c:v>5.8859767025089598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BE9B-4843-9CCB-E8061AA3D301}"/>
            </c:ext>
          </c:extLst>
        </c:ser>
        <c:ser>
          <c:idx val="13"/>
          <c:order val="13"/>
          <c:tx>
            <c:strRef>
              <c:f>'Análisis proteínas'!$AL$19</c:f>
              <c:strCache>
                <c:ptCount val="1"/>
                <c:pt idx="0">
                  <c:v>ILE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proteínas'!$AL$20,'Análisis proteínas'!$AL$22,'Análisis proteínas'!$AL$24,'Análisis proteínas'!$AL$26,'Análisis proteínas'!$AL$28,'Análisis proteínas'!$AL$30)</c:f>
              <c:numCache>
                <c:formatCode>0.00</c:formatCode>
                <c:ptCount val="6"/>
                <c:pt idx="0">
                  <c:v>3.5668417980151772</c:v>
                </c:pt>
                <c:pt idx="1">
                  <c:v>3.6244457297088868</c:v>
                </c:pt>
                <c:pt idx="2">
                  <c:v>3.5087719298245621</c:v>
                </c:pt>
                <c:pt idx="3">
                  <c:v>3.4843101543606134</c:v>
                </c:pt>
                <c:pt idx="4">
                  <c:v>3.7797261238014253</c:v>
                </c:pt>
                <c:pt idx="5">
                  <c:v>3.7382392473118276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F-BE9B-4843-9CCB-E8061AA3D301}"/>
            </c:ext>
          </c:extLst>
        </c:ser>
        <c:ser>
          <c:idx val="14"/>
          <c:order val="14"/>
          <c:tx>
            <c:strRef>
              <c:f>'Análisis proteínas'!$AM$19</c:f>
              <c:strCache>
                <c:ptCount val="1"/>
                <c:pt idx="0">
                  <c:v>LEU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proteínas'!$AM$20,'Análisis proteínas'!$AM$22,'Análisis proteínas'!$AM$24,'Análisis proteínas'!$AM$26,'Análisis proteínas'!$AM$28,'Análisis proteínas'!$AM$30)</c:f>
              <c:numCache>
                <c:formatCode>0.00</c:formatCode>
                <c:ptCount val="6"/>
                <c:pt idx="0">
                  <c:v>9.9562171628721519</c:v>
                </c:pt>
                <c:pt idx="1">
                  <c:v>10.23391812865497</c:v>
                </c:pt>
                <c:pt idx="2">
                  <c:v>9.7107094110989074</c:v>
                </c:pt>
                <c:pt idx="3">
                  <c:v>9.9513331143821109</c:v>
                </c:pt>
                <c:pt idx="4">
                  <c:v>10.309943406738411</c:v>
                </c:pt>
                <c:pt idx="5">
                  <c:v>9.8734318996415738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0-BE9B-4843-9CCB-E8061AA3D301}"/>
            </c:ext>
          </c:extLst>
        </c:ser>
        <c:ser>
          <c:idx val="15"/>
          <c:order val="15"/>
          <c:tx>
            <c:strRef>
              <c:f>'Análisis proteínas'!$AN$19</c:f>
              <c:strCache>
                <c:ptCount val="1"/>
                <c:pt idx="0">
                  <c:v>LYS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proteínas'!$AN$20,'Análisis proteínas'!$AN$22,'Análisis proteínas'!$AN$24,'Análisis proteínas'!$AN$26,'Análisis proteínas'!$AN$28,'Análisis proteínas'!$AN$30)</c:f>
              <c:numCache>
                <c:formatCode>0.00</c:formatCode>
                <c:ptCount val="6"/>
                <c:pt idx="0">
                  <c:v>6.8563922942206634</c:v>
                </c:pt>
                <c:pt idx="1">
                  <c:v>6.5516354990039201</c:v>
                </c:pt>
                <c:pt idx="2">
                  <c:v>7.1007690002996116</c:v>
                </c:pt>
                <c:pt idx="3">
                  <c:v>6.7775356044546626</c:v>
                </c:pt>
                <c:pt idx="4">
                  <c:v>6.5390141629768657</c:v>
                </c:pt>
                <c:pt idx="5">
                  <c:v>6.8184363799283148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BE9B-4843-9CCB-E8061AA3D301}"/>
            </c:ext>
          </c:extLst>
        </c:ser>
        <c:ser>
          <c:idx val="16"/>
          <c:order val="16"/>
          <c:tx>
            <c:strRef>
              <c:f>'Análisis proteínas'!$AO$19</c:f>
              <c:strCache>
                <c:ptCount val="1"/>
                <c:pt idx="0">
                  <c:v>PRO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('Análisis proteínas'!$AO$20,'Análisis proteínas'!$AO$22,'Análisis proteínas'!$AO$24,'Análisis proteínas'!$AO$26,'Análisis proteínas'!$AO$28,'Análisis proteínas'!$AO$30)</c:f>
              <c:numCache>
                <c:formatCode>0.00</c:formatCode>
                <c:ptCount val="6"/>
                <c:pt idx="0">
                  <c:v>3.5668417980151772</c:v>
                </c:pt>
                <c:pt idx="1">
                  <c:v>3.8493670072617441</c:v>
                </c:pt>
                <c:pt idx="2">
                  <c:v>3.0427111421818314</c:v>
                </c:pt>
                <c:pt idx="3">
                  <c:v>3.4872958528647779</c:v>
                </c:pt>
                <c:pt idx="4">
                  <c:v>2.7739495059085715</c:v>
                </c:pt>
                <c:pt idx="5">
                  <c:v>3.4470206093189959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'Análisis proteínas'!$W$20:$W$31</c15:sqref>
                        </c15:formulaRef>
                      </c:ext>
                    </c:extLst>
                    <c:strCache>
                      <c:ptCount val="11"/>
                      <c:pt idx="0">
                        <c:v>X9A</c:v>
                      </c:pt>
                      <c:pt idx="2">
                        <c:v>X10A</c:v>
                      </c:pt>
                      <c:pt idx="4">
                        <c:v>X11A</c:v>
                      </c:pt>
                      <c:pt idx="6">
                        <c:v>X12A</c:v>
                      </c:pt>
                      <c:pt idx="8">
                        <c:v>X13A</c:v>
                      </c:pt>
                      <c:pt idx="10">
                        <c:v>X14A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3-BE9B-4843-9CCB-E8061AA3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686320"/>
        <c:axId val="387686648"/>
      </c:barChart>
      <c:catAx>
        <c:axId val="3876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86648"/>
        <c:crosses val="autoZero"/>
        <c:auto val="1"/>
        <c:lblAlgn val="ctr"/>
        <c:lblOffset val="100"/>
        <c:noMultiLvlLbl val="0"/>
      </c:catAx>
      <c:valAx>
        <c:axId val="38768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8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ASP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proteínas'!$Y$21,'Análisis proteínas'!$Y$23,'Análisis proteínas'!$Y$25,'Análisis proteínas'!$Y$27,'Análisis proteínas'!$Y$29,'Análisis proteínas'!$Y$31)</c:f>
              <c:numCache>
                <c:formatCode>0.00</c:formatCode>
                <c:ptCount val="6"/>
                <c:pt idx="0">
                  <c:v>11.936339522546421</c:v>
                </c:pt>
                <c:pt idx="1">
                  <c:v>13.291925465838512</c:v>
                </c:pt>
                <c:pt idx="2">
                  <c:v>11.445783132530121</c:v>
                </c:pt>
                <c:pt idx="3">
                  <c:v>12.42937853107345</c:v>
                </c:pt>
                <c:pt idx="4">
                  <c:v>12.777777777777777</c:v>
                </c:pt>
                <c:pt idx="5">
                  <c:v>12.335958005249346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6-4409-9392-B9B39236B2D1}"/>
            </c:ext>
          </c:extLst>
        </c:ser>
        <c:ser>
          <c:idx val="1"/>
          <c:order val="1"/>
          <c:tx>
            <c:strRef>
              <c:f>'Análisis proteínas'!$Z$19</c:f>
              <c:strCache>
                <c:ptCount val="1"/>
                <c:pt idx="0">
                  <c:v>GLU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proteínas'!$Z$21,'Análisis proteínas'!$Z$23,'Análisis proteínas'!$Z$25,'Análisis proteínas'!$Z$27,'Análisis proteínas'!$Z$29,'Análisis proteínas'!$Z$31)</c:f>
              <c:numCache>
                <c:formatCode>0.00</c:formatCode>
                <c:ptCount val="6"/>
                <c:pt idx="0">
                  <c:v>13.262599469496022</c:v>
                </c:pt>
                <c:pt idx="1">
                  <c:v>14.534161490683232</c:v>
                </c:pt>
                <c:pt idx="2">
                  <c:v>17.168674698795179</c:v>
                </c:pt>
                <c:pt idx="3">
                  <c:v>12.711864406779663</c:v>
                </c:pt>
                <c:pt idx="4">
                  <c:v>13.111111111111109</c:v>
                </c:pt>
                <c:pt idx="5">
                  <c:v>18.372703412073491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6-4409-9392-B9B39236B2D1}"/>
            </c:ext>
          </c:extLst>
        </c:ser>
        <c:ser>
          <c:idx val="2"/>
          <c:order val="2"/>
          <c:tx>
            <c:strRef>
              <c:f>'Análisis proteínas'!$AA$19</c:f>
              <c:strCache>
                <c:ptCount val="1"/>
                <c:pt idx="0">
                  <c:v>SER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proteínas'!$AA$21,'Análisis proteínas'!$AA$23,'Análisis proteínas'!$AA$25,'Análisis proteínas'!$AA$27,'Análisis proteínas'!$AA$29,'Análisis proteínas'!$AA$31)</c:f>
              <c:numCache>
                <c:formatCode>0.00</c:formatCode>
                <c:ptCount val="6"/>
                <c:pt idx="0">
                  <c:v>4.774535809018567</c:v>
                </c:pt>
                <c:pt idx="1">
                  <c:v>5.5900621118012435</c:v>
                </c:pt>
                <c:pt idx="2">
                  <c:v>5.120481927710844</c:v>
                </c:pt>
                <c:pt idx="3">
                  <c:v>5.0847457627118651</c:v>
                </c:pt>
                <c:pt idx="4">
                  <c:v>5.5555555555555554</c:v>
                </c:pt>
                <c:pt idx="5">
                  <c:v>5.7742782152230978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6-4409-9392-B9B39236B2D1}"/>
            </c:ext>
          </c:extLst>
        </c:ser>
        <c:ser>
          <c:idx val="3"/>
          <c:order val="3"/>
          <c:tx>
            <c:strRef>
              <c:f>'Análisis proteínas'!$AB$19</c:f>
              <c:strCache>
                <c:ptCount val="1"/>
                <c:pt idx="0">
                  <c:v>HIS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proteínas'!$AB$21,'Análisis proteínas'!$AB$23,'Análisis proteínas'!$AB$25,'Análisis proteínas'!$AB$27,'Análisis proteínas'!$AB$29,'Análisis proteínas'!$AB$31)</c:f>
              <c:numCache>
                <c:formatCode>0.00</c:formatCode>
                <c:ptCount val="6"/>
                <c:pt idx="0">
                  <c:v>1.8567639257294433</c:v>
                </c:pt>
                <c:pt idx="1">
                  <c:v>1.7391304347826091</c:v>
                </c:pt>
                <c:pt idx="2">
                  <c:v>1.2048192771084338</c:v>
                </c:pt>
                <c:pt idx="3">
                  <c:v>5.9322033898305104</c:v>
                </c:pt>
                <c:pt idx="4">
                  <c:v>2</c:v>
                </c:pt>
                <c:pt idx="5">
                  <c:v>1.0498687664041997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6-4409-9392-B9B39236B2D1}"/>
            </c:ext>
          </c:extLst>
        </c:ser>
        <c:ser>
          <c:idx val="4"/>
          <c:order val="4"/>
          <c:tx>
            <c:strRef>
              <c:f>'Análisis proteínas'!$AC$19</c:f>
              <c:strCache>
                <c:ptCount val="1"/>
                <c:pt idx="0">
                  <c:v>GLY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proteínas'!$AC$21,'Análisis proteínas'!$AC$23,'Análisis proteínas'!$AC$25,'Análisis proteínas'!$AC$27,'Análisis proteínas'!$AC$29,'Análisis proteínas'!$AC$31)</c:f>
              <c:numCache>
                <c:formatCode>0.00</c:formatCode>
                <c:ptCount val="6"/>
                <c:pt idx="0">
                  <c:v>8.2228116710875341</c:v>
                </c:pt>
                <c:pt idx="1">
                  <c:v>7.329192546583851</c:v>
                </c:pt>
                <c:pt idx="2">
                  <c:v>6.6265060240963862</c:v>
                </c:pt>
                <c:pt idx="3">
                  <c:v>7.909604519774013</c:v>
                </c:pt>
                <c:pt idx="4">
                  <c:v>7.333333333333333</c:v>
                </c:pt>
                <c:pt idx="5">
                  <c:v>6.5616797900262478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6-4409-9392-B9B39236B2D1}"/>
            </c:ext>
          </c:extLst>
        </c:ser>
        <c:ser>
          <c:idx val="5"/>
          <c:order val="5"/>
          <c:tx>
            <c:strRef>
              <c:f>'Análisis proteínas'!$AD$19</c:f>
              <c:strCache>
                <c:ptCount val="1"/>
                <c:pt idx="0">
                  <c:v>THR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proteínas'!$AD$21,'Análisis proteínas'!$AD$23,'Análisis proteínas'!$AD$25,'Análisis proteínas'!$AD$27,'Análisis proteínas'!$AD$29,'Análisis proteínas'!$AD$31)</c:f>
              <c:numCache>
                <c:formatCode>0.00</c:formatCode>
                <c:ptCount val="6"/>
                <c:pt idx="0">
                  <c:v>6.3660477453580899</c:v>
                </c:pt>
                <c:pt idx="1">
                  <c:v>5.8385093167701863</c:v>
                </c:pt>
                <c:pt idx="2">
                  <c:v>5.120481927710844</c:v>
                </c:pt>
                <c:pt idx="3">
                  <c:v>5.9322033898305104</c:v>
                </c:pt>
                <c:pt idx="4">
                  <c:v>3.6666666666666665</c:v>
                </c:pt>
                <c:pt idx="5">
                  <c:v>5.2493438320209984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66-4409-9392-B9B39236B2D1}"/>
            </c:ext>
          </c:extLst>
        </c:ser>
        <c:ser>
          <c:idx val="6"/>
          <c:order val="6"/>
          <c:tx>
            <c:strRef>
              <c:f>'Análisis proteínas'!$AE$19</c:f>
              <c:strCache>
                <c:ptCount val="1"/>
                <c:pt idx="0">
                  <c:v>ARG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proteínas'!$AE$21,'Análisis proteínas'!$AE$23,'Análisis proteínas'!$AE$25,'Análisis proteínas'!$AE$27,'Análisis proteínas'!$AE$29,'Análisis proteínas'!$AE$31)</c:f>
              <c:numCache>
                <c:formatCode>0.00</c:formatCode>
                <c:ptCount val="6"/>
                <c:pt idx="0">
                  <c:v>3.7135278514588865</c:v>
                </c:pt>
                <c:pt idx="1">
                  <c:v>4.8447204968944106</c:v>
                </c:pt>
                <c:pt idx="2">
                  <c:v>6.3253012048192767</c:v>
                </c:pt>
                <c:pt idx="3">
                  <c:v>3.672316384180792</c:v>
                </c:pt>
                <c:pt idx="4">
                  <c:v>5.5555555555555554</c:v>
                </c:pt>
                <c:pt idx="5">
                  <c:v>6.5616797900262478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66-4409-9392-B9B39236B2D1}"/>
            </c:ext>
          </c:extLst>
        </c:ser>
        <c:ser>
          <c:idx val="7"/>
          <c:order val="7"/>
          <c:tx>
            <c:strRef>
              <c:f>'Análisis proteínas'!$AF$19</c:f>
              <c:strCache>
                <c:ptCount val="1"/>
                <c:pt idx="0">
                  <c:v>ALA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proteínas'!$AF$21,'Análisis proteínas'!$AF$23,'Análisis proteínas'!$AF$25,'Análisis proteínas'!$AF$27,'Análisis proteínas'!$AF$29,'Análisis proteínas'!$AF$31)</c:f>
              <c:numCache>
                <c:formatCode>0.00</c:formatCode>
                <c:ptCount val="6"/>
                <c:pt idx="0">
                  <c:v>7.4270557029177731</c:v>
                </c:pt>
                <c:pt idx="1">
                  <c:v>10.931677018633541</c:v>
                </c:pt>
                <c:pt idx="2">
                  <c:v>12.951807228915662</c:v>
                </c:pt>
                <c:pt idx="3">
                  <c:v>8.1920903954802267</c:v>
                </c:pt>
                <c:pt idx="4">
                  <c:v>9.5555555555555554</c:v>
                </c:pt>
                <c:pt idx="5">
                  <c:v>13.123359580052496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66-4409-9392-B9B39236B2D1}"/>
            </c:ext>
          </c:extLst>
        </c:ser>
        <c:ser>
          <c:idx val="8"/>
          <c:order val="8"/>
          <c:tx>
            <c:strRef>
              <c:f>'Análisis proteínas'!$AG$19</c:f>
              <c:strCache>
                <c:ptCount val="1"/>
                <c:pt idx="0">
                  <c:v>TYR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proteínas'!$AG$21,'Análisis proteínas'!$AG$23,'Análisis proteínas'!$AG$25,'Análisis proteínas'!$AG$27,'Análisis proteínas'!$AG$29,'Análisis proteínas'!$AG$31)</c:f>
              <c:numCache>
                <c:formatCode>0.00</c:formatCode>
                <c:ptCount val="6"/>
                <c:pt idx="0">
                  <c:v>4.2440318302387263</c:v>
                </c:pt>
                <c:pt idx="1">
                  <c:v>4.0993788819875778</c:v>
                </c:pt>
                <c:pt idx="2">
                  <c:v>3.0120481927710845</c:v>
                </c:pt>
                <c:pt idx="3">
                  <c:v>3.9548022598870065</c:v>
                </c:pt>
                <c:pt idx="4">
                  <c:v>4.1111111111111116</c:v>
                </c:pt>
                <c:pt idx="5">
                  <c:v>3.1496062992125982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6-4409-9392-B9B39236B2D1}"/>
            </c:ext>
          </c:extLst>
        </c:ser>
        <c:ser>
          <c:idx val="9"/>
          <c:order val="9"/>
          <c:tx>
            <c:strRef>
              <c:f>'Análisis proteínas'!$AH$19</c:f>
              <c:strCache>
                <c:ptCount val="1"/>
                <c:pt idx="0">
                  <c:v>CYS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proteínas'!$AH$21,'Análisis proteínas'!$AH$23,'Análisis proteínas'!$AH$25,'Análisis proteínas'!$AH$27,'Análisis proteínas'!$AH$29,'Análisis proteínas'!$AH$31)</c:f>
              <c:numCache>
                <c:formatCode>0.00</c:formatCode>
                <c:ptCount val="6"/>
                <c:pt idx="0">
                  <c:v>0.79575596816976124</c:v>
                </c:pt>
                <c:pt idx="1">
                  <c:v>0.4968944099378883</c:v>
                </c:pt>
                <c:pt idx="2">
                  <c:v>0.60240963855421692</c:v>
                </c:pt>
                <c:pt idx="3">
                  <c:v>0.84745762711864425</c:v>
                </c:pt>
                <c:pt idx="4">
                  <c:v>0.66666666666666663</c:v>
                </c:pt>
                <c:pt idx="5">
                  <c:v>0.52493438320209984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66-4409-9392-B9B39236B2D1}"/>
            </c:ext>
          </c:extLst>
        </c:ser>
        <c:ser>
          <c:idx val="10"/>
          <c:order val="10"/>
          <c:tx>
            <c:strRef>
              <c:f>'Análisis proteínas'!$AI$19</c:f>
              <c:strCache>
                <c:ptCount val="1"/>
                <c:pt idx="0">
                  <c:v>VAL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proteínas'!$AI$21,'Análisis proteínas'!$AI$23,'Análisis proteínas'!$AI$25,'Análisis proteínas'!$AI$27,'Análisis proteínas'!$AI$29,'Análisis proteínas'!$AI$31)</c:f>
              <c:numCache>
                <c:formatCode>0.00</c:formatCode>
                <c:ptCount val="6"/>
                <c:pt idx="0">
                  <c:v>5.3050397877984086</c:v>
                </c:pt>
                <c:pt idx="1">
                  <c:v>3.8509316770186341</c:v>
                </c:pt>
                <c:pt idx="2">
                  <c:v>3.3132530120481931</c:v>
                </c:pt>
                <c:pt idx="3">
                  <c:v>4.519774011299436</c:v>
                </c:pt>
                <c:pt idx="4">
                  <c:v>4.1111111111111116</c:v>
                </c:pt>
                <c:pt idx="5">
                  <c:v>3.4120734908136487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66-4409-9392-B9B39236B2D1}"/>
            </c:ext>
          </c:extLst>
        </c:ser>
        <c:ser>
          <c:idx val="11"/>
          <c:order val="11"/>
          <c:tx>
            <c:strRef>
              <c:f>'Análisis proteínas'!$AJ$19</c:f>
              <c:strCache>
                <c:ptCount val="1"/>
                <c:pt idx="0">
                  <c:v>MET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proteínas'!$AJ$21,'Análisis proteínas'!$AJ$23,'Análisis proteínas'!$AJ$25,'Análisis proteínas'!$AJ$27,'Análisis proteínas'!$AJ$29,'Análisis proteínas'!$AJ$31)</c:f>
              <c:numCache>
                <c:formatCode>0.00</c:formatCode>
                <c:ptCount val="6"/>
                <c:pt idx="0">
                  <c:v>2.3872679045092835</c:v>
                </c:pt>
                <c:pt idx="1">
                  <c:v>2.1118012422360253</c:v>
                </c:pt>
                <c:pt idx="2">
                  <c:v>1.5060240963855422</c:v>
                </c:pt>
                <c:pt idx="3">
                  <c:v>1.9774011299435033</c:v>
                </c:pt>
                <c:pt idx="4">
                  <c:v>2.4444444444444446</c:v>
                </c:pt>
                <c:pt idx="5">
                  <c:v>1.3123359580052496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66-4409-9392-B9B39236B2D1}"/>
            </c:ext>
          </c:extLst>
        </c:ser>
        <c:ser>
          <c:idx val="12"/>
          <c:order val="12"/>
          <c:tx>
            <c:strRef>
              <c:f>'Análisis proteínas'!$AK$19</c:f>
              <c:strCache>
                <c:ptCount val="1"/>
                <c:pt idx="0">
                  <c:v>PHE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proteínas'!$AK$21,'Análisis proteínas'!$AK$23,'Análisis proteínas'!$AK$25,'Análisis proteínas'!$AK$27,'Análisis proteínas'!$AK$29,'Análisis proteínas'!$AK$31)</c:f>
              <c:numCache>
                <c:formatCode>0.00</c:formatCode>
                <c:ptCount val="6"/>
                <c:pt idx="0">
                  <c:v>4.774535809018567</c:v>
                </c:pt>
                <c:pt idx="1">
                  <c:v>4.2236024844720506</c:v>
                </c:pt>
                <c:pt idx="2">
                  <c:v>3.3132530120481931</c:v>
                </c:pt>
                <c:pt idx="3">
                  <c:v>4.2372881355932215</c:v>
                </c:pt>
                <c:pt idx="4">
                  <c:v>4.8888888888888893</c:v>
                </c:pt>
                <c:pt idx="5">
                  <c:v>3.4120734908136487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66-4409-9392-B9B39236B2D1}"/>
            </c:ext>
          </c:extLst>
        </c:ser>
        <c:ser>
          <c:idx val="13"/>
          <c:order val="13"/>
          <c:tx>
            <c:strRef>
              <c:f>'Análisis proteínas'!$AL$19</c:f>
              <c:strCache>
                <c:ptCount val="1"/>
                <c:pt idx="0">
                  <c:v>ILE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proteínas'!$AL$21,'Análisis proteínas'!$AL$23,'Análisis proteínas'!$AL$25,'Análisis proteínas'!$AL$27,'Análisis proteínas'!$AL$29,'Análisis proteínas'!$AL$31)</c:f>
              <c:numCache>
                <c:formatCode>0.00</c:formatCode>
                <c:ptCount val="6"/>
                <c:pt idx="0">
                  <c:v>2.6525198938992043</c:v>
                </c:pt>
                <c:pt idx="1">
                  <c:v>2.3602484472049694</c:v>
                </c:pt>
                <c:pt idx="2">
                  <c:v>5.120481927710844</c:v>
                </c:pt>
                <c:pt idx="3">
                  <c:v>1.4124293785310738</c:v>
                </c:pt>
                <c:pt idx="4">
                  <c:v>2.7777777777777777</c:v>
                </c:pt>
                <c:pt idx="5">
                  <c:v>1.8372703412073494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66-4409-9392-B9B39236B2D1}"/>
            </c:ext>
          </c:extLst>
        </c:ser>
        <c:ser>
          <c:idx val="14"/>
          <c:order val="14"/>
          <c:tx>
            <c:strRef>
              <c:f>'Análisis proteínas'!$AM$19</c:f>
              <c:strCache>
                <c:ptCount val="1"/>
                <c:pt idx="0">
                  <c:v>LEU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proteínas'!$AM$21,'Análisis proteínas'!$AM$23,'Análisis proteínas'!$AM$25,'Análisis proteínas'!$AM$27,'Análisis proteínas'!$AM$29,'Análisis proteínas'!$AM$31)</c:f>
              <c:numCache>
                <c:formatCode>0.00</c:formatCode>
                <c:ptCount val="6"/>
                <c:pt idx="0">
                  <c:v>8.2228116710875341</c:v>
                </c:pt>
                <c:pt idx="1">
                  <c:v>5.7142857142857153</c:v>
                </c:pt>
                <c:pt idx="2">
                  <c:v>6.3253012048192767</c:v>
                </c:pt>
                <c:pt idx="3">
                  <c:v>7.909604519774013</c:v>
                </c:pt>
                <c:pt idx="4">
                  <c:v>8.8888888888888893</c:v>
                </c:pt>
                <c:pt idx="5">
                  <c:v>6.5616797900262478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66-4409-9392-B9B39236B2D1}"/>
            </c:ext>
          </c:extLst>
        </c:ser>
        <c:ser>
          <c:idx val="15"/>
          <c:order val="15"/>
          <c:tx>
            <c:strRef>
              <c:f>'Análisis proteínas'!$AN$19</c:f>
              <c:strCache>
                <c:ptCount val="1"/>
                <c:pt idx="0">
                  <c:v>LYS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proteínas'!$AN$21,'Análisis proteínas'!$AN$23,'Análisis proteínas'!$AN$25,'Análisis proteínas'!$AN$27,'Análisis proteínas'!$AN$29,'Análisis proteínas'!$AN$31)</c:f>
              <c:numCache>
                <c:formatCode>0.00</c:formatCode>
                <c:ptCount val="6"/>
                <c:pt idx="0">
                  <c:v>7.957559681697612</c:v>
                </c:pt>
                <c:pt idx="1">
                  <c:v>7.4534161490683228</c:v>
                </c:pt>
                <c:pt idx="2">
                  <c:v>6.024096385542169</c:v>
                </c:pt>
                <c:pt idx="3">
                  <c:v>6.4971751412429395</c:v>
                </c:pt>
                <c:pt idx="4">
                  <c:v>6.5555555555555545</c:v>
                </c:pt>
                <c:pt idx="5">
                  <c:v>6.0367454068241475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66-4409-9392-B9B39236B2D1}"/>
            </c:ext>
          </c:extLst>
        </c:ser>
        <c:ser>
          <c:idx val="16"/>
          <c:order val="16"/>
          <c:tx>
            <c:strRef>
              <c:f>'Análisis proteínas'!$AO$19</c:f>
              <c:strCache>
                <c:ptCount val="1"/>
                <c:pt idx="0">
                  <c:v>PRO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proteínas'!$V$20:$V$25</c:f>
              <c:strCache>
                <c:ptCount val="6"/>
                <c:pt idx="0">
                  <c:v>Protamex</c:v>
                </c:pt>
                <c:pt idx="1">
                  <c:v>UAEE (P)</c:v>
                </c:pt>
                <c:pt idx="2">
                  <c:v>MAEE (P)</c:v>
                </c:pt>
                <c:pt idx="3">
                  <c:v>Prot + Cell</c:v>
                </c:pt>
                <c:pt idx="4">
                  <c:v>UAEE (P+C)</c:v>
                </c:pt>
                <c:pt idx="5">
                  <c:v>MAEE (P+C)</c:v>
                </c:pt>
              </c:strCache>
            </c:strRef>
          </c:cat>
          <c:val>
            <c:numRef>
              <c:f>('Análisis proteínas'!$AO$21,'Análisis proteínas'!$AO$23,'Análisis proteínas'!$AO$25,'Análisis proteínas'!$AO$27,'Análisis proteínas'!$AO$29,'Análisis proteínas'!$AO$31)</c:f>
              <c:numCache>
                <c:formatCode>0.00</c:formatCode>
                <c:ptCount val="6"/>
                <c:pt idx="0">
                  <c:v>6.1007957559681696</c:v>
                </c:pt>
                <c:pt idx="1">
                  <c:v>5.5900621118012435</c:v>
                </c:pt>
                <c:pt idx="2">
                  <c:v>4.8192771084337354</c:v>
                </c:pt>
                <c:pt idx="3">
                  <c:v>6.779661016949154</c:v>
                </c:pt>
                <c:pt idx="4">
                  <c:v>6.0000000000000009</c:v>
                </c:pt>
                <c:pt idx="5">
                  <c:v>4.7244094488188981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66-4409-9392-B9B39236B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686320"/>
        <c:axId val="387686648"/>
      </c:barChart>
      <c:catAx>
        <c:axId val="3876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86648"/>
        <c:crosses val="autoZero"/>
        <c:auto val="1"/>
        <c:lblAlgn val="ctr"/>
        <c:lblOffset val="100"/>
        <c:noMultiLvlLbl val="0"/>
      </c:catAx>
      <c:valAx>
        <c:axId val="38768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8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'Composición extractos'!$J$3</c:f>
              <c:strCache>
                <c:ptCount val="1"/>
                <c:pt idx="0">
                  <c:v>Proteínas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extractos'!$J$4:$J$33</c:f>
              <c:numCache>
                <c:formatCode>0.00</c:formatCode>
                <c:ptCount val="30"/>
                <c:pt idx="0">
                  <c:v>27.8465685149759</c:v>
                </c:pt>
                <c:pt idx="1">
                  <c:v>30.1103023653951</c:v>
                </c:pt>
                <c:pt idx="2">
                  <c:v>43.318169546552163</c:v>
                </c:pt>
                <c:pt idx="3">
                  <c:v>42.967654240951788</c:v>
                </c:pt>
                <c:pt idx="4">
                  <c:v>40.003330957050615</c:v>
                </c:pt>
                <c:pt idx="5">
                  <c:v>41.907695557897213</c:v>
                </c:pt>
                <c:pt idx="6">
                  <c:v>46.502290398037921</c:v>
                </c:pt>
                <c:pt idx="7">
                  <c:v>28.93215044316317</c:v>
                </c:pt>
                <c:pt idx="8">
                  <c:v>50.418296004842738</c:v>
                </c:pt>
                <c:pt idx="9">
                  <c:v>44.369672206624017</c:v>
                </c:pt>
                <c:pt idx="10">
                  <c:v>56.00104065075017</c:v>
                </c:pt>
                <c:pt idx="11">
                  <c:v>54.65119159092437</c:v>
                </c:pt>
                <c:pt idx="12">
                  <c:v>38.666784059922918</c:v>
                </c:pt>
                <c:pt idx="13">
                  <c:v>40.078522945231946</c:v>
                </c:pt>
                <c:pt idx="14">
                  <c:v>42.472596775178729</c:v>
                </c:pt>
                <c:pt idx="15">
                  <c:v>43.681403717135147</c:v>
                </c:pt>
                <c:pt idx="16">
                  <c:v>44.750332949381431</c:v>
                </c:pt>
                <c:pt idx="17">
                  <c:v>45.659616408967743</c:v>
                </c:pt>
                <c:pt idx="18">
                  <c:v>37.995123261905256</c:v>
                </c:pt>
                <c:pt idx="19">
                  <c:v>38.130832663518603</c:v>
                </c:pt>
                <c:pt idx="20">
                  <c:v>38.380890339771085</c:v>
                </c:pt>
                <c:pt idx="21">
                  <c:v>37.750805468630752</c:v>
                </c:pt>
                <c:pt idx="22">
                  <c:v>38.955381198564353</c:v>
                </c:pt>
                <c:pt idx="23">
                  <c:v>37.477842439642664</c:v>
                </c:pt>
                <c:pt idx="24">
                  <c:v>39.619841203288459</c:v>
                </c:pt>
                <c:pt idx="25">
                  <c:v>40.325080463300083</c:v>
                </c:pt>
                <c:pt idx="26">
                  <c:v>35.619722110296152</c:v>
                </c:pt>
                <c:pt idx="27">
                  <c:v>36.163630719504198</c:v>
                </c:pt>
                <c:pt idx="28">
                  <c:v>38.390309461638964</c:v>
                </c:pt>
                <c:pt idx="29">
                  <c:v>44.479634705299439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E-4C13-84E4-356BF633FF34}"/>
            </c:ext>
          </c:extLst>
        </c:ser>
        <c:ser>
          <c:idx val="1"/>
          <c:order val="1"/>
          <c:tx>
            <c:strRef>
              <c:f>'Composición extractos'!$K$3</c:f>
              <c:strCache>
                <c:ptCount val="1"/>
                <c:pt idx="0">
                  <c:v>Carbohidratos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extractos'!$K$4:$K$33</c:f>
              <c:numCache>
                <c:formatCode>0.00</c:formatCode>
                <c:ptCount val="30"/>
                <c:pt idx="0">
                  <c:v>8.0029043143321186</c:v>
                </c:pt>
                <c:pt idx="1">
                  <c:v>9.6104113878453461</c:v>
                </c:pt>
                <c:pt idx="2">
                  <c:v>11.490589099975992</c:v>
                </c:pt>
                <c:pt idx="3">
                  <c:v>9.8068991546782307</c:v>
                </c:pt>
                <c:pt idx="4">
                  <c:v>10.796953748922226</c:v>
                </c:pt>
                <c:pt idx="5">
                  <c:v>10.336892833166894</c:v>
                </c:pt>
                <c:pt idx="6">
                  <c:v>31.141298043805492</c:v>
                </c:pt>
                <c:pt idx="7">
                  <c:v>31.054366304002219</c:v>
                </c:pt>
                <c:pt idx="8">
                  <c:v>17.714565390465278</c:v>
                </c:pt>
                <c:pt idx="9">
                  <c:v>16.628974492392022</c:v>
                </c:pt>
                <c:pt idx="10">
                  <c:v>14.833186549230012</c:v>
                </c:pt>
                <c:pt idx="11">
                  <c:v>13.771173073695003</c:v>
                </c:pt>
                <c:pt idx="12">
                  <c:v>19.903249207504114</c:v>
                </c:pt>
                <c:pt idx="13">
                  <c:v>18.792916743417635</c:v>
                </c:pt>
                <c:pt idx="14">
                  <c:v>19.619527938498635</c:v>
                </c:pt>
                <c:pt idx="15">
                  <c:v>19.140581265464149</c:v>
                </c:pt>
                <c:pt idx="16">
                  <c:v>18.645092846494641</c:v>
                </c:pt>
                <c:pt idx="17">
                  <c:v>18.992112304571471</c:v>
                </c:pt>
                <c:pt idx="18">
                  <c:v>21.783953190047157</c:v>
                </c:pt>
                <c:pt idx="19">
                  <c:v>23.031311177163953</c:v>
                </c:pt>
                <c:pt idx="20">
                  <c:v>11.404513924913003</c:v>
                </c:pt>
                <c:pt idx="21">
                  <c:v>10.166841405835912</c:v>
                </c:pt>
                <c:pt idx="22">
                  <c:v>19.467688481221312</c:v>
                </c:pt>
                <c:pt idx="23">
                  <c:v>18.842623516916689</c:v>
                </c:pt>
                <c:pt idx="24">
                  <c:v>21.772221057401612</c:v>
                </c:pt>
                <c:pt idx="25">
                  <c:v>20.929436958371404</c:v>
                </c:pt>
                <c:pt idx="26">
                  <c:v>11.333628786511021</c:v>
                </c:pt>
                <c:pt idx="27">
                  <c:v>10.962843238540572</c:v>
                </c:pt>
                <c:pt idx="28">
                  <c:v>9.2610359667083433</c:v>
                </c:pt>
                <c:pt idx="29">
                  <c:v>10.012020224304743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E-4C13-84E4-356BF633FF34}"/>
            </c:ext>
          </c:extLst>
        </c:ser>
        <c:ser>
          <c:idx val="2"/>
          <c:order val="2"/>
          <c:tx>
            <c:strRef>
              <c:f>'Composición extractos'!$L$3</c:f>
              <c:strCache>
                <c:ptCount val="1"/>
                <c:pt idx="0">
                  <c:v>Lípidos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extractos'!$L$4:$L$33</c:f>
              <c:numCache>
                <c:formatCode>0.00</c:formatCode>
                <c:ptCount val="30"/>
                <c:pt idx="0">
                  <c:v>35.569806057841639</c:v>
                </c:pt>
                <c:pt idx="1">
                  <c:v>35.763138374977927</c:v>
                </c:pt>
                <c:pt idx="2">
                  <c:v>13.775983275238746</c:v>
                </c:pt>
                <c:pt idx="3">
                  <c:v>13.028144779945393</c:v>
                </c:pt>
                <c:pt idx="4">
                  <c:v>14.866823313777999</c:v>
                </c:pt>
                <c:pt idx="5">
                  <c:v>17.98283821579826</c:v>
                </c:pt>
                <c:pt idx="6">
                  <c:v>22.338781236398649</c:v>
                </c:pt>
                <c:pt idx="7">
                  <c:v>32.784814515357581</c:v>
                </c:pt>
                <c:pt idx="8">
                  <c:v>20.176118112975491</c:v>
                </c:pt>
                <c:pt idx="9">
                  <c:v>25.135512475558532</c:v>
                </c:pt>
                <c:pt idx="10">
                  <c:v>24.237116607025644</c:v>
                </c:pt>
                <c:pt idx="11">
                  <c:v>27.454841737044219</c:v>
                </c:pt>
                <c:pt idx="12">
                  <c:v>14.389349670307238</c:v>
                </c:pt>
                <c:pt idx="13">
                  <c:v>17.023438000793821</c:v>
                </c:pt>
                <c:pt idx="14">
                  <c:v>16.630026712027792</c:v>
                </c:pt>
                <c:pt idx="15">
                  <c:v>12.746537155180265</c:v>
                </c:pt>
                <c:pt idx="16">
                  <c:v>11.686521862633349</c:v>
                </c:pt>
                <c:pt idx="17">
                  <c:v>10.899397838628463</c:v>
                </c:pt>
                <c:pt idx="18">
                  <c:v>11.683588562636164</c:v>
                </c:pt>
                <c:pt idx="19">
                  <c:v>18.866579298445231</c:v>
                </c:pt>
                <c:pt idx="20">
                  <c:v>14.79900044258342</c:v>
                </c:pt>
                <c:pt idx="21">
                  <c:v>12.281477522303259</c:v>
                </c:pt>
                <c:pt idx="22">
                  <c:v>15.934072280681374</c:v>
                </c:pt>
                <c:pt idx="23">
                  <c:v>17.339440279531594</c:v>
                </c:pt>
                <c:pt idx="24">
                  <c:v>20.08752898423489</c:v>
                </c:pt>
                <c:pt idx="25">
                  <c:v>26.143348698660919</c:v>
                </c:pt>
                <c:pt idx="26">
                  <c:v>16.596426104392172</c:v>
                </c:pt>
                <c:pt idx="27">
                  <c:v>28.518062921381354</c:v>
                </c:pt>
                <c:pt idx="28">
                  <c:v>23.129483000412836</c:v>
                </c:pt>
                <c:pt idx="29">
                  <c:v>11.146108776275144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E-4C13-84E4-356BF633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6308208"/>
        <c:axId val="257031168"/>
      </c:barChart>
      <c:catAx>
        <c:axId val="366308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31168"/>
        <c:crosses val="autoZero"/>
        <c:auto val="1"/>
        <c:lblAlgn val="ctr"/>
        <c:lblOffset val="100"/>
        <c:noMultiLvlLbl val="0"/>
      </c:catAx>
      <c:valAx>
        <c:axId val="2570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composición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30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'Composición extractos'!$Q$3</c:f>
              <c:strCache>
                <c:ptCount val="1"/>
                <c:pt idx="0">
                  <c:v>Proteínas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extractos'!$Q$4:$Q$33</c:f>
              <c:numCache>
                <c:formatCode>0.00</c:formatCode>
                <c:ptCount val="30"/>
                <c:pt idx="0">
                  <c:v>3.7013937090546354</c:v>
                </c:pt>
                <c:pt idx="1">
                  <c:v>3.3642589523756903</c:v>
                </c:pt>
                <c:pt idx="2">
                  <c:v>0.81503194139042368</c:v>
                </c:pt>
                <c:pt idx="3">
                  <c:v>0.97453366353898097</c:v>
                </c:pt>
                <c:pt idx="4">
                  <c:v>0.68021537119705355</c:v>
                </c:pt>
                <c:pt idx="5">
                  <c:v>0.7585332301074279</c:v>
                </c:pt>
                <c:pt idx="6">
                  <c:v>3.9127353286678952</c:v>
                </c:pt>
                <c:pt idx="7">
                  <c:v>3.9150493955432784</c:v>
                </c:pt>
                <c:pt idx="8">
                  <c:v>2.1875708306322905</c:v>
                </c:pt>
                <c:pt idx="9">
                  <c:v>2.3185586195273178</c:v>
                </c:pt>
                <c:pt idx="10">
                  <c:v>1.5656354372130143</c:v>
                </c:pt>
                <c:pt idx="11">
                  <c:v>1.6406554926273791</c:v>
                </c:pt>
                <c:pt idx="12">
                  <c:v>1.4930363732658072</c:v>
                </c:pt>
                <c:pt idx="13">
                  <c:v>1.5232966402639661</c:v>
                </c:pt>
                <c:pt idx="14">
                  <c:v>1.2187331798281156</c:v>
                </c:pt>
                <c:pt idx="15">
                  <c:v>1.3951933852424805</c:v>
                </c:pt>
                <c:pt idx="16">
                  <c:v>0.98702455182320459</c:v>
                </c:pt>
                <c:pt idx="17">
                  <c:v>0.85420355295273165</c:v>
                </c:pt>
                <c:pt idx="18">
                  <c:v>2.2152521493799879</c:v>
                </c:pt>
                <c:pt idx="19">
                  <c:v>2.3684442574432172</c:v>
                </c:pt>
                <c:pt idx="20">
                  <c:v>0.70640490963167601</c:v>
                </c:pt>
                <c:pt idx="21">
                  <c:v>0.684217601193984</c:v>
                </c:pt>
                <c:pt idx="22">
                  <c:v>1.4347427261510131</c:v>
                </c:pt>
                <c:pt idx="23">
                  <c:v>1.4122794489871089</c:v>
                </c:pt>
                <c:pt idx="24">
                  <c:v>2.0166438969014737</c:v>
                </c:pt>
                <c:pt idx="25">
                  <c:v>1.9081452809699204</c:v>
                </c:pt>
                <c:pt idx="26">
                  <c:v>0.76404576996316764</c:v>
                </c:pt>
                <c:pt idx="27">
                  <c:v>0.90445264335174991</c:v>
                </c:pt>
                <c:pt idx="28">
                  <c:v>1.8000768694505833</c:v>
                </c:pt>
                <c:pt idx="29">
                  <c:v>0.52652159846531632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D-49D0-84CF-A4C4B0B977DB}"/>
            </c:ext>
          </c:extLst>
        </c:ser>
        <c:ser>
          <c:idx val="1"/>
          <c:order val="1"/>
          <c:tx>
            <c:strRef>
              <c:f>'Composición extractos'!$R$3</c:f>
              <c:strCache>
                <c:ptCount val="1"/>
                <c:pt idx="0">
                  <c:v>Carbohidratos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extractos'!$R$4:$R$33</c:f>
              <c:numCache>
                <c:formatCode>0.00</c:formatCode>
                <c:ptCount val="30"/>
                <c:pt idx="0">
                  <c:v>1.4974842353192694</c:v>
                </c:pt>
                <c:pt idx="1">
                  <c:v>1.4632184069932721</c:v>
                </c:pt>
                <c:pt idx="2">
                  <c:v>0.4853919069314232</c:v>
                </c:pt>
                <c:pt idx="3">
                  <c:v>0.49155148317620001</c:v>
                </c:pt>
                <c:pt idx="4">
                  <c:v>0.43745630675234382</c:v>
                </c:pt>
                <c:pt idx="5">
                  <c:v>0.44500803341936168</c:v>
                </c:pt>
                <c:pt idx="6">
                  <c:v>0.78176870663588982</c:v>
                </c:pt>
                <c:pt idx="7">
                  <c:v>1.0994266053402444</c:v>
                </c:pt>
                <c:pt idx="8">
                  <c:v>0.60498983023336428</c:v>
                </c:pt>
                <c:pt idx="9">
                  <c:v>0.63185220970180156</c:v>
                </c:pt>
                <c:pt idx="10">
                  <c:v>0.53295718586797536</c:v>
                </c:pt>
                <c:pt idx="11">
                  <c:v>0.51916920489888696</c:v>
                </c:pt>
                <c:pt idx="12">
                  <c:v>0.36485835138522027</c:v>
                </c:pt>
                <c:pt idx="13">
                  <c:v>0.37164088666340422</c:v>
                </c:pt>
                <c:pt idx="14">
                  <c:v>0.33718706122088493</c:v>
                </c:pt>
                <c:pt idx="15">
                  <c:v>0.35850757336667172</c:v>
                </c:pt>
                <c:pt idx="16">
                  <c:v>0.36480794976161324</c:v>
                </c:pt>
                <c:pt idx="17">
                  <c:v>0.36105574198975654</c:v>
                </c:pt>
                <c:pt idx="18">
                  <c:v>0.47208431486531938</c:v>
                </c:pt>
                <c:pt idx="19">
                  <c:v>0.44879161552755853</c:v>
                </c:pt>
                <c:pt idx="20">
                  <c:v>0.23649633210966636</c:v>
                </c:pt>
                <c:pt idx="21">
                  <c:v>0.25685228556789086</c:v>
                </c:pt>
                <c:pt idx="22">
                  <c:v>0.51943505931999934</c:v>
                </c:pt>
                <c:pt idx="23">
                  <c:v>0.53002493025616659</c:v>
                </c:pt>
                <c:pt idx="24">
                  <c:v>0.79672937670046329</c:v>
                </c:pt>
                <c:pt idx="25">
                  <c:v>0.75089374186426872</c:v>
                </c:pt>
                <c:pt idx="26">
                  <c:v>0.43247407288374157</c:v>
                </c:pt>
                <c:pt idx="27">
                  <c:v>0.44716148004586698</c:v>
                </c:pt>
                <c:pt idx="28">
                  <c:v>0.49517242269044826</c:v>
                </c:pt>
                <c:pt idx="29">
                  <c:v>0.16187872516168805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D-49D0-84CF-A4C4B0B9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724000"/>
        <c:axId val="255344608"/>
      </c:barChart>
      <c:catAx>
        <c:axId val="43472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44608"/>
        <c:crosses val="autoZero"/>
        <c:auto val="1"/>
        <c:lblAlgn val="ctr"/>
        <c:lblOffset val="100"/>
        <c:noMultiLvlLbl val="0"/>
      </c:catAx>
      <c:valAx>
        <c:axId val="25534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fase</a:t>
                </a:r>
                <a:r>
                  <a:rPr lang="es-ES" baseline="0"/>
                  <a:t> líquida (g)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'Composición extractos'!$Z$3</c:f>
              <c:strCache>
                <c:ptCount val="1"/>
                <c:pt idx="0">
                  <c:v>BCA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extractos'!$Z$4:$Z$33</c:f>
              <c:numCache>
                <c:formatCode>0.000</c:formatCode>
                <c:ptCount val="30"/>
                <c:pt idx="0">
                  <c:v>1.4347702354812268</c:v>
                </c:pt>
                <c:pt idx="1">
                  <c:v>1.4647010751378617</c:v>
                </c:pt>
                <c:pt idx="2">
                  <c:v>0.36849750832658645</c:v>
                </c:pt>
                <c:pt idx="3">
                  <c:v>0.38832605730981928</c:v>
                </c:pt>
                <c:pt idx="4">
                  <c:v>0.28138712544969063</c:v>
                </c:pt>
                <c:pt idx="5">
                  <c:v>0.27810542245584408</c:v>
                </c:pt>
                <c:pt idx="6">
                  <c:v>2.3639508867467032</c:v>
                </c:pt>
                <c:pt idx="7">
                  <c:v>2.3703904459313736</c:v>
                </c:pt>
                <c:pt idx="8">
                  <c:v>1.1670591476118939</c:v>
                </c:pt>
                <c:pt idx="9">
                  <c:v>1.110844031657227</c:v>
                </c:pt>
                <c:pt idx="10">
                  <c:v>0.67791570523715838</c:v>
                </c:pt>
                <c:pt idx="11">
                  <c:v>0.65582146838227939</c:v>
                </c:pt>
                <c:pt idx="12">
                  <c:v>0.7900078281180567</c:v>
                </c:pt>
                <c:pt idx="13">
                  <c:v>0.75848856571307566</c:v>
                </c:pt>
                <c:pt idx="14">
                  <c:v>0.58355738062548823</c:v>
                </c:pt>
                <c:pt idx="15">
                  <c:v>0.67144614464408603</c:v>
                </c:pt>
                <c:pt idx="16">
                  <c:v>0.57103698928353086</c:v>
                </c:pt>
                <c:pt idx="17">
                  <c:v>0.61087673716526836</c:v>
                </c:pt>
                <c:pt idx="18">
                  <c:v>1.150883467767043</c:v>
                </c:pt>
                <c:pt idx="19">
                  <c:v>1.0675127215762117</c:v>
                </c:pt>
                <c:pt idx="20">
                  <c:v>0.38435466378791155</c:v>
                </c:pt>
                <c:pt idx="21">
                  <c:v>0.37897550625854765</c:v>
                </c:pt>
                <c:pt idx="22">
                  <c:v>0.63176549717074315</c:v>
                </c:pt>
                <c:pt idx="23">
                  <c:v>0.5991132449901867</c:v>
                </c:pt>
                <c:pt idx="24">
                  <c:v>1.1490742168743098</c:v>
                </c:pt>
                <c:pt idx="25">
                  <c:v>1.0700653747644662</c:v>
                </c:pt>
                <c:pt idx="26">
                  <c:v>0.42709147227663657</c:v>
                </c:pt>
                <c:pt idx="27">
                  <c:v>0.41838756853693537</c:v>
                </c:pt>
                <c:pt idx="28">
                  <c:v>1.0371673952781011</c:v>
                </c:pt>
                <c:pt idx="29">
                  <c:v>0.77183214480380791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7-4A85-BA3D-67EE519A2F6A}"/>
            </c:ext>
          </c:extLst>
        </c:ser>
        <c:ser>
          <c:idx val="1"/>
          <c:order val="1"/>
          <c:tx>
            <c:strRef>
              <c:f>'Composición extractos'!$AA$3</c:f>
              <c:strCache>
                <c:ptCount val="1"/>
                <c:pt idx="0">
                  <c:v>Ninhidrina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extractos'!$AA$4:$AA$33</c:f>
              <c:numCache>
                <c:formatCode>0.000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572.25394641600008</c:v>
                </c:pt>
                <c:pt idx="17">
                  <c:v>568.07791300800011</c:v>
                </c:pt>
                <c:pt idx="18">
                  <c:v>964.23815247709103</c:v>
                </c:pt>
                <c:pt idx="19">
                  <c:v>960.53160529963645</c:v>
                </c:pt>
                <c:pt idx="20">
                  <c:v>356.68990078690911</c:v>
                </c:pt>
                <c:pt idx="21">
                  <c:v>393.39179832763648</c:v>
                </c:pt>
                <c:pt idx="22">
                  <c:v>555.16494579054552</c:v>
                </c:pt>
                <c:pt idx="23">
                  <c:v>521.26983475199995</c:v>
                </c:pt>
                <c:pt idx="24">
                  <c:v>909.10441158872766</c:v>
                </c:pt>
                <c:pt idx="25">
                  <c:v>902.52398078836427</c:v>
                </c:pt>
                <c:pt idx="26">
                  <c:v>354.45875453018186</c:v>
                </c:pt>
                <c:pt idx="27">
                  <c:v>383.34700310400012</c:v>
                </c:pt>
                <c:pt idx="28">
                  <c:v>683.37305145163634</c:v>
                </c:pt>
                <c:pt idx="29">
                  <c:v>141.88767030981825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7-4A85-BA3D-67EE519A2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724000"/>
        <c:axId val="255344608"/>
      </c:barChart>
      <c:catAx>
        <c:axId val="43472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44608"/>
        <c:crosses val="autoZero"/>
        <c:auto val="1"/>
        <c:lblAlgn val="ctr"/>
        <c:lblOffset val="100"/>
        <c:noMultiLvlLbl val="0"/>
      </c:catAx>
      <c:valAx>
        <c:axId val="255344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fase</a:t>
                </a:r>
                <a:r>
                  <a:rPr lang="es-ES" baseline="0"/>
                  <a:t> líquida (g)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'Composición extractos'!$B$3</c:f>
              <c:strCache>
                <c:ptCount val="1"/>
                <c:pt idx="0">
                  <c:v>Proteínas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extractos'!$B$4:$B$33</c:f>
              <c:numCache>
                <c:formatCode>0.00</c:formatCode>
                <c:ptCount val="30"/>
                <c:pt idx="0">
                  <c:v>26.190217782464821</c:v>
                </c:pt>
                <c:pt idx="1">
                  <c:v>28.310930839174208</c:v>
                </c:pt>
                <c:pt idx="2">
                  <c:v>42.021256493193448</c:v>
                </c:pt>
                <c:pt idx="3">
                  <c:v>41.608914092862321</c:v>
                </c:pt>
                <c:pt idx="4">
                  <c:v>38.481558032446429</c:v>
                </c:pt>
                <c:pt idx="5">
                  <c:v>40.194828787572007</c:v>
                </c:pt>
                <c:pt idx="6">
                  <c:v>12.252812194671087</c:v>
                </c:pt>
                <c:pt idx="7">
                  <c:v>8.2333688547529942</c:v>
                </c:pt>
                <c:pt idx="8">
                  <c:v>21.163338346175706</c:v>
                </c:pt>
                <c:pt idx="9">
                  <c:v>19.695316033800097</c:v>
                </c:pt>
                <c:pt idx="10">
                  <c:v>23.365222541665055</c:v>
                </c:pt>
                <c:pt idx="11">
                  <c:v>24.407109481637558</c:v>
                </c:pt>
                <c:pt idx="12">
                  <c:v>32.741669244216766</c:v>
                </c:pt>
                <c:pt idx="13">
                  <c:v>32.741669244216766</c:v>
                </c:pt>
                <c:pt idx="14">
                  <c:v>36.362898613015133</c:v>
                </c:pt>
                <c:pt idx="15">
                  <c:v>36.362898613015133</c:v>
                </c:pt>
                <c:pt idx="16">
                  <c:v>37.652740625348855</c:v>
                </c:pt>
                <c:pt idx="17">
                  <c:v>38.13302658695855</c:v>
                </c:pt>
                <c:pt idx="18">
                  <c:v>32.582366378813546</c:v>
                </c:pt>
                <c:pt idx="19">
                  <c:v>30.471785724877243</c:v>
                </c:pt>
                <c:pt idx="20">
                  <c:v>32.159442746903643</c:v>
                </c:pt>
                <c:pt idx="21">
                  <c:v>31.687177412254908</c:v>
                </c:pt>
                <c:pt idx="22">
                  <c:v>32.141823386315465</c:v>
                </c:pt>
                <c:pt idx="23">
                  <c:v>32.141823386315465</c:v>
                </c:pt>
                <c:pt idx="24">
                  <c:v>33.72628880085351</c:v>
                </c:pt>
                <c:pt idx="25">
                  <c:v>33.616740944514959</c:v>
                </c:pt>
                <c:pt idx="26">
                  <c:v>30.278717453305447</c:v>
                </c:pt>
                <c:pt idx="27">
                  <c:v>30.458861847573779</c:v>
                </c:pt>
                <c:pt idx="28">
                  <c:v>32.266645870335246</c:v>
                </c:pt>
                <c:pt idx="29">
                  <c:v>38.095181064640798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C-42BF-81E0-018FC9FB16D7}"/>
            </c:ext>
          </c:extLst>
        </c:ser>
        <c:ser>
          <c:idx val="1"/>
          <c:order val="1"/>
          <c:tx>
            <c:strRef>
              <c:f>'Composición extractos'!$C$3</c:f>
              <c:strCache>
                <c:ptCount val="1"/>
                <c:pt idx="0">
                  <c:v>Carbohidratos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extractos'!$C$4:$C$33</c:f>
              <c:numCache>
                <c:formatCode>0.00</c:formatCode>
                <c:ptCount val="30"/>
                <c:pt idx="0">
                  <c:v>7.52688097895666</c:v>
                </c:pt>
                <c:pt idx="1">
                  <c:v>9.036099632463177</c:v>
                </c:pt>
                <c:pt idx="2">
                  <c:v>11.1465696007558</c:v>
                </c:pt>
                <c:pt idx="3">
                  <c:v>9.496781512812035</c:v>
                </c:pt>
                <c:pt idx="4">
                  <c:v>10.38622515482205</c:v>
                </c:pt>
                <c:pt idx="5">
                  <c:v>9.9143995415020463</c:v>
                </c:pt>
                <c:pt idx="6">
                  <c:v>8.205369524016529</c:v>
                </c:pt>
                <c:pt idx="7">
                  <c:v>8.8372985904987171</c:v>
                </c:pt>
                <c:pt idx="8">
                  <c:v>7.4357796816033073</c:v>
                </c:pt>
                <c:pt idx="9">
                  <c:v>7.38145881313873</c:v>
                </c:pt>
                <c:pt idx="10">
                  <c:v>6.1888261485396043</c:v>
                </c:pt>
                <c:pt idx="11">
                  <c:v>6.1501775005409014</c:v>
                </c:pt>
                <c:pt idx="12">
                  <c:v>16.853369585311672</c:v>
                </c:pt>
                <c:pt idx="13">
                  <c:v>15.352648224784087</c:v>
                </c:pt>
                <c:pt idx="14">
                  <c:v>16.797251861929308</c:v>
                </c:pt>
                <c:pt idx="15">
                  <c:v>15.933714503712782</c:v>
                </c:pt>
                <c:pt idx="16">
                  <c:v>15.687902158822132</c:v>
                </c:pt>
                <c:pt idx="17">
                  <c:v>15.861428115512712</c:v>
                </c:pt>
                <c:pt idx="18">
                  <c:v>18.68062748801961</c:v>
                </c:pt>
                <c:pt idx="19">
                  <c:v>18.405188927986806</c:v>
                </c:pt>
                <c:pt idx="20">
                  <c:v>9.5558703661560909</c:v>
                </c:pt>
                <c:pt idx="21">
                  <c:v>8.5338181093031551</c:v>
                </c:pt>
                <c:pt idx="22">
                  <c:v>16.062659012724119</c:v>
                </c:pt>
                <c:pt idx="23">
                  <c:v>16.159849067910887</c:v>
                </c:pt>
                <c:pt idx="24">
                  <c:v>18.533547659878156</c:v>
                </c:pt>
                <c:pt idx="25">
                  <c:v>17.447688938512034</c:v>
                </c:pt>
                <c:pt idx="26">
                  <c:v>9.6342060919172923</c:v>
                </c:pt>
                <c:pt idx="27">
                  <c:v>9.2334680178897024</c:v>
                </c:pt>
                <c:pt idx="28">
                  <c:v>7.7838020094318505</c:v>
                </c:pt>
                <c:pt idx="29">
                  <c:v>8.5749293085424654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C-42BF-81E0-018FC9FB16D7}"/>
            </c:ext>
          </c:extLst>
        </c:ser>
        <c:ser>
          <c:idx val="2"/>
          <c:order val="2"/>
          <c:tx>
            <c:strRef>
              <c:f>'Composición extractos'!$D$3</c:f>
              <c:strCache>
                <c:ptCount val="1"/>
                <c:pt idx="0">
                  <c:v>Lípidos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extractos'!$D$4:$D$33</c:f>
              <c:numCache>
                <c:formatCode>0.00</c:formatCode>
                <c:ptCount val="30"/>
                <c:pt idx="0">
                  <c:v>33.454066939483198</c:v>
                </c:pt>
                <c:pt idx="1">
                  <c:v>33.625957150448279</c:v>
                </c:pt>
                <c:pt idx="2">
                  <c:v>13.363540812421649</c:v>
                </c:pt>
                <c:pt idx="3">
                  <c:v>12.616163635515994</c:v>
                </c:pt>
                <c:pt idx="4">
                  <c:v>14.301272179596907</c:v>
                </c:pt>
                <c:pt idx="5">
                  <c:v>17.247837027927634</c:v>
                </c:pt>
                <c:pt idx="6">
                  <c:v>5.8860088138579911</c:v>
                </c:pt>
                <c:pt idx="7">
                  <c:v>9.3297410183827125</c:v>
                </c:pt>
                <c:pt idx="8">
                  <c:v>8.4690290623128384</c:v>
                </c:pt>
                <c:pt idx="9">
                  <c:v>11.157437890734366</c:v>
                </c:pt>
                <c:pt idx="10">
                  <c:v>10.112412496460529</c:v>
                </c:pt>
                <c:pt idx="11">
                  <c:v>12.261275711842838</c:v>
                </c:pt>
                <c:pt idx="12">
                  <c:v>12.184393892557878</c:v>
                </c:pt>
                <c:pt idx="13">
                  <c:v>13.907093761491321</c:v>
                </c:pt>
                <c:pt idx="14">
                  <c:v>14.237791450853789</c:v>
                </c:pt>
                <c:pt idx="15">
                  <c:v>10.610946508091043</c:v>
                </c:pt>
                <c:pt idx="16">
                  <c:v>9.8329900026427541</c:v>
                </c:pt>
                <c:pt idx="17">
                  <c:v>9.1027270978261399</c:v>
                </c:pt>
                <c:pt idx="18">
                  <c:v>10.019153261934648</c:v>
                </c:pt>
                <c:pt idx="19">
                  <c:v>15.076994693946395</c:v>
                </c:pt>
                <c:pt idx="20">
                  <c:v>12.400118997539174</c:v>
                </c:pt>
                <c:pt idx="21">
                  <c:v>10.308796125084626</c:v>
                </c:pt>
                <c:pt idx="22">
                  <c:v>13.147096018901753</c:v>
                </c:pt>
                <c:pt idx="23">
                  <c:v>14.870686005466402</c:v>
                </c:pt>
                <c:pt idx="24">
                  <c:v>17.099457828255773</c:v>
                </c:pt>
                <c:pt idx="25">
                  <c:v>21.794232535378395</c:v>
                </c:pt>
                <c:pt idx="26">
                  <c:v>14.107872464403549</c:v>
                </c:pt>
                <c:pt idx="27">
                  <c:v>24.019373093926994</c:v>
                </c:pt>
                <c:pt idx="28">
                  <c:v>19.440083906695307</c:v>
                </c:pt>
                <c:pt idx="29">
                  <c:v>9.5462346939597005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C-42BF-81E0-018FC9FB16D7}"/>
            </c:ext>
          </c:extLst>
        </c:ser>
        <c:ser>
          <c:idx val="3"/>
          <c:order val="3"/>
          <c:tx>
            <c:strRef>
              <c:f>'Composición extractos'!$E$3</c:f>
              <c:strCache>
                <c:ptCount val="1"/>
                <c:pt idx="0">
                  <c:v>Cenizas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extractos'!$A$4:$A$33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extractos'!$E$4:$E$33</c:f>
              <c:numCache>
                <c:formatCode>0.00</c:formatCode>
                <c:ptCount val="30"/>
                <c:pt idx="0">
                  <c:v>5.9481322864621209</c:v>
                </c:pt>
                <c:pt idx="1">
                  <c:v>5.9759331021825242</c:v>
                </c:pt>
                <c:pt idx="2">
                  <c:v>2.9939239513917699</c:v>
                </c:pt>
                <c:pt idx="3">
                  <c:v>3.1622395313227796</c:v>
                </c:pt>
                <c:pt idx="4">
                  <c:v>3.8041155278744894</c:v>
                </c:pt>
                <c:pt idx="5">
                  <c:v>4.0872368368687919</c:v>
                </c:pt>
                <c:pt idx="6">
                  <c:v>73.651164082902739</c:v>
                </c:pt>
                <c:pt idx="7">
                  <c:v>71.542492595124102</c:v>
                </c:pt>
                <c:pt idx="8">
                  <c:v>58.024487094639333</c:v>
                </c:pt>
                <c:pt idx="9">
                  <c:v>55.610859728506732</c:v>
                </c:pt>
                <c:pt idx="10">
                  <c:v>58.277163655972053</c:v>
                </c:pt>
                <c:pt idx="11">
                  <c:v>55.34020618556702</c:v>
                </c:pt>
                <c:pt idx="12">
                  <c:v>15.323526276516434</c:v>
                </c:pt>
                <c:pt idx="13">
                  <c:v>18.306197838281435</c:v>
                </c:pt>
                <c:pt idx="14">
                  <c:v>14.385035590134077</c:v>
                </c:pt>
                <c:pt idx="15">
                  <c:v>16.754280955602958</c:v>
                </c:pt>
                <c:pt idx="16">
                  <c:v>15.860423501342193</c:v>
                </c:pt>
                <c:pt idx="17">
                  <c:v>16.4841284573975</c:v>
                </c:pt>
                <c:pt idx="18">
                  <c:v>14.245925314627566</c:v>
                </c:pt>
                <c:pt idx="19">
                  <c:v>20.086230495483257</c:v>
                </c:pt>
                <c:pt idx="20">
                  <c:v>16.209753181313371</c:v>
                </c:pt>
                <c:pt idx="21">
                  <c:v>16.062248158955047</c:v>
                </c:pt>
                <c:pt idx="22">
                  <c:v>17.490671641791028</c:v>
                </c:pt>
                <c:pt idx="23">
                  <c:v>14.237796804660649</c:v>
                </c:pt>
                <c:pt idx="24">
                  <c:v>14.875254981955303</c:v>
                </c:pt>
                <c:pt idx="25">
                  <c:v>16.635650671274909</c:v>
                </c:pt>
                <c:pt idx="26">
                  <c:v>14.99451523078236</c:v>
                </c:pt>
                <c:pt idx="27">
                  <c:v>15.774878679019524</c:v>
                </c:pt>
                <c:pt idx="28">
                  <c:v>15.95106597778981</c:v>
                </c:pt>
                <c:pt idx="29">
                  <c:v>14.353655741462227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C-42BF-81E0-018FC9FB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6308208"/>
        <c:axId val="257031168"/>
      </c:barChart>
      <c:catAx>
        <c:axId val="366308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31168"/>
        <c:crosses val="autoZero"/>
        <c:auto val="1"/>
        <c:lblAlgn val="ctr"/>
        <c:lblOffset val="100"/>
        <c:noMultiLvlLbl val="0"/>
      </c:catAx>
      <c:valAx>
        <c:axId val="2570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composición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30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'Composición extractos'!$T$3</c:f>
              <c:strCache>
                <c:ptCount val="1"/>
                <c:pt idx="0">
                  <c:v>Glucosa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extractos'!$T$4:$T$33</c:f>
              <c:numCache>
                <c:formatCode>0.00</c:formatCode>
                <c:ptCount val="30"/>
                <c:pt idx="0">
                  <c:v>0.83923541951964598</c:v>
                </c:pt>
                <c:pt idx="1">
                  <c:v>0.82465125765915226</c:v>
                </c:pt>
                <c:pt idx="2">
                  <c:v>0.48539190693142314</c:v>
                </c:pt>
                <c:pt idx="3">
                  <c:v>0.49155148317620001</c:v>
                </c:pt>
                <c:pt idx="4">
                  <c:v>0.43745630675234382</c:v>
                </c:pt>
                <c:pt idx="5">
                  <c:v>0.44500803341936163</c:v>
                </c:pt>
                <c:pt idx="6">
                  <c:v>0.40998723620913652</c:v>
                </c:pt>
                <c:pt idx="7">
                  <c:v>0.44039743626882966</c:v>
                </c:pt>
                <c:pt idx="8">
                  <c:v>0.26892181958636191</c:v>
                </c:pt>
                <c:pt idx="9">
                  <c:v>0.28326384441167174</c:v>
                </c:pt>
                <c:pt idx="10">
                  <c:v>0.29555055830612031</c:v>
                </c:pt>
                <c:pt idx="11">
                  <c:v>0.28668158467642824</c:v>
                </c:pt>
                <c:pt idx="12">
                  <c:v>0.30467438353699222</c:v>
                </c:pt>
                <c:pt idx="13">
                  <c:v>0.30996839530882403</c:v>
                </c:pt>
                <c:pt idx="14">
                  <c:v>0.28029455842462869</c:v>
                </c:pt>
                <c:pt idx="15">
                  <c:v>0.30047097786965832</c:v>
                </c:pt>
                <c:pt idx="16">
                  <c:v>0.30402228984514906</c:v>
                </c:pt>
                <c:pt idx="17">
                  <c:v>0.30385793178745746</c:v>
                </c:pt>
                <c:pt idx="18">
                  <c:v>0.32581523578777344</c:v>
                </c:pt>
                <c:pt idx="19">
                  <c:v>0.29556559987183539</c:v>
                </c:pt>
                <c:pt idx="20">
                  <c:v>0.18882773675339723</c:v>
                </c:pt>
                <c:pt idx="21">
                  <c:v>0.20617086511113453</c:v>
                </c:pt>
                <c:pt idx="22">
                  <c:v>0.32321193458337721</c:v>
                </c:pt>
                <c:pt idx="23">
                  <c:v>0.30709469854980864</c:v>
                </c:pt>
                <c:pt idx="24">
                  <c:v>0.42287070429088103</c:v>
                </c:pt>
                <c:pt idx="25">
                  <c:v>0.41057897266406829</c:v>
                </c:pt>
                <c:pt idx="26">
                  <c:v>0.22371333489149903</c:v>
                </c:pt>
                <c:pt idx="27">
                  <c:v>0.23505775352013764</c:v>
                </c:pt>
                <c:pt idx="28">
                  <c:v>0.36957588069279118</c:v>
                </c:pt>
                <c:pt idx="29">
                  <c:v>8.5838332543277523E-2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3-4D3D-B76F-3167A3D97E4D}"/>
            </c:ext>
          </c:extLst>
        </c:ser>
        <c:ser>
          <c:idx val="1"/>
          <c:order val="1"/>
          <c:tx>
            <c:strRef>
              <c:f>'Composición extractos'!$U$3</c:f>
              <c:strCache>
                <c:ptCount val="1"/>
                <c:pt idx="0">
                  <c:v>Xilosa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extractos'!$U$4:$U$33</c:f>
              <c:numCache>
                <c:formatCode>0.00</c:formatCode>
                <c:ptCount val="30"/>
                <c:pt idx="0">
                  <c:v>0.65824881579962347</c:v>
                </c:pt>
                <c:pt idx="1">
                  <c:v>0.63856714933411995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0.37178147042675325</c:v>
                </c:pt>
                <c:pt idx="7">
                  <c:v>0.38000520389318693</c:v>
                </c:pt>
                <c:pt idx="8">
                  <c:v>8.8158999931937279E-2</c:v>
                </c:pt>
                <c:pt idx="9">
                  <c:v>9.0733234294530035E-2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2.7051460544047921E-2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3-4D3D-B76F-3167A3D97E4D}"/>
            </c:ext>
          </c:extLst>
        </c:ser>
        <c:ser>
          <c:idx val="2"/>
          <c:order val="2"/>
          <c:tx>
            <c:strRef>
              <c:f>'Composición extractos'!$V$3</c:f>
              <c:strCache>
                <c:ptCount val="1"/>
                <c:pt idx="0">
                  <c:v>Celobiosa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extractos'!$V$4:$V$33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0.27420206827749793</c:v>
                </c:pt>
                <c:pt idx="7">
                  <c:v>0.2790239651782277</c:v>
                </c:pt>
                <c:pt idx="8">
                  <c:v>0.25135980759439175</c:v>
                </c:pt>
                <c:pt idx="9">
                  <c:v>0.25785513099559965</c:v>
                </c:pt>
                <c:pt idx="10">
                  <c:v>0.23740662756185504</c:v>
                </c:pt>
                <c:pt idx="11">
                  <c:v>0.23114992271487295</c:v>
                </c:pt>
                <c:pt idx="12">
                  <c:v>6.0183967848228062E-2</c:v>
                </c:pt>
                <c:pt idx="13">
                  <c:v>6.1672491354580188E-2</c:v>
                </c:pt>
                <c:pt idx="14">
                  <c:v>5.6892502796256197E-2</c:v>
                </c:pt>
                <c:pt idx="15">
                  <c:v>5.8036595497013323E-2</c:v>
                </c:pt>
                <c:pt idx="16">
                  <c:v>6.0785659916464167E-2</c:v>
                </c:pt>
                <c:pt idx="17">
                  <c:v>5.7197810202299096E-2</c:v>
                </c:pt>
                <c:pt idx="18">
                  <c:v>0.14626907907754591</c:v>
                </c:pt>
                <c:pt idx="19">
                  <c:v>0.15322601565572311</c:v>
                </c:pt>
                <c:pt idx="20">
                  <c:v>4.7668595356269119E-2</c:v>
                </c:pt>
                <c:pt idx="21">
                  <c:v>5.0681420456756339E-2</c:v>
                </c:pt>
                <c:pt idx="22">
                  <c:v>5.9379752853174816E-2</c:v>
                </c:pt>
                <c:pt idx="23">
                  <c:v>7.6703554254821518E-2</c:v>
                </c:pt>
                <c:pt idx="24">
                  <c:v>0.17636024891026733</c:v>
                </c:pt>
                <c:pt idx="25">
                  <c:v>0.14519423722849825</c:v>
                </c:pt>
                <c:pt idx="26">
                  <c:v>5.8237014699490414E-2</c:v>
                </c:pt>
                <c:pt idx="27">
                  <c:v>5.3660726712008375E-2</c:v>
                </c:pt>
                <c:pt idx="28">
                  <c:v>0.12559654199765702</c:v>
                </c:pt>
                <c:pt idx="29">
                  <c:v>4.8988932074362619E-2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83-4D3D-B76F-3167A3D97E4D}"/>
            </c:ext>
          </c:extLst>
        </c:ser>
        <c:ser>
          <c:idx val="3"/>
          <c:order val="3"/>
          <c:tx>
            <c:strRef>
              <c:f>'Composición extractos'!$W$3</c:f>
              <c:strCache>
                <c:ptCount val="1"/>
                <c:pt idx="0">
                  <c:v>Arabinosa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'Composición extractos'!$P$4:$P$33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'Composición extractos'!$W$4:$W$33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0.13684337188344725</c:v>
                </c:pt>
                <c:pt idx="23">
                  <c:v>0.14622667745153636</c:v>
                </c:pt>
                <c:pt idx="24">
                  <c:v>0.19749842349931493</c:v>
                </c:pt>
                <c:pt idx="25">
                  <c:v>0.19512053197170215</c:v>
                </c:pt>
                <c:pt idx="26">
                  <c:v>0.1505237232927521</c:v>
                </c:pt>
                <c:pt idx="27">
                  <c:v>0.15844299981372093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83-4D3D-B76F-3167A3D9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724000"/>
        <c:axId val="255344608"/>
      </c:barChart>
      <c:catAx>
        <c:axId val="434724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experimento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44608"/>
        <c:crosses val="autoZero"/>
        <c:auto val="1"/>
        <c:lblAlgn val="ctr"/>
        <c:lblOffset val="100"/>
        <c:noMultiLvlLbl val="0"/>
      </c:catAx>
      <c:valAx>
        <c:axId val="25534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fase</a:t>
                </a:r>
                <a:r>
                  <a:rPr lang="es-ES" baseline="0"/>
                  <a:t> líquida (g)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Relation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392183272288825E-2"/>
                  <c:y val="-4.31108646630438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'BCA y ninhidrina'!$H$36:$H$59</c:f>
              <c:numCache>
                <c:formatCode>0.00</c:formatCode>
                <c:ptCount val="24"/>
                <c:pt idx="0">
                  <c:v>2741.5477905013722</c:v>
                </c:pt>
                <c:pt idx="2">
                  <c:v>2954.377990836525</c:v>
                </c:pt>
                <c:pt idx="4">
                  <c:v>5330.1383279318397</c:v>
                </c:pt>
                <c:pt idx="6">
                  <c:v>4963.0978733377278</c:v>
                </c:pt>
                <c:pt idx="8">
                  <c:v>2330.410863929616</c:v>
                </c:pt>
                <c:pt idx="10">
                  <c:v>2262.9456395685652</c:v>
                </c:pt>
                <c:pt idx="12">
                  <c:v>2976.0952382266028</c:v>
                </c:pt>
                <c:pt idx="14">
                  <c:v>2802.737860171158</c:v>
                </c:pt>
                <c:pt idx="16">
                  <c:v>5361.2383561531733</c:v>
                </c:pt>
                <c:pt idx="18">
                  <c:v>4940.0552826022167</c:v>
                </c:pt>
                <c:pt idx="20">
                  <c:v>2530.0128681750875</c:v>
                </c:pt>
                <c:pt idx="22">
                  <c:v>2487.1452177917927</c:v>
                </c:pt>
              </c:numCache>
            </c:numRef>
          </c:xVal>
          <c:yVal>
            <c:numRef>
              <c:f>'BCA y ninhidrina'!$S$36:$S$59</c:f>
              <c:numCache>
                <c:formatCode>0.00</c:formatCode>
                <c:ptCount val="24"/>
                <c:pt idx="0">
                  <c:v>2747.3904000000002</c:v>
                </c:pt>
                <c:pt idx="2">
                  <c:v>2747.3904000000002</c:v>
                </c:pt>
                <c:pt idx="4">
                  <c:v>4465.7194909090913</c:v>
                </c:pt>
                <c:pt idx="6">
                  <c:v>4465.7194909090913</c:v>
                </c:pt>
                <c:pt idx="8">
                  <c:v>2162.674472727273</c:v>
                </c:pt>
                <c:pt idx="10">
                  <c:v>2349.0284727272733</c:v>
                </c:pt>
                <c:pt idx="12">
                  <c:v>2615.2484727272731</c:v>
                </c:pt>
                <c:pt idx="14">
                  <c:v>2438.5752000000002</c:v>
                </c:pt>
                <c:pt idx="16">
                  <c:v>4241.6106545454559</c:v>
                </c:pt>
                <c:pt idx="18">
                  <c:v>4166.5850181818205</c:v>
                </c:pt>
                <c:pt idx="20">
                  <c:v>2099.7497454545455</c:v>
                </c:pt>
                <c:pt idx="22">
                  <c:v>2278.8432000000007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F1-4D95-918B-D6AB6CBB3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13936"/>
        <c:axId val="486610656"/>
      </c:scatterChart>
      <c:valAx>
        <c:axId val="4866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BCA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0656"/>
        <c:crosses val="autoZero"/>
        <c:crossBetween val="midCat"/>
      </c:valAx>
      <c:valAx>
        <c:axId val="4866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Ninhydrine</a:t>
                </a:r>
                <a:r>
                  <a:rPr lang="es-ES" baseline="0"/>
                  <a:t> concentration (mg/L)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392183272288825E-2"/>
                  <c:y val="-4.31108646630438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'BCA y ninhidrina'!$T$36:$T$57</c:f>
              <c:numCache>
                <c:formatCode>General</c:formatCode>
                <c:ptCount val="22"/>
                <c:pt idx="0">
                  <c:v>3770</c:v>
                </c:pt>
                <c:pt idx="4">
                  <c:v>8049.9999999999991</c:v>
                </c:pt>
                <c:pt idx="8">
                  <c:v>3320</c:v>
                </c:pt>
                <c:pt idx="12">
                  <c:v>3539.9999999999991</c:v>
                </c:pt>
                <c:pt idx="16">
                  <c:v>9000</c:v>
                </c:pt>
                <c:pt idx="20">
                  <c:v>3809.9999999999995</c:v>
                </c:pt>
              </c:numCache>
            </c:numRef>
          </c:xVal>
          <c:yVal>
            <c:numRef>
              <c:f>'BCA y ninhidrina'!$S$36:$S$57</c:f>
              <c:numCache>
                <c:formatCode>0.00</c:formatCode>
                <c:ptCount val="22"/>
                <c:pt idx="0">
                  <c:v>2747.3904000000002</c:v>
                </c:pt>
                <c:pt idx="2">
                  <c:v>2747.3904000000002</c:v>
                </c:pt>
                <c:pt idx="4">
                  <c:v>4465.7194909090913</c:v>
                </c:pt>
                <c:pt idx="6">
                  <c:v>4465.7194909090913</c:v>
                </c:pt>
                <c:pt idx="8">
                  <c:v>2162.674472727273</c:v>
                </c:pt>
                <c:pt idx="10">
                  <c:v>2349.0284727272733</c:v>
                </c:pt>
                <c:pt idx="12">
                  <c:v>2615.2484727272731</c:v>
                </c:pt>
                <c:pt idx="14">
                  <c:v>2438.5752000000002</c:v>
                </c:pt>
                <c:pt idx="16">
                  <c:v>4241.6106545454559</c:v>
                </c:pt>
                <c:pt idx="18">
                  <c:v>4166.5850181818205</c:v>
                </c:pt>
                <c:pt idx="20">
                  <c:v>2099.7497454545455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7E-4D39-B98F-8487B08FD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13936"/>
        <c:axId val="486610656"/>
      </c:scatterChart>
      <c:valAx>
        <c:axId val="4866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AA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0656"/>
        <c:crosses val="autoZero"/>
        <c:crossBetween val="midCat"/>
      </c:valAx>
      <c:valAx>
        <c:axId val="4866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Ninhydrine</a:t>
                </a:r>
                <a:r>
                  <a:rPr lang="es-ES" baseline="0"/>
                  <a:t> concentration (mg/L)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392183272288825E-2"/>
                  <c:y val="-4.31108646630438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'BCA y ninhidrina'!$H$4:$H$59</c:f>
              <c:numCache>
                <c:formatCode>0.00</c:formatCode>
                <c:ptCount val="56"/>
                <c:pt idx="0">
                  <c:v>6699.8376627654761</c:v>
                </c:pt>
                <c:pt idx="2">
                  <c:v>6903.4315649614073</c:v>
                </c:pt>
                <c:pt idx="4">
                  <c:v>1682.4065576705768</c:v>
                </c:pt>
                <c:pt idx="6">
                  <c:v>1773.2593146254133</c:v>
                </c:pt>
                <c:pt idx="8">
                  <c:v>1369.6803224770767</c:v>
                </c:pt>
                <c:pt idx="10">
                  <c:v>1342.0133303857745</c:v>
                </c:pt>
                <c:pt idx="12">
                  <c:v>10827.917216685155</c:v>
                </c:pt>
                <c:pt idx="14">
                  <c:v>10832.60417663547</c:v>
                </c:pt>
                <c:pt idx="16">
                  <c:v>5295.1866951537831</c:v>
                </c:pt>
                <c:pt idx="18">
                  <c:v>5024.6247134848336</c:v>
                </c:pt>
                <c:pt idx="20">
                  <c:v>3347.4012701815045</c:v>
                </c:pt>
                <c:pt idx="22">
                  <c:v>3226.8326529338678</c:v>
                </c:pt>
                <c:pt idx="24">
                  <c:v>3745.0003703155098</c:v>
                </c:pt>
                <c:pt idx="26">
                  <c:v>3501.4706200400501</c:v>
                </c:pt>
                <c:pt idx="28">
                  <c:v>3519.8587407291652</c:v>
                </c:pt>
                <c:pt idx="30">
                  <c:v>3450.0367107393176</c:v>
                </c:pt>
                <c:pt idx="32">
                  <c:v>2741.5477905013722</c:v>
                </c:pt>
                <c:pt idx="34">
                  <c:v>2954.377990836525</c:v>
                </c:pt>
                <c:pt idx="36">
                  <c:v>5330.1383279318397</c:v>
                </c:pt>
                <c:pt idx="38">
                  <c:v>4963.0978733377278</c:v>
                </c:pt>
                <c:pt idx="40">
                  <c:v>2330.410863929616</c:v>
                </c:pt>
                <c:pt idx="42">
                  <c:v>2262.9456395685652</c:v>
                </c:pt>
                <c:pt idx="44">
                  <c:v>2976.0952382266028</c:v>
                </c:pt>
                <c:pt idx="46">
                  <c:v>2802.737860171158</c:v>
                </c:pt>
                <c:pt idx="48">
                  <c:v>5361.2383561531733</c:v>
                </c:pt>
                <c:pt idx="50">
                  <c:v>4940.0552826022167</c:v>
                </c:pt>
                <c:pt idx="52">
                  <c:v>2530.0128681750875</c:v>
                </c:pt>
                <c:pt idx="54">
                  <c:v>2487.1452177917927</c:v>
                </c:pt>
              </c:numCache>
            </c:numRef>
          </c:xVal>
          <c:yVal>
            <c:numRef>
              <c:f>'BCA y ninhidrina'!$I$4:$I$59</c:f>
              <c:numCache>
                <c:formatCode>0.00</c:formatCode>
                <c:ptCount val="56"/>
                <c:pt idx="0">
                  <c:v>17284.117249846535</c:v>
                </c:pt>
                <c:pt idx="2">
                  <c:v>15856.43093922652</c:v>
                </c:pt>
                <c:pt idx="4">
                  <c:v>3721.0972989564152</c:v>
                </c:pt>
                <c:pt idx="6">
                  <c:v>4450.1286065070599</c:v>
                </c:pt>
                <c:pt idx="8">
                  <c:v>3311.0171884591778</c:v>
                </c:pt>
                <c:pt idx="10">
                  <c:v>3660.3446899938617</c:v>
                </c:pt>
                <c:pt idx="12">
                  <c:v>17922.01964395335</c:v>
                </c:pt>
                <c:pt idx="14">
                  <c:v>17891.64333947207</c:v>
                </c:pt>
                <c:pt idx="16">
                  <c:v>9925.4574892572164</c:v>
                </c:pt>
                <c:pt idx="18">
                  <c:v>10487.419122160838</c:v>
                </c:pt>
                <c:pt idx="20">
                  <c:v>7730.7694904849614</c:v>
                </c:pt>
                <c:pt idx="22">
                  <c:v>8072.5029158993257</c:v>
                </c:pt>
                <c:pt idx="24">
                  <c:v>7077.6789441375076</c:v>
                </c:pt>
                <c:pt idx="26">
                  <c:v>7032.1144874155943</c:v>
                </c:pt>
                <c:pt idx="28">
                  <c:v>6940.9855739717623</c:v>
                </c:pt>
                <c:pt idx="30">
                  <c:v>7168.8078575813397</c:v>
                </c:pt>
                <c:pt idx="32">
                  <c:v>4738.7034990791908</c:v>
                </c:pt>
                <c:pt idx="34">
                  <c:v>4131.1774094536522</c:v>
                </c:pt>
                <c:pt idx="36">
                  <c:v>10259.596838551261</c:v>
                </c:pt>
                <c:pt idx="38">
                  <c:v>11011.410374462863</c:v>
                </c:pt>
                <c:pt idx="40">
                  <c:v>4283.0589318600378</c:v>
                </c:pt>
                <c:pt idx="42">
                  <c:v>4085.6129527317371</c:v>
                </c:pt>
                <c:pt idx="44">
                  <c:v>6758.7277470841009</c:v>
                </c:pt>
                <c:pt idx="46">
                  <c:v>6606.8462246777181</c:v>
                </c:pt>
                <c:pt idx="48">
                  <c:v>9409.060313075508</c:v>
                </c:pt>
                <c:pt idx="50">
                  <c:v>8809.1282995702895</c:v>
                </c:pt>
                <c:pt idx="52">
                  <c:v>4526.0693677102518</c:v>
                </c:pt>
                <c:pt idx="54">
                  <c:v>5376.6058931860052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9E-451F-A354-B46CF5E5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13936"/>
        <c:axId val="486610656"/>
      </c:scatterChart>
      <c:valAx>
        <c:axId val="4866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BCA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0656"/>
        <c:crosses val="autoZero"/>
        <c:crossBetween val="midCat"/>
      </c:valAx>
      <c:valAx>
        <c:axId val="4866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NKT P</a:t>
                </a:r>
                <a:r>
                  <a:rPr lang="es-ES" baseline="0"/>
                  <a:t> concentration (mg/L)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1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Microalgae biomass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28-4B6B-A76B-B87D5617D9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28-4B6B-A76B-B87D5617D9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28-4B6B-A76B-B87D5617D9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28-4B6B-A76B-B87D5617D9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'Composición alga'!$N$21:$N$24</c:f>
              <c:strCache>
                <c:ptCount val="4"/>
                <c:pt idx="0">
                  <c:v>Lipids</c:v>
                </c:pt>
                <c:pt idx="1">
                  <c:v>Proteins</c:v>
                </c:pt>
                <c:pt idx="2">
                  <c:v>Carbohydrates</c:v>
                </c:pt>
                <c:pt idx="3">
                  <c:v>Ash</c:v>
                </c:pt>
              </c:strCache>
            </c:strRef>
          </c:cat>
          <c:val>
            <c:numRef>
              <c:f>'Composición alga'!$J$5:$J$8</c:f>
              <c:numCache>
                <c:formatCode>0.00</c:formatCode>
                <c:ptCount val="4"/>
                <c:pt idx="0">
                  <c:v>6.125721367738838</c:v>
                </c:pt>
                <c:pt idx="1">
                  <c:v>35.366816480059143</c:v>
                </c:pt>
                <c:pt idx="2">
                  <c:v>19.34221258764083</c:v>
                </c:pt>
                <c:pt idx="3">
                  <c:v>14.386401326698758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BA-451F-92A6-09ACE866CF0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BCA analysis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'BCA y ninhidrina'!$B$4:$B$59</c15:sqref>
                  </c15:fullRef>
                </c:ext>
              </c:extLst>
              <c:f>('BCA y ninhidrina'!$B$4,'BCA y ninhidrina'!$B$6,'BCA y ninhidrina'!$B$8,'BCA y ninhidrina'!$B$10,'BCA y ninhidrina'!$B$12,'BCA y ninhidrina'!$B$14,'BCA y ninhidrina'!$B$16,'BCA y ninhidrina'!$B$18,'BCA y ninhidrina'!$B$20,'BCA y ninhidrina'!$B$22,'BCA y </c:f>
              <c:strCache>
                <c:ptCount val="27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X13A</c:v>
                </c:pt>
                <c:pt idx="24">
                  <c:v>X13B</c:v>
                </c:pt>
                <c:pt idx="25">
                  <c:v>X14A</c:v>
                </c:pt>
                <c:pt idx="26">
                  <c:v>X14B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'BCA y ninhidrina'!$H$4:$H$59</c15:sqref>
                  </c15:fullRef>
                </c:ext>
              </c:extLst>
              <c:f>('BCA y ninhidrina'!$H$4,'BCA y ninhidrina'!$H$6,'BCA y ninhidrina'!$H$8,'BCA y ninhidrina'!$H$10,'BCA y ninhidrina'!$H$12,'BCA y ninhidrina'!$H$14,'BCA y ninhidrina'!$H$16,'BCA y ninhidrina'!$H$18,'BCA y ninhidrina'!$H$20,'BCA y ninhidrina'!$H$22,'BCA y </c:f>
              <c:numCache>
                <c:formatCode>0.00</c:formatCode>
                <c:ptCount val="27"/>
                <c:pt idx="0">
                  <c:v>6699.8376627654761</c:v>
                </c:pt>
                <c:pt idx="1">
                  <c:v>6903.4315649614073</c:v>
                </c:pt>
                <c:pt idx="2">
                  <c:v>1682.4065576705768</c:v>
                </c:pt>
                <c:pt idx="3">
                  <c:v>1773.2593146254133</c:v>
                </c:pt>
                <c:pt idx="4">
                  <c:v>1369.6803224770767</c:v>
                </c:pt>
                <c:pt idx="5">
                  <c:v>1342.0133303857745</c:v>
                </c:pt>
                <c:pt idx="6">
                  <c:v>10827.917216685155</c:v>
                </c:pt>
                <c:pt idx="7">
                  <c:v>10832.60417663547</c:v>
                </c:pt>
                <c:pt idx="8">
                  <c:v>5295.1866951537831</c:v>
                </c:pt>
                <c:pt idx="9">
                  <c:v>5024.6247134848336</c:v>
                </c:pt>
                <c:pt idx="10">
                  <c:v>3347.4012701815045</c:v>
                </c:pt>
                <c:pt idx="11">
                  <c:v>3226.8326529338678</c:v>
                </c:pt>
                <c:pt idx="12">
                  <c:v>3745.0003703155098</c:v>
                </c:pt>
                <c:pt idx="13">
                  <c:v>3501.4706200400501</c:v>
                </c:pt>
                <c:pt idx="14">
                  <c:v>3519.8587407291652</c:v>
                </c:pt>
                <c:pt idx="15">
                  <c:v>3450.0367107393176</c:v>
                </c:pt>
                <c:pt idx="16">
                  <c:v>2741.5477905013722</c:v>
                </c:pt>
                <c:pt idx="17">
                  <c:v>2954.377990836525</c:v>
                </c:pt>
                <c:pt idx="18">
                  <c:v>5330.1383279318397</c:v>
                </c:pt>
                <c:pt idx="19">
                  <c:v>4963.0978733377278</c:v>
                </c:pt>
                <c:pt idx="20">
                  <c:v>2330.410863929616</c:v>
                </c:pt>
                <c:pt idx="21">
                  <c:v>2262.9456395685652</c:v>
                </c:pt>
                <c:pt idx="22">
                  <c:v>2976.0952382266028</c:v>
                </c:pt>
                <c:pt idx="23">
                  <c:v>5361.2383561531733</c:v>
                </c:pt>
                <c:pt idx="24">
                  <c:v>4940.0552826022167</c:v>
                </c:pt>
                <c:pt idx="25">
                  <c:v>2530.0128681750875</c:v>
                </c:pt>
                <c:pt idx="26">
                  <c:v>2487.1452177917927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A-4E73-932B-1CDDD120BE6F}"/>
            </c:ext>
          </c:extLst>
        </c:ser>
        <c:ser>
          <c:idx val="1"/>
          <c:order val="1"/>
          <c:tx>
            <c:v>NKT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'BCA y ninhidrina'!$B$4:$B$59</c15:sqref>
                  </c15:fullRef>
                </c:ext>
              </c:extLst>
              <c:f>('BCA y ninhidrina'!$B$4,'BCA y ninhidrina'!$B$6,'BCA y ninhidrina'!$B$8,'BCA y ninhidrina'!$B$10,'BCA y ninhidrina'!$B$12,'BCA y ninhidrina'!$B$14,'BCA y ninhidrina'!$B$16,'BCA y ninhidrina'!$B$18,'BCA y ninhidrina'!$B$20,'BCA y ninhidrina'!$B$22,'BCA y </c:f>
              <c:strCache>
                <c:ptCount val="27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X13A</c:v>
                </c:pt>
                <c:pt idx="24">
                  <c:v>X13B</c:v>
                </c:pt>
                <c:pt idx="25">
                  <c:v>X14A</c:v>
                </c:pt>
                <c:pt idx="26">
                  <c:v>X14B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'BCA y ninhidrina'!$I$4:$I$59</c15:sqref>
                  </c15:fullRef>
                </c:ext>
              </c:extLst>
              <c:f>('BCA y ninhidrina'!$I$4,'BCA y ninhidrina'!$I$6,'BCA y ninhidrina'!$I$8,'BCA y ninhidrina'!$I$10,'BCA y ninhidrina'!$I$12,'BCA y ninhidrina'!$I$14,'BCA y ninhidrina'!$I$16,'BCA y ninhidrina'!$I$18,'BCA y ninhidrina'!$I$20,'BCA y ninhidrina'!$I$22,'BCA y </c:f>
              <c:numCache>
                <c:formatCode>0.00</c:formatCode>
                <c:ptCount val="27"/>
                <c:pt idx="0">
                  <c:v>17284.117249846535</c:v>
                </c:pt>
                <c:pt idx="1">
                  <c:v>15856.43093922652</c:v>
                </c:pt>
                <c:pt idx="2">
                  <c:v>3721.0972989564152</c:v>
                </c:pt>
                <c:pt idx="3">
                  <c:v>4450.1286065070599</c:v>
                </c:pt>
                <c:pt idx="4">
                  <c:v>3311.0171884591778</c:v>
                </c:pt>
                <c:pt idx="5">
                  <c:v>3660.3446899938617</c:v>
                </c:pt>
                <c:pt idx="6">
                  <c:v>17922.01964395335</c:v>
                </c:pt>
                <c:pt idx="7">
                  <c:v>17891.64333947207</c:v>
                </c:pt>
                <c:pt idx="8">
                  <c:v>9925.4574892572164</c:v>
                </c:pt>
                <c:pt idx="9">
                  <c:v>10487.419122160838</c:v>
                </c:pt>
                <c:pt idx="10">
                  <c:v>7730.7694904849614</c:v>
                </c:pt>
                <c:pt idx="11">
                  <c:v>8072.5029158993257</c:v>
                </c:pt>
                <c:pt idx="12">
                  <c:v>7077.6789441375076</c:v>
                </c:pt>
                <c:pt idx="13">
                  <c:v>7032.1144874155943</c:v>
                </c:pt>
                <c:pt idx="14">
                  <c:v>6940.9855739717623</c:v>
                </c:pt>
                <c:pt idx="15">
                  <c:v>7168.8078575813397</c:v>
                </c:pt>
                <c:pt idx="16">
                  <c:v>4738.7034990791908</c:v>
                </c:pt>
                <c:pt idx="17">
                  <c:v>4131.1774094536522</c:v>
                </c:pt>
                <c:pt idx="18">
                  <c:v>10259.596838551261</c:v>
                </c:pt>
                <c:pt idx="19">
                  <c:v>11011.410374462863</c:v>
                </c:pt>
                <c:pt idx="20">
                  <c:v>4283.0589318600378</c:v>
                </c:pt>
                <c:pt idx="21">
                  <c:v>4085.6129527317371</c:v>
                </c:pt>
                <c:pt idx="22">
                  <c:v>6758.7277470841009</c:v>
                </c:pt>
                <c:pt idx="23">
                  <c:v>9409.060313075508</c:v>
                </c:pt>
                <c:pt idx="24">
                  <c:v>8809.1282995702895</c:v>
                </c:pt>
                <c:pt idx="25">
                  <c:v>4526.0693677102518</c:v>
                </c:pt>
                <c:pt idx="26">
                  <c:v>5376.6058931860052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A-4E73-932B-1CDDD120B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79824"/>
        <c:axId val="486573592"/>
      </c:lineChart>
      <c:catAx>
        <c:axId val="4865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73592"/>
        <c:crosses val="autoZero"/>
        <c:auto val="1"/>
        <c:lblAlgn val="ctr"/>
        <c:lblOffset val="100"/>
        <c:noMultiLvlLbl val="0"/>
      </c:catAx>
      <c:valAx>
        <c:axId val="48657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BCA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'BCA y ninhidrina'!$K$36:$K$59</c15:sqref>
                  </c15:fullRef>
                </c:ext>
              </c:extLst>
              <c:f>('BCA y ninhidrina'!$K$36,'BCA y ninhidrina'!$K$38,'BCA y ninhidrina'!$K$40,'BCA y ninhidrina'!$K$42,'BCA y ninhidrina'!$K$44,'BCA y ninhidrina'!$K$46,'BCA y ninhidrina'!$K$48,'BCA y ninhidrina'!$K$52,'BCA y ninhidrina'!$K$54,'BCA y ninhidrina'!$K$56,'BCA</c:f>
              <c:strCache>
                <c:ptCount val="11"/>
                <c:pt idx="0">
                  <c:v>X9A</c:v>
                </c:pt>
                <c:pt idx="1">
                  <c:v>X9B</c:v>
                </c:pt>
                <c:pt idx="2">
                  <c:v>X10A</c:v>
                </c:pt>
                <c:pt idx="3">
                  <c:v>X10B</c:v>
                </c:pt>
                <c:pt idx="4">
                  <c:v>X11A</c:v>
                </c:pt>
                <c:pt idx="5">
                  <c:v>X11B</c:v>
                </c:pt>
                <c:pt idx="6">
                  <c:v>X12A</c:v>
                </c:pt>
                <c:pt idx="7">
                  <c:v>X13A</c:v>
                </c:pt>
                <c:pt idx="8">
                  <c:v>X13B</c:v>
                </c:pt>
                <c:pt idx="9">
                  <c:v>X14A</c:v>
                </c:pt>
                <c:pt idx="10">
                  <c:v>X14B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'BCA y ninhidrina'!$H$36:$H$59</c15:sqref>
                  </c15:fullRef>
                </c:ext>
              </c:extLst>
              <c:f>('BCA y ninhidrina'!$H$36,'BCA y ninhidrina'!$H$38,'BCA y ninhidrina'!$H$40,'BCA y ninhidrina'!$H$42,'BCA y ninhidrina'!$H$44,'BCA y ninhidrina'!$H$46,'BCA y ninhidrina'!$H$48,'BCA y ninhidrina'!$H$52,'BCA y ninhidrina'!$H$54,'BCA y ninhidrina'!$H$56,'BCA</c:f>
              <c:numCache>
                <c:formatCode>0.00</c:formatCode>
                <c:ptCount val="11"/>
                <c:pt idx="0">
                  <c:v>2741.5477905013722</c:v>
                </c:pt>
                <c:pt idx="1">
                  <c:v>2954.377990836525</c:v>
                </c:pt>
                <c:pt idx="2">
                  <c:v>5330.1383279318397</c:v>
                </c:pt>
                <c:pt idx="3">
                  <c:v>4963.0978733377278</c:v>
                </c:pt>
                <c:pt idx="4">
                  <c:v>2330.410863929616</c:v>
                </c:pt>
                <c:pt idx="5">
                  <c:v>2262.9456395685652</c:v>
                </c:pt>
                <c:pt idx="6">
                  <c:v>2976.0952382266028</c:v>
                </c:pt>
                <c:pt idx="7">
                  <c:v>5361.2383561531733</c:v>
                </c:pt>
                <c:pt idx="8">
                  <c:v>4940.0552826022167</c:v>
                </c:pt>
                <c:pt idx="9">
                  <c:v>2530.0128681750875</c:v>
                </c:pt>
                <c:pt idx="10">
                  <c:v>2487.1452177917927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8-4E34-80C2-A06D5932B840}"/>
            </c:ext>
          </c:extLst>
        </c:ser>
        <c:ser>
          <c:idx val="1"/>
          <c:order val="1"/>
          <c:tx>
            <c:v>Ninhydrine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'BCA y ninhidrina'!$K$36:$K$59</c15:sqref>
                  </c15:fullRef>
                </c:ext>
              </c:extLst>
              <c:f>('BCA y ninhidrina'!$K$36,'BCA y ninhidrina'!$K$38,'BCA y ninhidrina'!$K$40,'BCA y ninhidrina'!$K$42,'BCA y ninhidrina'!$K$44,'BCA y ninhidrina'!$K$46,'BCA y ninhidrina'!$K$48,'BCA y ninhidrina'!$K$52,'BCA y ninhidrina'!$K$54,'BCA y ninhidrina'!$K$56,'BCA</c:f>
              <c:strCache>
                <c:ptCount val="11"/>
                <c:pt idx="0">
                  <c:v>X9A</c:v>
                </c:pt>
                <c:pt idx="1">
                  <c:v>X9B</c:v>
                </c:pt>
                <c:pt idx="2">
                  <c:v>X10A</c:v>
                </c:pt>
                <c:pt idx="3">
                  <c:v>X10B</c:v>
                </c:pt>
                <c:pt idx="4">
                  <c:v>X11A</c:v>
                </c:pt>
                <c:pt idx="5">
                  <c:v>X11B</c:v>
                </c:pt>
                <c:pt idx="6">
                  <c:v>X12A</c:v>
                </c:pt>
                <c:pt idx="7">
                  <c:v>X13A</c:v>
                </c:pt>
                <c:pt idx="8">
                  <c:v>X13B</c:v>
                </c:pt>
                <c:pt idx="9">
                  <c:v>X14A</c:v>
                </c:pt>
                <c:pt idx="10">
                  <c:v>X14B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'BCA y ninhidrina'!$S$36:$S$59</c15:sqref>
                  </c15:fullRef>
                </c:ext>
              </c:extLst>
              <c:f>('BCA y ninhidrina'!$S$36,'BCA y ninhidrina'!$S$38,'BCA y ninhidrina'!$S$40,'BCA y ninhidrina'!$S$42,'BCA y ninhidrina'!$S$44,'BCA y ninhidrina'!$S$46,'BCA y ninhidrina'!$S$48,'BCA y ninhidrina'!$S$52,'BCA y ninhidrina'!$S$54,'BCA y ninhidrina'!$S$56,'BCA</c:f>
              <c:numCache>
                <c:formatCode>0.00</c:formatCode>
                <c:ptCount val="11"/>
                <c:pt idx="0">
                  <c:v>2747.3904000000002</c:v>
                </c:pt>
                <c:pt idx="1">
                  <c:v>2747.3904000000002</c:v>
                </c:pt>
                <c:pt idx="2">
                  <c:v>4465.7194909090913</c:v>
                </c:pt>
                <c:pt idx="3">
                  <c:v>4465.7194909090913</c:v>
                </c:pt>
                <c:pt idx="4">
                  <c:v>2162.674472727273</c:v>
                </c:pt>
                <c:pt idx="5">
                  <c:v>2349.0284727272733</c:v>
                </c:pt>
                <c:pt idx="6">
                  <c:v>2615.2484727272731</c:v>
                </c:pt>
                <c:pt idx="7">
                  <c:v>4241.6106545454559</c:v>
                </c:pt>
                <c:pt idx="8">
                  <c:v>4166.5850181818205</c:v>
                </c:pt>
                <c:pt idx="9">
                  <c:v>2099.7497454545455</c:v>
                </c:pt>
                <c:pt idx="10">
                  <c:v>2278.8432000000007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8-4E34-80C2-A06D5932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79824"/>
        <c:axId val="486573592"/>
      </c:lineChart>
      <c:catAx>
        <c:axId val="4865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73592"/>
        <c:crosses val="autoZero"/>
        <c:auto val="1"/>
        <c:lblAlgn val="ctr"/>
        <c:lblOffset val="100"/>
        <c:noMultiLvlLbl val="0"/>
      </c:catAx>
      <c:valAx>
        <c:axId val="48657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Glucosa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backward val="0.4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'Calibrado HPLC'!$D$5:$D$8</c:f>
              <c:numCache>
                <c:formatCode>0.000</c:formatCode>
                <c:ptCount val="4"/>
                <c:pt idx="0" formatCode="General">
                  <c:v>2.0169999999999999</c:v>
                </c:pt>
                <c:pt idx="1">
                  <c:v>1.51275</c:v>
                </c:pt>
                <c:pt idx="2">
                  <c:v>1.0085</c:v>
                </c:pt>
                <c:pt idx="3">
                  <c:v>0.50424999999999998</c:v>
                </c:pt>
              </c:numCache>
            </c:numRef>
          </c:xVal>
          <c:yVal>
            <c:numRef>
              <c:f>'Calibrado HPLC'!$E$5:$E$8</c:f>
              <c:numCache>
                <c:formatCode>General</c:formatCode>
                <c:ptCount val="4"/>
                <c:pt idx="0">
                  <c:v>449327</c:v>
                </c:pt>
                <c:pt idx="1">
                  <c:v>342550</c:v>
                </c:pt>
                <c:pt idx="2">
                  <c:v>222997</c:v>
                </c:pt>
                <c:pt idx="3">
                  <c:v>106230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FC-4FC0-9B93-5041E5E3B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1424"/>
        <c:axId val="24261008"/>
      </c:scatterChart>
      <c:valAx>
        <c:axId val="2426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concentracion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008"/>
        <c:crosses val="autoZero"/>
        <c:crossBetween val="midCat"/>
      </c:valAx>
      <c:valAx>
        <c:axId val="2426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area hplc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Arabinosa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backward val="0.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'Calibrado HPLC'!$D$12:$D$15</c:f>
              <c:numCache>
                <c:formatCode>0.000</c:formatCode>
                <c:ptCount val="4"/>
                <c:pt idx="0" formatCode="General">
                  <c:v>1.109</c:v>
                </c:pt>
                <c:pt idx="1">
                  <c:v>0.83174999999999999</c:v>
                </c:pt>
                <c:pt idx="2">
                  <c:v>0.55449999999999999</c:v>
                </c:pt>
                <c:pt idx="3">
                  <c:v>0.27725</c:v>
                </c:pt>
              </c:numCache>
            </c:numRef>
          </c:xVal>
          <c:yVal>
            <c:numRef>
              <c:f>'Calibrado HPLC'!$E$12:$E$15</c:f>
              <c:numCache>
                <c:formatCode>General</c:formatCode>
                <c:ptCount val="4"/>
                <c:pt idx="0">
                  <c:v>242051</c:v>
                </c:pt>
                <c:pt idx="1">
                  <c:v>182848</c:v>
                </c:pt>
                <c:pt idx="2">
                  <c:v>118433</c:v>
                </c:pt>
                <c:pt idx="3">
                  <c:v>56560.5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78-4E7D-A8E0-E959C697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1424"/>
        <c:axId val="24261008"/>
      </c:scatterChart>
      <c:valAx>
        <c:axId val="2426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concentracion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008"/>
        <c:crosses val="autoZero"/>
        <c:crossBetween val="midCat"/>
      </c:valAx>
      <c:valAx>
        <c:axId val="2426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area hplc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Xilosa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backward val="0.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'Calibrado HPLC'!$D$19:$D$22</c:f>
              <c:numCache>
                <c:formatCode>0.000</c:formatCode>
                <c:ptCount val="4"/>
                <c:pt idx="0" formatCode="General">
                  <c:v>1.099</c:v>
                </c:pt>
                <c:pt idx="1">
                  <c:v>0.82424999999999993</c:v>
                </c:pt>
                <c:pt idx="2">
                  <c:v>0.54949999999999999</c:v>
                </c:pt>
                <c:pt idx="3">
                  <c:v>0.27474999999999999</c:v>
                </c:pt>
              </c:numCache>
            </c:numRef>
          </c:xVal>
          <c:yVal>
            <c:numRef>
              <c:f>'Calibrado HPLC'!$E$19:$E$22</c:f>
              <c:numCache>
                <c:formatCode>General</c:formatCode>
                <c:ptCount val="4"/>
                <c:pt idx="0">
                  <c:v>230563</c:v>
                </c:pt>
                <c:pt idx="1">
                  <c:v>178052.5</c:v>
                </c:pt>
                <c:pt idx="2">
                  <c:v>115483.5</c:v>
                </c:pt>
                <c:pt idx="3">
                  <c:v>49583.5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AA-4CC7-BE00-7CB040F2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1424"/>
        <c:axId val="24261008"/>
      </c:scatterChart>
      <c:valAx>
        <c:axId val="2426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concentracion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008"/>
        <c:crosses val="autoZero"/>
        <c:crossBetween val="midCat"/>
      </c:valAx>
      <c:valAx>
        <c:axId val="2426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area hplc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Celobiosa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backward val="0.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'Calibrado HPLC'!$D$26:$D$29</c:f>
              <c:numCache>
                <c:formatCode>General</c:formatCode>
                <c:ptCount val="4"/>
                <c:pt idx="0">
                  <c:v>1.008</c:v>
                </c:pt>
                <c:pt idx="1">
                  <c:v>0.75599999999999989</c:v>
                </c:pt>
                <c:pt idx="2">
                  <c:v>0.504</c:v>
                </c:pt>
                <c:pt idx="3">
                  <c:v>0.252</c:v>
                </c:pt>
              </c:numCache>
            </c:numRef>
          </c:xVal>
          <c:yVal>
            <c:numRef>
              <c:f>'Calibrado HPLC'!$E$26:$E$29</c:f>
              <c:numCache>
                <c:formatCode>General</c:formatCode>
                <c:ptCount val="4"/>
                <c:pt idx="0">
                  <c:v>230501.5</c:v>
                </c:pt>
                <c:pt idx="1">
                  <c:v>178358</c:v>
                </c:pt>
                <c:pt idx="2">
                  <c:v>114131</c:v>
                </c:pt>
                <c:pt idx="3">
                  <c:v>48989.5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49-4F07-89E4-E120079B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1424"/>
        <c:axId val="24261008"/>
      </c:scatterChart>
      <c:valAx>
        <c:axId val="2426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concentracion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008"/>
        <c:crosses val="autoZero"/>
        <c:crossBetween val="midCat"/>
      </c:valAx>
      <c:valAx>
        <c:axId val="2426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area hplc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'Análisis sólidos'!$G$4</c:f>
              <c:strCache>
                <c:ptCount val="1"/>
                <c:pt idx="0">
                  <c:v>%Ceniza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'Análisis sólidos'!$A$5:$A$34</c:f>
              <c:strCache>
                <c:ptCount val="30"/>
                <c:pt idx="0">
                  <c:v>X1A</c:v>
                </c:pt>
                <c:pt idx="1">
                  <c:v>X1B</c:v>
                </c:pt>
                <c:pt idx="2">
                  <c:v>X2A</c:v>
                </c:pt>
                <c:pt idx="3">
                  <c:v>X2B</c:v>
                </c:pt>
                <c:pt idx="4">
                  <c:v>X3A</c:v>
                </c:pt>
                <c:pt idx="5">
                  <c:v>X3B</c:v>
                </c:pt>
                <c:pt idx="6">
                  <c:v>X4A</c:v>
                </c:pt>
                <c:pt idx="7">
                  <c:v>X4B</c:v>
                </c:pt>
                <c:pt idx="8">
                  <c:v>X5A</c:v>
                </c:pt>
                <c:pt idx="9">
                  <c:v>X5B</c:v>
                </c:pt>
                <c:pt idx="10">
                  <c:v>X6A</c:v>
                </c:pt>
                <c:pt idx="11">
                  <c:v>X6B</c:v>
                </c:pt>
                <c:pt idx="12">
                  <c:v>X7A</c:v>
                </c:pt>
                <c:pt idx="13">
                  <c:v>X7B</c:v>
                </c:pt>
                <c:pt idx="14">
                  <c:v>X8A</c:v>
                </c:pt>
                <c:pt idx="15">
                  <c:v>X8B</c:v>
                </c:pt>
                <c:pt idx="16">
                  <c:v>X9A</c:v>
                </c:pt>
                <c:pt idx="17">
                  <c:v>X9B</c:v>
                </c:pt>
                <c:pt idx="18">
                  <c:v>X10A</c:v>
                </c:pt>
                <c:pt idx="19">
                  <c:v>X10B</c:v>
                </c:pt>
                <c:pt idx="20">
                  <c:v>X11A</c:v>
                </c:pt>
                <c:pt idx="21">
                  <c:v>X11B</c:v>
                </c:pt>
                <c:pt idx="22">
                  <c:v>X12A</c:v>
                </c:pt>
                <c:pt idx="23">
                  <c:v>X12B</c:v>
                </c:pt>
                <c:pt idx="24">
                  <c:v>X13A</c:v>
                </c:pt>
                <c:pt idx="25">
                  <c:v>X13B</c:v>
                </c:pt>
                <c:pt idx="26">
                  <c:v>X14A</c:v>
                </c:pt>
                <c:pt idx="27">
                  <c:v>X14B</c:v>
                </c:pt>
                <c:pt idx="28">
                  <c:v>Control UAE</c:v>
                </c:pt>
                <c:pt idx="29">
                  <c:v>Control MAE</c:v>
                </c:pt>
              </c:strCache>
            </c:strRef>
          </c:cat>
          <c:val>
            <c:numRef>
              <c:f>'Análisis sólidos'!$G$5:$G$34</c:f>
              <c:numCache>
                <c:formatCode>0.00</c:formatCode>
                <c:ptCount val="30"/>
                <c:pt idx="0">
                  <c:v>5.9481322864621209</c:v>
                </c:pt>
                <c:pt idx="1">
                  <c:v>5.9759331021825242</c:v>
                </c:pt>
                <c:pt idx="2">
                  <c:v>2.9939239513917699</c:v>
                </c:pt>
                <c:pt idx="3">
                  <c:v>3.1622395313227796</c:v>
                </c:pt>
                <c:pt idx="4">
                  <c:v>3.8041155278744894</c:v>
                </c:pt>
                <c:pt idx="5">
                  <c:v>4.0872368368687919</c:v>
                </c:pt>
                <c:pt idx="6">
                  <c:v>73.651164082902739</c:v>
                </c:pt>
                <c:pt idx="7">
                  <c:v>71.542492595124102</c:v>
                </c:pt>
                <c:pt idx="8">
                  <c:v>58.024487094639333</c:v>
                </c:pt>
                <c:pt idx="9">
                  <c:v>55.610859728506732</c:v>
                </c:pt>
                <c:pt idx="10">
                  <c:v>58.277163655972053</c:v>
                </c:pt>
                <c:pt idx="11">
                  <c:v>55.34020618556702</c:v>
                </c:pt>
                <c:pt idx="12">
                  <c:v>15.323526276516434</c:v>
                </c:pt>
                <c:pt idx="13">
                  <c:v>18.306197838281435</c:v>
                </c:pt>
                <c:pt idx="14">
                  <c:v>14.385035590134077</c:v>
                </c:pt>
                <c:pt idx="15">
                  <c:v>16.754280955602958</c:v>
                </c:pt>
                <c:pt idx="16">
                  <c:v>15.860423501342193</c:v>
                </c:pt>
                <c:pt idx="17">
                  <c:v>16.4841284573975</c:v>
                </c:pt>
                <c:pt idx="18">
                  <c:v>14.245925314627566</c:v>
                </c:pt>
                <c:pt idx="19">
                  <c:v>20.086230495483257</c:v>
                </c:pt>
                <c:pt idx="20">
                  <c:v>16.209753181313371</c:v>
                </c:pt>
                <c:pt idx="21">
                  <c:v>16.062248158955047</c:v>
                </c:pt>
                <c:pt idx="22">
                  <c:v>17.490671641791028</c:v>
                </c:pt>
                <c:pt idx="23">
                  <c:v>14.237796804660649</c:v>
                </c:pt>
                <c:pt idx="24">
                  <c:v>14.875254981955303</c:v>
                </c:pt>
                <c:pt idx="25">
                  <c:v>16.635650671274909</c:v>
                </c:pt>
                <c:pt idx="26">
                  <c:v>14.99451523078236</c:v>
                </c:pt>
                <c:pt idx="27">
                  <c:v>15.774878679019524</c:v>
                </c:pt>
                <c:pt idx="28">
                  <c:v>15.95106597778981</c:v>
                </c:pt>
                <c:pt idx="29">
                  <c:v>14.353655741462227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4-4797-B9B4-F7CE6AC2CB07}"/>
            </c:ext>
          </c:extLst>
        </c:ser>
        <c:ser>
          <c:idx val="2"/>
          <c:order val="2"/>
          <c:tx>
            <c:strRef>
              <c:f>'Análisis sólidos'!$H$4</c:f>
              <c:strCache>
                <c:ptCount val="1"/>
                <c:pt idx="0">
                  <c:v>%SV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'Análisis sólidos'!$H$5:$H$34</c:f>
              <c:numCache>
                <c:formatCode>0.00</c:formatCode>
                <c:ptCount val="30"/>
                <c:pt idx="0">
                  <c:v>86.56520310960272</c:v>
                </c:pt>
                <c:pt idx="1">
                  <c:v>86.313424452349722</c:v>
                </c:pt>
                <c:pt idx="2">
                  <c:v>81.782129136200169</c:v>
                </c:pt>
                <c:pt idx="3">
                  <c:v>90.017946655114756</c:v>
                </c:pt>
                <c:pt idx="4">
                  <c:v>88.505617977527947</c:v>
                </c:pt>
                <c:pt idx="5">
                  <c:v>87.480489309956823</c:v>
                </c:pt>
                <c:pt idx="6">
                  <c:v>23.165608207132369</c:v>
                </c:pt>
                <c:pt idx="7">
                  <c:v>23.300789751881165</c:v>
                </c:pt>
                <c:pt idx="8">
                  <c:v>38.748599938906409</c:v>
                </c:pt>
                <c:pt idx="9">
                  <c:v>41.985876310721217</c:v>
                </c:pt>
                <c:pt idx="10">
                  <c:v>39.05855628470465</c:v>
                </c:pt>
                <c:pt idx="11">
                  <c:v>40.476352269638468</c:v>
                </c:pt>
                <c:pt idx="12">
                  <c:v>83.708309183834743</c:v>
                </c:pt>
                <c:pt idx="13">
                  <c:v>81.012143002510157</c:v>
                </c:pt>
                <c:pt idx="14">
                  <c:v>84.981925731186308</c:v>
                </c:pt>
                <c:pt idx="15">
                  <c:v>80.777777777777729</c:v>
                </c:pt>
                <c:pt idx="16">
                  <c:v>83.339241403757526</c:v>
                </c:pt>
                <c:pt idx="17">
                  <c:v>82.798601312802688</c:v>
                </c:pt>
                <c:pt idx="18">
                  <c:v>83.732876712328903</c:v>
                </c:pt>
                <c:pt idx="19">
                  <c:v>78.227373216319265</c:v>
                </c:pt>
                <c:pt idx="20">
                  <c:v>81.799232949808555</c:v>
                </c:pt>
                <c:pt idx="21">
                  <c:v>82.779883981181243</c:v>
                </c:pt>
                <c:pt idx="22">
                  <c:v>80.76150474799131</c:v>
                </c:pt>
                <c:pt idx="23">
                  <c:v>83.859830830312504</c:v>
                </c:pt>
                <c:pt idx="24">
                  <c:v>83.211902753278267</c:v>
                </c:pt>
                <c:pt idx="25">
                  <c:v>81.173958063681056</c:v>
                </c:pt>
                <c:pt idx="26">
                  <c:v>82.411649214659406</c:v>
                </c:pt>
                <c:pt idx="27">
                  <c:v>82.882659389729398</c:v>
                </c:pt>
                <c:pt idx="28">
                  <c:v>82.194087926127963</c:v>
                </c:pt>
                <c:pt idx="29">
                  <c:v>83.689809630459152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8-42CA-9820-F1F9CD25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14368"/>
        <c:axId val="672815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'Análisis sólidos'!$F$4</c15:sqref>
                        </c15:formulaRef>
                      </c:ext>
                    </c:extLst>
                    <c:strCache>
                      <c:ptCount val="1"/>
                      <c:pt idx="0">
                        <c:v>%ST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'Análisis sólidos'!$A$5:$A$34</c15:sqref>
                        </c15:formulaRef>
                      </c:ext>
                    </c:extLst>
                    <c:strCache>
                      <c:ptCount val="30"/>
                      <c:pt idx="0">
                        <c:v>X1A</c:v>
                      </c:pt>
                      <c:pt idx="1">
                        <c:v>X1B</c:v>
                      </c:pt>
                      <c:pt idx="2">
                        <c:v>X2A</c:v>
                      </c:pt>
                      <c:pt idx="3">
                        <c:v>X2B</c:v>
                      </c:pt>
                      <c:pt idx="4">
                        <c:v>X3A</c:v>
                      </c:pt>
                      <c:pt idx="5">
                        <c:v>X3B</c:v>
                      </c:pt>
                      <c:pt idx="6">
                        <c:v>X4A</c:v>
                      </c:pt>
                      <c:pt idx="7">
                        <c:v>X4B</c:v>
                      </c:pt>
                      <c:pt idx="8">
                        <c:v>X5A</c:v>
                      </c:pt>
                      <c:pt idx="9">
                        <c:v>X5B</c:v>
                      </c:pt>
                      <c:pt idx="10">
                        <c:v>X6A</c:v>
                      </c:pt>
                      <c:pt idx="11">
                        <c:v>X6B</c:v>
                      </c:pt>
                      <c:pt idx="12">
                        <c:v>X7A</c:v>
                      </c:pt>
                      <c:pt idx="13">
                        <c:v>X7B</c:v>
                      </c:pt>
                      <c:pt idx="14">
                        <c:v>X8A</c:v>
                      </c:pt>
                      <c:pt idx="15">
                        <c:v>X8B</c:v>
                      </c:pt>
                      <c:pt idx="16">
                        <c:v>X9A</c:v>
                      </c:pt>
                      <c:pt idx="17">
                        <c:v>X9B</c:v>
                      </c:pt>
                      <c:pt idx="18">
                        <c:v>X10A</c:v>
                      </c:pt>
                      <c:pt idx="19">
                        <c:v>X10B</c:v>
                      </c:pt>
                      <c:pt idx="20">
                        <c:v>X11A</c:v>
                      </c:pt>
                      <c:pt idx="21">
                        <c:v>X11B</c:v>
                      </c:pt>
                      <c:pt idx="22">
                        <c:v>X12A</c:v>
                      </c:pt>
                      <c:pt idx="23">
                        <c:v>X12B</c:v>
                      </c:pt>
                      <c:pt idx="24">
                        <c:v>X13A</c:v>
                      </c:pt>
                      <c:pt idx="25">
                        <c:v>X13B</c:v>
                      </c:pt>
                      <c:pt idx="26">
                        <c:v>X14A</c:v>
                      </c:pt>
                      <c:pt idx="27">
                        <c:v>X14B</c:v>
                      </c:pt>
                      <c:pt idx="28">
                        <c:v>Control UAE</c:v>
                      </c:pt>
                      <c:pt idx="29">
                        <c:v>Control MAE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'Análisis sólidos'!$F$5:$F$34</c15:sqref>
                        </c15:formulaRef>
                      </c:ext>
                    </c:extLst>
                    <c:numCache>
                      <c:formatCode>0.00</c:formatCode>
                      <c:ptCount val="30"/>
                      <c:pt idx="0">
                        <c:v>92.039855469177965</c:v>
                      </c:pt>
                      <c:pt idx="1">
                        <c:v>91.799288522748711</c:v>
                      </c:pt>
                      <c:pt idx="2">
                        <c:v>84.306192423679136</c:v>
                      </c:pt>
                      <c:pt idx="3">
                        <c:v>92.957484992883138</c:v>
                      </c:pt>
                      <c:pt idx="4">
                        <c:v>92.005617977527962</c:v>
                      </c:pt>
                      <c:pt idx="5">
                        <c:v>91.208392319140557</c:v>
                      </c:pt>
                      <c:pt idx="6">
                        <c:v>87.918905715681532</c:v>
                      </c:pt>
                      <c:pt idx="7">
                        <c:v>81.879236365897654</c:v>
                      </c:pt>
                      <c:pt idx="8">
                        <c:v>92.312391813460962</c:v>
                      </c:pt>
                      <c:pt idx="9">
                        <c:v>94.585919109779582</c:v>
                      </c:pt>
                      <c:pt idx="10">
                        <c:v>93.614336193841581</c:v>
                      </c:pt>
                      <c:pt idx="11">
                        <c:v>90.63264474041857</c:v>
                      </c:pt>
                      <c:pt idx="12">
                        <c:v>98.856631013225183</c:v>
                      </c:pt>
                      <c:pt idx="13">
                        <c:v>99.165592564954906</c:v>
                      </c:pt>
                      <c:pt idx="14">
                        <c:v>99.260598093986175</c:v>
                      </c:pt>
                      <c:pt idx="15">
                        <c:v>97.035353535353451</c:v>
                      </c:pt>
                      <c:pt idx="16">
                        <c:v>99.048800661704007</c:v>
                      </c:pt>
                      <c:pt idx="17">
                        <c:v>99.14115698423393</c:v>
                      </c:pt>
                      <c:pt idx="18">
                        <c:v>97.643029814665709</c:v>
                      </c:pt>
                      <c:pt idx="19">
                        <c:v>97.889730019427802</c:v>
                      </c:pt>
                      <c:pt idx="20">
                        <c:v>97.623811905953175</c:v>
                      </c:pt>
                      <c:pt idx="21">
                        <c:v>98.62056365048187</c:v>
                      </c:pt>
                      <c:pt idx="22">
                        <c:v>97.881665449233097</c:v>
                      </c:pt>
                      <c:pt idx="23">
                        <c:v>97.78180562748156</c:v>
                      </c:pt>
                      <c:pt idx="24">
                        <c:v>97.752895160671628</c:v>
                      </c:pt>
                      <c:pt idx="25">
                        <c:v>97.372508413150555</c:v>
                      </c:pt>
                      <c:pt idx="26">
                        <c:v>96.948625654450097</c:v>
                      </c:pt>
                      <c:pt idx="27">
                        <c:v>98.406102704043633</c:v>
                      </c:pt>
                      <c:pt idx="28">
                        <c:v>97.793135489865833</c:v>
                      </c:pt>
                      <c:pt idx="29">
                        <c:v>97.715565509518427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CC4-4797-B9B4-F7CE6AC2CB07}"/>
                  </c:ext>
                </c:extLst>
              </c15:ser>
            </c15:filteredBarSeries>
          </c:ext>
        </c:extLst>
      </c:barChart>
      <c:catAx>
        <c:axId val="6728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815616"/>
        <c:crosses val="autoZero"/>
        <c:auto val="1"/>
        <c:lblAlgn val="ctr"/>
        <c:lblOffset val="100"/>
        <c:noMultiLvlLbl val="0"/>
      </c:catAx>
      <c:valAx>
        <c:axId val="6728156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81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Lípidos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'Análisis lípidos'!$A$5:$A$64</c:f>
              <c:strCache>
                <c:ptCount val="59"/>
                <c:pt idx="0">
                  <c:v>X1A</c:v>
                </c:pt>
                <c:pt idx="2">
                  <c:v>X1B</c:v>
                </c:pt>
                <c:pt idx="4">
                  <c:v>X2A</c:v>
                </c:pt>
                <c:pt idx="6">
                  <c:v>X2B</c:v>
                </c:pt>
                <c:pt idx="8">
                  <c:v>X3A</c:v>
                </c:pt>
                <c:pt idx="10">
                  <c:v>X3B</c:v>
                </c:pt>
                <c:pt idx="12">
                  <c:v>X4A</c:v>
                </c:pt>
                <c:pt idx="14">
                  <c:v>X4B</c:v>
                </c:pt>
                <c:pt idx="16">
                  <c:v>X5A</c:v>
                </c:pt>
                <c:pt idx="18">
                  <c:v>X5B</c:v>
                </c:pt>
                <c:pt idx="20">
                  <c:v>X6A</c:v>
                </c:pt>
                <c:pt idx="22">
                  <c:v>X6B</c:v>
                </c:pt>
                <c:pt idx="24">
                  <c:v>X7A</c:v>
                </c:pt>
                <c:pt idx="26">
                  <c:v>X7B</c:v>
                </c:pt>
                <c:pt idx="28">
                  <c:v>X8A</c:v>
                </c:pt>
                <c:pt idx="30">
                  <c:v>X8B</c:v>
                </c:pt>
                <c:pt idx="32">
                  <c:v>X9A</c:v>
                </c:pt>
                <c:pt idx="34">
                  <c:v>X9B</c:v>
                </c:pt>
                <c:pt idx="36">
                  <c:v>X10A</c:v>
                </c:pt>
                <c:pt idx="38">
                  <c:v>X10B</c:v>
                </c:pt>
                <c:pt idx="40">
                  <c:v>X11A</c:v>
                </c:pt>
                <c:pt idx="42">
                  <c:v>X11B</c:v>
                </c:pt>
                <c:pt idx="44">
                  <c:v>X12A</c:v>
                </c:pt>
                <c:pt idx="46">
                  <c:v>X12B</c:v>
                </c:pt>
                <c:pt idx="48">
                  <c:v>X13A</c:v>
                </c:pt>
                <c:pt idx="50">
                  <c:v>X13B</c:v>
                </c:pt>
                <c:pt idx="52">
                  <c:v>X14A</c:v>
                </c:pt>
                <c:pt idx="54">
                  <c:v>X14B</c:v>
                </c:pt>
                <c:pt idx="56">
                  <c:v>Control UAE</c:v>
                </c:pt>
                <c:pt idx="58">
                  <c:v>Control MAE</c:v>
                </c:pt>
              </c:strCache>
            </c:strRef>
          </c:cat>
          <c:val>
            <c:numRef>
              <c:f>'Análisis lípidos'!$H$5:$H$64</c:f>
              <c:numCache>
                <c:formatCode>0.00</c:formatCode>
                <c:ptCount val="60"/>
                <c:pt idx="0">
                  <c:v>31.190981151536739</c:v>
                </c:pt>
                <c:pt idx="1">
                  <c:v>35.717152727429657</c:v>
                </c:pt>
                <c:pt idx="2">
                  <c:v>35.508068058801356</c:v>
                </c:pt>
                <c:pt idx="3">
                  <c:v>31.743846242095202</c:v>
                </c:pt>
                <c:pt idx="4">
                  <c:v>11.108703652911155</c:v>
                </c:pt>
                <c:pt idx="5">
                  <c:v>15.618377971932143</c:v>
                </c:pt>
                <c:pt idx="6">
                  <c:v>12.174461445031602</c:v>
                </c:pt>
                <c:pt idx="7">
                  <c:v>13.057865826000386</c:v>
                </c:pt>
                <c:pt idx="8">
                  <c:v>14.832466046083164</c:v>
                </c:pt>
                <c:pt idx="9">
                  <c:v>13.77007831311065</c:v>
                </c:pt>
                <c:pt idx="10">
                  <c:v>18.273172284793919</c:v>
                </c:pt>
                <c:pt idx="11">
                  <c:v>16.222501771061349</c:v>
                </c:pt>
                <c:pt idx="12">
                  <c:v>4.9274157004508607</c:v>
                </c:pt>
                <c:pt idx="13">
                  <c:v>6.8446019272651215</c:v>
                </c:pt>
                <c:pt idx="14">
                  <c:v>10.923137951736837</c:v>
                </c:pt>
                <c:pt idx="15">
                  <c:v>7.7363440850285876</c:v>
                </c:pt>
                <c:pt idx="16">
                  <c:v>7.239954434213276</c:v>
                </c:pt>
                <c:pt idx="17">
                  <c:v>9.6981036904124025</c:v>
                </c:pt>
                <c:pt idx="18">
                  <c:v>6.6987646934187337</c:v>
                </c:pt>
                <c:pt idx="19">
                  <c:v>15.616111088049998</c:v>
                </c:pt>
                <c:pt idx="20">
                  <c:v>5.4974554089521872</c:v>
                </c:pt>
                <c:pt idx="21">
                  <c:v>14.727369583968869</c:v>
                </c:pt>
                <c:pt idx="22">
                  <c:v>8.8829444188513929</c:v>
                </c:pt>
                <c:pt idx="23">
                  <c:v>15.639607004834286</c:v>
                </c:pt>
                <c:pt idx="24">
                  <c:v>13.277894778314906</c:v>
                </c:pt>
                <c:pt idx="25">
                  <c:v>11.090893006800851</c:v>
                </c:pt>
                <c:pt idx="26">
                  <c:v>17.441926318596952</c:v>
                </c:pt>
                <c:pt idx="27">
                  <c:v>10.372261204385691</c:v>
                </c:pt>
                <c:pt idx="28">
                  <c:v>13.792457886978479</c:v>
                </c:pt>
                <c:pt idx="29">
                  <c:v>14.6831250147291</c:v>
                </c:pt>
                <c:pt idx="30">
                  <c:v>9.3925969878961517</c:v>
                </c:pt>
                <c:pt idx="31">
                  <c:v>11.829296028285933</c:v>
                </c:pt>
                <c:pt idx="32">
                  <c:v>10.606727699571834</c:v>
                </c:pt>
                <c:pt idx="33">
                  <c:v>9.0592523057136738</c:v>
                </c:pt>
                <c:pt idx="34">
                  <c:v>10.350085012102321</c:v>
                </c:pt>
                <c:pt idx="35">
                  <c:v>7.8553691835499597</c:v>
                </c:pt>
                <c:pt idx="36">
                  <c:v>9.917171211896525</c:v>
                </c:pt>
                <c:pt idx="37">
                  <c:v>10.121135311972768</c:v>
                </c:pt>
                <c:pt idx="38">
                  <c:v>17.851555915764141</c:v>
                </c:pt>
                <c:pt idx="39">
                  <c:v>12.302433472128648</c:v>
                </c:pt>
                <c:pt idx="40">
                  <c:v>17.321461756610887</c:v>
                </c:pt>
                <c:pt idx="41">
                  <c:v>7.478776238467459</c:v>
                </c:pt>
                <c:pt idx="42">
                  <c:v>10.399869841306355</c:v>
                </c:pt>
                <c:pt idx="43">
                  <c:v>10.217722408862899</c:v>
                </c:pt>
                <c:pt idx="44">
                  <c:v>11.62401326699705</c:v>
                </c:pt>
                <c:pt idx="45">
                  <c:v>14.670178770806455</c:v>
                </c:pt>
                <c:pt idx="46">
                  <c:v>13.378409701814853</c:v>
                </c:pt>
                <c:pt idx="47">
                  <c:v>16.36296230911795</c:v>
                </c:pt>
                <c:pt idx="48">
                  <c:v>18.710018836079385</c:v>
                </c:pt>
                <c:pt idx="49">
                  <c:v>15.488896820432158</c:v>
                </c:pt>
                <c:pt idx="50">
                  <c:v>20.756411938455614</c:v>
                </c:pt>
                <c:pt idx="51">
                  <c:v>22.832053132301176</c:v>
                </c:pt>
                <c:pt idx="52">
                  <c:v>12.077695279815217</c:v>
                </c:pt>
                <c:pt idx="53">
                  <c:v>16.138049648991881</c:v>
                </c:pt>
                <c:pt idx="54">
                  <c:v>20.245320171704613</c:v>
                </c:pt>
                <c:pt idx="55">
                  <c:v>27.793426016149375</c:v>
                </c:pt>
                <c:pt idx="56">
                  <c:v>21.937726083920754</c:v>
                </c:pt>
                <c:pt idx="57">
                  <c:v>16.942441729469859</c:v>
                </c:pt>
                <c:pt idx="58">
                  <c:v>8.3102808788574158</c:v>
                </c:pt>
                <c:pt idx="59">
                  <c:v>10.782188509061983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8-42E0-86FD-811083AE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4094672"/>
        <c:axId val="484093688"/>
      </c:barChart>
      <c:catAx>
        <c:axId val="4840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93688"/>
        <c:crosses val="autoZero"/>
        <c:auto val="1"/>
        <c:lblAlgn val="ctr"/>
        <c:lblOffset val="100"/>
        <c:noMultiLvlLbl val="0"/>
      </c:catAx>
      <c:valAx>
        <c:axId val="48409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'Análisis proteínas'!$AQ$4</c:f>
              <c:strCache>
                <c:ptCount val="1"/>
                <c:pt idx="0">
                  <c:v>Factor N-P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'Análisis proteínas'!$W$5:$X$16</c:f>
              <c:multiLvlStrCache>
                <c:ptCount val="12"/>
                <c:lvl>
                  <c:pt idx="0">
                    <c:v>FS</c:v>
                  </c:pt>
                  <c:pt idx="1">
                    <c:v>FL</c:v>
                  </c:pt>
                  <c:pt idx="2">
                    <c:v>FS</c:v>
                  </c:pt>
                  <c:pt idx="3">
                    <c:v>FL</c:v>
                  </c:pt>
                  <c:pt idx="4">
                    <c:v>FS</c:v>
                  </c:pt>
                  <c:pt idx="5">
                    <c:v>FL</c:v>
                  </c:pt>
                  <c:pt idx="6">
                    <c:v>FS</c:v>
                  </c:pt>
                  <c:pt idx="7">
                    <c:v>FL</c:v>
                  </c:pt>
                  <c:pt idx="8">
                    <c:v>FS</c:v>
                  </c:pt>
                  <c:pt idx="9">
                    <c:v>FL</c:v>
                  </c:pt>
                  <c:pt idx="10">
                    <c:v>FS</c:v>
                  </c:pt>
                  <c:pt idx="11">
                    <c:v>FL</c:v>
                  </c:pt>
                </c:lvl>
                <c:lvl>
                  <c:pt idx="0">
                    <c:v>X9A</c:v>
                  </c:pt>
                  <c:pt idx="2">
                    <c:v>X10A</c:v>
                  </c:pt>
                  <c:pt idx="4">
                    <c:v>X11A</c:v>
                  </c:pt>
                  <c:pt idx="6">
                    <c:v>X12A</c:v>
                  </c:pt>
                  <c:pt idx="8">
                    <c:v>X13A</c:v>
                  </c:pt>
                  <c:pt idx="10">
                    <c:v>X14A</c:v>
                  </c:pt>
                </c:lvl>
              </c:multiLvlStrCache>
            </c:multiLvlStrRef>
          </c:cat>
          <c:val>
            <c:numRef>
              <c:f>'Análisis proteínas'!$AQ$5:$AQ$16</c:f>
              <c:numCache>
                <c:formatCode>0.00</c:formatCode>
                <c:ptCount val="12"/>
                <c:pt idx="0">
                  <c:v>3.9484592782979937</c:v>
                </c:pt>
                <c:pt idx="1">
                  <c:v>3.4523809523809517</c:v>
                </c:pt>
                <c:pt idx="2">
                  <c:v>4.0255926544137086</c:v>
                </c:pt>
                <c:pt idx="3">
                  <c:v>3.4048852701702437</c:v>
                </c:pt>
                <c:pt idx="4">
                  <c:v>3.6392825428219986</c:v>
                </c:pt>
                <c:pt idx="5">
                  <c:v>3.3637284701114485</c:v>
                </c:pt>
                <c:pt idx="6">
                  <c:v>4.1521265533301346</c:v>
                </c:pt>
                <c:pt idx="7">
                  <c:v>2.2728731942215084</c:v>
                </c:pt>
                <c:pt idx="8">
                  <c:v>4.3879424989377105</c:v>
                </c:pt>
                <c:pt idx="9">
                  <c:v>4.1508128675198899</c:v>
                </c:pt>
                <c:pt idx="10">
                  <c:v>5.1181568954605527</c:v>
                </c:pt>
                <c:pt idx="11">
                  <c:v>3.6529242569511022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2-42FF-B371-10A7D693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4383480"/>
        <c:axId val="384373640"/>
      </c:barChart>
      <c:catAx>
        <c:axId val="384383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73640"/>
        <c:crosses val="autoZero"/>
        <c:auto val="1"/>
        <c:lblAlgn val="ctr"/>
        <c:lblOffset val="100"/>
        <c:noMultiLvlLbl val="0"/>
      </c:catAx>
      <c:valAx>
        <c:axId val="38437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Factor N-P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38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597694</xdr:colOff>
      <xdr:row>63</xdr:row>
      <xdr:rowOff>66675</xdr:rowOff>
    </xdr:from>
    <xdr:to>
      <xdr:col>16</xdr:col>
      <xdr:colOff>1262062</xdr:colOff>
      <xdr:row>83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CD87E1-7AAA-4163-8B24-61A5EE5AB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22</xdr:row>
      <xdr:rowOff>161925</xdr:rowOff>
    </xdr:from>
    <xdr:to>
      <xdr:col>10</xdr:col>
      <xdr:colOff>313974</xdr:colOff>
      <xdr:row>29</xdr:row>
      <xdr:rowOff>123663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128772-39CB-45D2-BBE2-5CABBAD4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4352925"/>
          <a:ext cx="2714274" cy="12952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10</xdr:col>
      <xdr:colOff>390525</xdr:colOff>
      <xdr:row>25</xdr:row>
      <xdr:rowOff>95250</xdr:rowOff>
    </xdr:from>
    <xdr:ext cx="1752600" cy="6783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47664E27-85B2-44A8-930C-D08D2D7AF239}"/>
                </a:ext>
              </a:extLst>
            </xdr:cNvPr>
            <xdr:cNvSpPr txBox="1"/>
          </xdr:nvSpPr>
          <xdr:spPr>
            <a:xfrm>
              <a:off x="10239375" y="4857750"/>
              <a:ext cx="1752600" cy="6783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s-E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%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𝐶𝑜𝑚𝑝𝑢𝑒𝑠𝑡𝑜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100−% 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𝑆𝑉</m:t>
                            </m:r>
                          </m:num>
                          <m:den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100</m:t>
                            </m:r>
                          </m:den>
                        </m:f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47664E27-85B2-44A8-930C-D08D2D7AF239}"/>
                </a:ext>
              </a:extLst>
            </xdr:cNvPr>
            <xdr:cNvSpPr txBox="1"/>
          </xdr:nvSpPr>
          <xdr:spPr>
            <a:xfrm>
              <a:off x="10239375" y="4857750"/>
              <a:ext cx="1752600" cy="6783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% 𝐶𝑜𝑚𝑝𝑢𝑒𝑠𝑡𝑜)/(((100−% 𝑆𝑉)/100))</a:t>
              </a:r>
              <a:endParaRPr lang="es-ES" sz="1100"/>
            </a:p>
          </xdr:txBody>
        </xdr:sp>
      </mc:Fallback>
    </mc:AlternateContent>
    <xdr:clientData/>
  </xdr:oneCellAnchor>
  <xdr:twoCellAnchor>
    <xdr:from>
      <xdr:col>11</xdr:col>
      <xdr:colOff>0</xdr:colOff>
      <xdr:row>3</xdr:row>
      <xdr:rowOff>176212</xdr:rowOff>
    </xdr:from>
    <xdr:to>
      <xdr:col>17</xdr:col>
      <xdr:colOff>0</xdr:colOff>
      <xdr:row>18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5D18EF-590D-4F5A-8147-17F695193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14287</xdr:rowOff>
    </xdr:from>
    <xdr:to>
      <xdr:col>15</xdr:col>
      <xdr:colOff>0</xdr:colOff>
      <xdr:row>16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E72F79-87D1-4986-A9A3-B1CCE2CA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76200</xdr:rowOff>
    </xdr:from>
    <xdr:to>
      <xdr:col>15</xdr:col>
      <xdr:colOff>0</xdr:colOff>
      <xdr:row>30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4BB846-D555-44CD-B04B-9C5DDBB79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</xdr:row>
      <xdr:rowOff>9525</xdr:rowOff>
    </xdr:from>
    <xdr:to>
      <xdr:col>21</xdr:col>
      <xdr:colOff>0</xdr:colOff>
      <xdr:row>16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7BC7A2-AF97-4ABD-AE41-CF0AEA0A5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16</xdr:row>
      <xdr:rowOff>76200</xdr:rowOff>
    </xdr:from>
    <xdr:to>
      <xdr:col>21</xdr:col>
      <xdr:colOff>0</xdr:colOff>
      <xdr:row>30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AC24CC-C722-4AD9-A9DC-F91AB6E78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37</xdr:row>
      <xdr:rowOff>80961</xdr:rowOff>
    </xdr:from>
    <xdr:to>
      <xdr:col>17</xdr:col>
      <xdr:colOff>238125</xdr:colOff>
      <xdr:row>54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2EB2BF-F1D7-4948-A15A-971ACF64A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482202</xdr:colOff>
      <xdr:row>8</xdr:row>
      <xdr:rowOff>51197</xdr:rowOff>
    </xdr:from>
    <xdr:to>
      <xdr:col>18</xdr:col>
      <xdr:colOff>666749</xdr:colOff>
      <xdr:row>29</xdr:row>
      <xdr:rowOff>35719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7D4DEF-6B67-4B81-8776-E76D70A7A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7541</xdr:colOff>
      <xdr:row>31</xdr:row>
      <xdr:rowOff>168673</xdr:rowOff>
    </xdr:from>
    <xdr:to>
      <xdr:col>54</xdr:col>
      <xdr:colOff>342900</xdr:colOff>
      <xdr:row>53</xdr:row>
      <xdr:rowOff>165101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12EEC4-2371-4CE6-BCAB-F1E67EA8B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306916</xdr:colOff>
      <xdr:row>34</xdr:row>
      <xdr:rowOff>31749</xdr:rowOff>
    </xdr:from>
    <xdr:to>
      <xdr:col>42</xdr:col>
      <xdr:colOff>433916</xdr:colOff>
      <xdr:row>51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9F46B2-91EF-4D3D-92D7-825AF1EE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751417</xdr:colOff>
      <xdr:row>34</xdr:row>
      <xdr:rowOff>10583</xdr:rowOff>
    </xdr:from>
    <xdr:to>
      <xdr:col>31</xdr:col>
      <xdr:colOff>243418</xdr:colOff>
      <xdr:row>51</xdr:row>
      <xdr:rowOff>112183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1E85C2-C8BE-4E2D-B874-5112DB78E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185737</xdr:rowOff>
    </xdr:from>
    <xdr:to>
      <xdr:col>9</xdr:col>
      <xdr:colOff>495300</xdr:colOff>
      <xdr:row>52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780561-CD74-45B8-9D63-1AC2A5BF4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542925</xdr:colOff>
      <xdr:row>34</xdr:row>
      <xdr:rowOff>176211</xdr:rowOff>
    </xdr:from>
    <xdr:to>
      <xdr:col>17</xdr:col>
      <xdr:colOff>476250</xdr:colOff>
      <xdr:row>52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7D6B96-6159-43DD-970B-DE9D5FBAD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552450</xdr:colOff>
      <xdr:row>34</xdr:row>
      <xdr:rowOff>171449</xdr:rowOff>
    </xdr:from>
    <xdr:to>
      <xdr:col>27</xdr:col>
      <xdr:colOff>0</xdr:colOff>
      <xdr:row>52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D3D62F-C97B-486D-8F2B-DC9E5395C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9</xdr:col>
      <xdr:colOff>495300</xdr:colOff>
      <xdr:row>70</xdr:row>
      <xdr:rowOff>185738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8265F4-8742-4C25-AE6E-F0BE83E63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595313</xdr:colOff>
      <xdr:row>53</xdr:row>
      <xdr:rowOff>47625</xdr:rowOff>
    </xdr:from>
    <xdr:to>
      <xdr:col>17</xdr:col>
      <xdr:colOff>528638</xdr:colOff>
      <xdr:row>71</xdr:row>
      <xdr:rowOff>52388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5AC2A1-46FF-4E6A-A94B-B7D25DF72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681036</xdr:colOff>
      <xdr:row>74</xdr:row>
      <xdr:rowOff>9524</xdr:rowOff>
    </xdr:from>
    <xdr:to>
      <xdr:col>12</xdr:col>
      <xdr:colOff>752474</xdr:colOff>
      <xdr:row>91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74</xdr:row>
      <xdr:rowOff>0</xdr:rowOff>
    </xdr:from>
    <xdr:to>
      <xdr:col>16</xdr:col>
      <xdr:colOff>1471613</xdr:colOff>
      <xdr:row>91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92</xdr:row>
      <xdr:rowOff>142875</xdr:rowOff>
    </xdr:from>
    <xdr:to>
      <xdr:col>12</xdr:col>
      <xdr:colOff>747713</xdr:colOff>
      <xdr:row>110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92</xdr:row>
      <xdr:rowOff>142875</xdr:rowOff>
    </xdr:from>
    <xdr:to>
      <xdr:col>6</xdr:col>
      <xdr:colOff>581025</xdr:colOff>
      <xdr:row>110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752475</xdr:colOff>
      <xdr:row>73</xdr:row>
      <xdr:rowOff>161925</xdr:rowOff>
    </xdr:from>
    <xdr:to>
      <xdr:col>6</xdr:col>
      <xdr:colOff>552450</xdr:colOff>
      <xdr:row>91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ena María Rojo de Benito" id="{ACA4676B-6571-4D2B-AFEA-065D0A798477}" userId="S::elenamaria.rojo@uva.es::8e30a15a-038a-4d57-a480-80842eddf8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0-11-16T18:21:54.98" personId="{ACA4676B-6571-4D2B-AFEA-065D0A798477}" id="{958DE138-174B-4F89-B33F-E76587419EAD}">
    <text>Dilución 1:100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4" dT="2020-07-27T08:54:31.38" personId="{ACA4676B-6571-4D2B-AFEA-065D0A798477}" id="{1F8D0D64-2D13-4882-9490-847430384F2D}">
    <text>Obtenido del perfil de aminoácidos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P4" dT="2021-02-08T16:22:21.51" personId="{ACA4676B-6571-4D2B-AFEA-065D0A798477}" id="{689ED001-DC16-413D-9A15-C20D49D50AA1}">
    <text>Suponiendo que la densidad es igual a las del agua en las muestras LIQUIDAS (g/L)</text>
  </threadedComment>
  <threadedComment ref="U6" dT="2020-07-27T08:54:31.38" personId="{ACA4676B-6571-4D2B-AFEA-065D0A798477}" id="{3DA3C818-0865-4B4A-925A-AEB9EDF087CF}">
    <text>Obtenido del perfil de aminoácidos</text>
  </threadedComment>
  <threadedComment ref="AP19" dT="2021-02-08T16:22:21.51" personId="{ACA4676B-6571-4D2B-AFEA-065D0A798477}" id="{689ED001-DC16-413E-9A15-C20D49D50AA1}">
    <text>Suponiendo que la densidad es igual a las del agua en las muestras LIQUIDAS (g/L)</text>
  </threadedComment>
  <threadedComment ref="AP56" dT="2021-02-08T16:22:21.51" personId="{ACA4676B-6571-4D2B-AFEA-065D0A798477}" id="{F3208AEE-32C0-4BC5-BD7B-34DE7809C993}">
    <text>Suponiendo que la densidad es igual a las del agua en las muestras LIQUIDAS (g/L)</text>
  </threadedComment>
  <threadedComment ref="AP66" dT="2021-02-08T16:22:21.51" personId="{ACA4676B-6571-4D2B-AFEA-065D0A798477}" id="{1C06CCD8-5857-4E5C-AFAD-5D9C6089CAEE}">
    <text>Suponiendo que la densidad es igual a las del agua en las muestras LIQUIDAS (g/L)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78"/>
  <sheetViews>
    <sheetView topLeftCell="A31" zoomScale="80" zoomScaleNormal="80" workbookViewId="0">
      <selection activeCell="R60" sqref="R60"/>
    </sheetView>
  </sheetViews>
  <sheetFormatPr defaultColWidth="11.42578125" defaultRowHeight="15"/>
  <cols>
    <col min="1" max="1" width="12.42578125" bestFit="1" customWidth="1"/>
    <col min="2" max="2" width="13.7109375" bestFit="1" customWidth="1"/>
    <col min="3" max="3" width="12.42578125" bestFit="1" customWidth="1"/>
    <col min="4" max="4" width="13.85546875" bestFit="1" customWidth="1"/>
    <col min="5" max="5" width="17.5703125" bestFit="1" customWidth="1"/>
    <col min="6" max="6" width="16.42578125" bestFit="1" customWidth="1"/>
    <col min="9" max="9" width="15.7109375" bestFit="1" customWidth="1"/>
    <col min="12" max="12" width="18.42578125" bestFit="1" customWidth="1"/>
    <col min="13" max="13" width="15.28515625" bestFit="1" customWidth="1"/>
    <col min="14" max="14" width="15.7109375" bestFit="1" customWidth="1"/>
    <col min="15" max="15" width="20.42578125" bestFit="1" customWidth="1"/>
    <col min="16" max="16" width="14.7109375" bestFit="1" customWidth="1"/>
    <col min="17" max="17" width="19.5703125" bestFit="1" customWidth="1"/>
    <col min="18" max="19" width="21.5703125" bestFit="1" customWidth="1"/>
  </cols>
  <sheetData>
    <row r="2" spans="1:1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7">
      <c r="A3" s="8" t="s">
        <v>13</v>
      </c>
      <c r="B3" s="162" t="s">
        <v>14</v>
      </c>
      <c r="C3" s="164"/>
      <c r="D3" s="162" t="s">
        <v>15</v>
      </c>
      <c r="E3" s="162" t="s">
        <v>16</v>
      </c>
      <c r="F3" s="162">
        <v>120</v>
      </c>
      <c r="G3" s="162">
        <v>1</v>
      </c>
      <c r="H3" s="166"/>
      <c r="I3" s="164"/>
      <c r="K3" s="2">
        <v>5</v>
      </c>
      <c r="L3" s="2">
        <f>N3*(K3/100)</f>
        <v>12.5</v>
      </c>
      <c r="M3" s="23">
        <f>L3/('Composición alga'!J4/100)</f>
        <v>13.308457711442745</v>
      </c>
      <c r="N3" s="2">
        <v>250</v>
      </c>
      <c r="O3" s="14" t="s">
        <v>17</v>
      </c>
    </row>
    <row r="4" spans="1:17">
      <c r="A4" s="8" t="s">
        <v>18</v>
      </c>
      <c r="B4" s="162"/>
      <c r="C4" s="165"/>
      <c r="D4" s="162"/>
      <c r="E4" s="162"/>
      <c r="F4" s="162"/>
      <c r="G4" s="162"/>
      <c r="H4" s="167"/>
      <c r="I4" s="165"/>
    </row>
    <row r="5" spans="1:17">
      <c r="A5" s="8" t="s">
        <v>19</v>
      </c>
      <c r="B5" s="162" t="s">
        <v>14</v>
      </c>
      <c r="C5" s="164"/>
      <c r="D5" s="162" t="s">
        <v>15</v>
      </c>
      <c r="E5" s="162" t="s">
        <v>16</v>
      </c>
      <c r="F5" s="162">
        <v>60</v>
      </c>
      <c r="G5" s="162">
        <v>1</v>
      </c>
      <c r="H5" s="166"/>
      <c r="I5" s="164"/>
      <c r="L5" s="161" t="s">
        <v>20</v>
      </c>
      <c r="M5" s="161"/>
      <c r="O5" s="161" t="s">
        <v>21</v>
      </c>
      <c r="P5" s="161"/>
    </row>
    <row r="6" spans="1:17">
      <c r="A6" s="8" t="s">
        <v>22</v>
      </c>
      <c r="B6" s="162"/>
      <c r="C6" s="165"/>
      <c r="D6" s="162"/>
      <c r="E6" s="162"/>
      <c r="F6" s="162"/>
      <c r="G6" s="162"/>
      <c r="H6" s="167"/>
      <c r="I6" s="165"/>
      <c r="L6" s="2" t="s">
        <v>23</v>
      </c>
      <c r="M6" s="21">
        <f>L3*M10/M9</f>
        <v>149.70833333333334</v>
      </c>
      <c r="O6" s="2" t="s">
        <v>23</v>
      </c>
      <c r="P6" s="21">
        <v>120</v>
      </c>
      <c r="Q6" s="14" t="s">
        <v>24</v>
      </c>
    </row>
    <row r="7" spans="1:17">
      <c r="A7" s="8" t="s">
        <v>25</v>
      </c>
      <c r="B7" s="162" t="s">
        <v>14</v>
      </c>
      <c r="C7" s="164"/>
      <c r="D7" s="162" t="s">
        <v>15</v>
      </c>
      <c r="E7" s="162" t="s">
        <v>16</v>
      </c>
      <c r="F7" s="162">
        <v>40</v>
      </c>
      <c r="G7" s="162">
        <v>1</v>
      </c>
      <c r="H7" s="166"/>
      <c r="I7" s="164"/>
      <c r="L7" s="2" t="s">
        <v>26</v>
      </c>
      <c r="M7" s="2">
        <f>K3</f>
        <v>5</v>
      </c>
      <c r="O7" s="2" t="s">
        <v>26</v>
      </c>
      <c r="P7" s="2">
        <f>K3</f>
        <v>5</v>
      </c>
    </row>
    <row r="8" spans="1:17">
      <c r="A8" s="8" t="s">
        <v>27</v>
      </c>
      <c r="B8" s="162"/>
      <c r="C8" s="165"/>
      <c r="D8" s="162"/>
      <c r="E8" s="162"/>
      <c r="F8" s="162"/>
      <c r="G8" s="162"/>
      <c r="H8" s="167"/>
      <c r="I8" s="165"/>
      <c r="L8" s="2" t="s">
        <v>28</v>
      </c>
      <c r="M8" s="2">
        <v>10</v>
      </c>
      <c r="O8" s="2" t="s">
        <v>28</v>
      </c>
      <c r="P8" s="2">
        <v>60</v>
      </c>
    </row>
    <row r="9" spans="1:17">
      <c r="A9" s="8" t="s">
        <v>29</v>
      </c>
      <c r="B9" s="162" t="s">
        <v>30</v>
      </c>
      <c r="C9" s="164"/>
      <c r="D9" s="162" t="s">
        <v>31</v>
      </c>
      <c r="E9" s="162" t="s">
        <v>16</v>
      </c>
      <c r="F9" s="162">
        <v>120</v>
      </c>
      <c r="G9" s="162">
        <v>1</v>
      </c>
      <c r="H9" s="166"/>
      <c r="I9" s="164"/>
      <c r="L9" s="2" t="s">
        <v>32</v>
      </c>
      <c r="M9" s="2">
        <f>M8*60</f>
        <v>600</v>
      </c>
      <c r="O9" s="2" t="s">
        <v>32</v>
      </c>
      <c r="P9" s="2">
        <f>P8*60</f>
        <v>3600</v>
      </c>
    </row>
    <row r="10" spans="1:17">
      <c r="A10" s="8" t="s">
        <v>33</v>
      </c>
      <c r="B10" s="162"/>
      <c r="C10" s="165"/>
      <c r="D10" s="162"/>
      <c r="E10" s="162"/>
      <c r="F10" s="162"/>
      <c r="G10" s="162"/>
      <c r="H10" s="167"/>
      <c r="I10" s="165"/>
      <c r="L10" s="2" t="s">
        <v>34</v>
      </c>
      <c r="M10" s="2">
        <v>7186</v>
      </c>
      <c r="O10" s="2" t="s">
        <v>34</v>
      </c>
      <c r="P10" s="2">
        <f>(P6*P9)/L3</f>
        <v>34560</v>
      </c>
    </row>
    <row r="11" spans="1:17">
      <c r="A11" s="8" t="s">
        <v>35</v>
      </c>
      <c r="B11" s="162" t="s">
        <v>30</v>
      </c>
      <c r="C11" s="164"/>
      <c r="D11" s="162" t="s">
        <v>31</v>
      </c>
      <c r="E11" s="162" t="s">
        <v>16</v>
      </c>
      <c r="F11" s="162">
        <v>60</v>
      </c>
      <c r="G11" s="162">
        <v>1</v>
      </c>
      <c r="H11" s="166"/>
      <c r="I11" s="164"/>
    </row>
    <row r="12" spans="1:17">
      <c r="A12" s="8" t="s">
        <v>36</v>
      </c>
      <c r="B12" s="162"/>
      <c r="C12" s="165"/>
      <c r="D12" s="162"/>
      <c r="E12" s="162"/>
      <c r="F12" s="162"/>
      <c r="G12" s="162"/>
      <c r="H12" s="167"/>
      <c r="I12" s="165"/>
      <c r="L12" s="161" t="s">
        <v>37</v>
      </c>
      <c r="M12" s="161"/>
      <c r="O12" s="161" t="s">
        <v>38</v>
      </c>
      <c r="P12" s="161"/>
    </row>
    <row r="13" spans="1:17">
      <c r="A13" s="8" t="s">
        <v>39</v>
      </c>
      <c r="B13" s="162" t="s">
        <v>30</v>
      </c>
      <c r="C13" s="164"/>
      <c r="D13" s="162" t="s">
        <v>31</v>
      </c>
      <c r="E13" s="162" t="s">
        <v>16</v>
      </c>
      <c r="F13" s="162">
        <v>40</v>
      </c>
      <c r="G13" s="162">
        <v>1</v>
      </c>
      <c r="H13" s="166"/>
      <c r="I13" s="164"/>
      <c r="L13" s="166" t="s">
        <v>40</v>
      </c>
      <c r="M13" s="2">
        <v>2.5</v>
      </c>
      <c r="O13" s="2" t="s">
        <v>41</v>
      </c>
      <c r="P13" s="63"/>
    </row>
    <row r="14" spans="1:17">
      <c r="A14" s="8" t="s">
        <v>42</v>
      </c>
      <c r="B14" s="162"/>
      <c r="C14" s="165"/>
      <c r="D14" s="162"/>
      <c r="E14" s="162"/>
      <c r="F14" s="162"/>
      <c r="G14" s="162"/>
      <c r="H14" s="167"/>
      <c r="I14" s="165"/>
      <c r="L14" s="167"/>
      <c r="M14" s="2" t="s">
        <v>43</v>
      </c>
      <c r="O14" s="2" t="s">
        <v>44</v>
      </c>
      <c r="P14" s="2">
        <v>2.4500000000000002</v>
      </c>
    </row>
    <row r="15" spans="1:17">
      <c r="A15" s="8" t="s">
        <v>45</v>
      </c>
      <c r="B15" s="162" t="s">
        <v>46</v>
      </c>
      <c r="C15" s="162" t="s">
        <v>47</v>
      </c>
      <c r="D15" s="163"/>
      <c r="E15" s="162" t="s">
        <v>48</v>
      </c>
      <c r="F15" s="162">
        <v>50</v>
      </c>
      <c r="G15" s="162">
        <v>3</v>
      </c>
      <c r="H15" s="162">
        <v>6.5</v>
      </c>
      <c r="I15" s="162" t="s">
        <v>37</v>
      </c>
      <c r="J15" s="14"/>
      <c r="L15" s="2" t="s">
        <v>28</v>
      </c>
      <c r="M15" s="2">
        <v>60</v>
      </c>
      <c r="O15" s="2" t="s">
        <v>26</v>
      </c>
      <c r="P15" s="2">
        <f>K3</f>
        <v>5</v>
      </c>
    </row>
    <row r="16" spans="1:17">
      <c r="A16" s="8" t="s">
        <v>49</v>
      </c>
      <c r="B16" s="162"/>
      <c r="C16" s="162"/>
      <c r="D16" s="163"/>
      <c r="E16" s="162"/>
      <c r="F16" s="162"/>
      <c r="G16" s="162"/>
      <c r="H16" s="162"/>
      <c r="I16" s="162"/>
      <c r="O16" s="2" t="s">
        <v>28</v>
      </c>
      <c r="P16" s="2">
        <v>60</v>
      </c>
    </row>
    <row r="17" spans="1:21">
      <c r="A17" s="8" t="s">
        <v>50</v>
      </c>
      <c r="B17" s="162" t="s">
        <v>46</v>
      </c>
      <c r="C17" s="162" t="s">
        <v>47</v>
      </c>
      <c r="D17" s="163"/>
      <c r="E17" s="162" t="s">
        <v>48</v>
      </c>
      <c r="F17" s="162">
        <v>50</v>
      </c>
      <c r="G17" s="162">
        <v>3</v>
      </c>
      <c r="H17" s="162">
        <v>6.5</v>
      </c>
      <c r="I17" s="162" t="s">
        <v>51</v>
      </c>
      <c r="J17" s="14"/>
      <c r="L17" s="161" t="s">
        <v>52</v>
      </c>
      <c r="M17" s="161"/>
      <c r="O17" s="2" t="s">
        <v>32</v>
      </c>
      <c r="P17" s="2">
        <f>P16*60</f>
        <v>3600</v>
      </c>
    </row>
    <row r="18" spans="1:21">
      <c r="A18" s="8" t="s">
        <v>53</v>
      </c>
      <c r="B18" s="162"/>
      <c r="C18" s="162"/>
      <c r="D18" s="163"/>
      <c r="E18" s="162"/>
      <c r="F18" s="162"/>
      <c r="G18" s="162"/>
      <c r="H18" s="162"/>
      <c r="I18" s="162"/>
      <c r="L18" s="2" t="s">
        <v>7</v>
      </c>
      <c r="M18" s="2">
        <v>6.5</v>
      </c>
    </row>
    <row r="19" spans="1:21">
      <c r="A19" s="8" t="s">
        <v>54</v>
      </c>
      <c r="B19" s="162" t="s">
        <v>46</v>
      </c>
      <c r="C19" s="162" t="s">
        <v>47</v>
      </c>
      <c r="D19" s="163"/>
      <c r="E19" s="162" t="s">
        <v>48</v>
      </c>
      <c r="F19" s="162">
        <v>50</v>
      </c>
      <c r="G19" s="162">
        <v>3</v>
      </c>
      <c r="H19" s="162">
        <v>6.5</v>
      </c>
      <c r="I19" s="162" t="s">
        <v>55</v>
      </c>
      <c r="L19" s="2" t="s">
        <v>56</v>
      </c>
      <c r="M19" s="2" t="s">
        <v>57</v>
      </c>
    </row>
    <row r="20" spans="1:21">
      <c r="A20" s="8" t="s">
        <v>58</v>
      </c>
      <c r="B20" s="162"/>
      <c r="C20" s="162"/>
      <c r="D20" s="163"/>
      <c r="E20" s="162"/>
      <c r="F20" s="162"/>
      <c r="G20" s="162"/>
      <c r="H20" s="162"/>
      <c r="I20" s="162"/>
      <c r="L20" s="2" t="s">
        <v>59</v>
      </c>
      <c r="M20" s="2">
        <f>L3/100</f>
        <v>0.125</v>
      </c>
    </row>
    <row r="21" spans="1:21">
      <c r="A21" s="8" t="s">
        <v>60</v>
      </c>
      <c r="B21" s="162" t="s">
        <v>46</v>
      </c>
      <c r="C21" s="162" t="s">
        <v>47</v>
      </c>
      <c r="D21" s="163"/>
      <c r="E21" s="162" t="s">
        <v>48</v>
      </c>
      <c r="F21" s="162">
        <v>50</v>
      </c>
      <c r="G21" s="162">
        <v>1</v>
      </c>
      <c r="H21" s="162">
        <v>6.5</v>
      </c>
      <c r="I21" s="162" t="s">
        <v>21</v>
      </c>
      <c r="L21" s="2" t="s">
        <v>61</v>
      </c>
      <c r="M21" s="2" t="s">
        <v>62</v>
      </c>
    </row>
    <row r="22" spans="1:21">
      <c r="A22" s="8" t="s">
        <v>63</v>
      </c>
      <c r="B22" s="162"/>
      <c r="C22" s="162"/>
      <c r="D22" s="163"/>
      <c r="E22" s="162"/>
      <c r="F22" s="162"/>
      <c r="G22" s="162"/>
      <c r="H22" s="162"/>
      <c r="I22" s="162"/>
      <c r="L22" s="2" t="s">
        <v>64</v>
      </c>
      <c r="M22" s="2">
        <v>0.37</v>
      </c>
    </row>
    <row r="23" spans="1:21">
      <c r="A23" s="8" t="s">
        <v>65</v>
      </c>
      <c r="B23" s="162" t="s">
        <v>46</v>
      </c>
      <c r="C23" s="162" t="s">
        <v>47</v>
      </c>
      <c r="D23" s="163"/>
      <c r="E23" s="162" t="s">
        <v>48</v>
      </c>
      <c r="F23" s="162">
        <v>50</v>
      </c>
      <c r="G23" s="162">
        <v>1</v>
      </c>
      <c r="H23" s="162">
        <v>6.5</v>
      </c>
      <c r="I23" s="162" t="s">
        <v>38</v>
      </c>
      <c r="L23" s="14" t="s">
        <v>66</v>
      </c>
    </row>
    <row r="24" spans="1:21">
      <c r="A24" s="8" t="s">
        <v>67</v>
      </c>
      <c r="B24" s="162"/>
      <c r="C24" s="162"/>
      <c r="D24" s="163"/>
      <c r="E24" s="162"/>
      <c r="F24" s="162"/>
      <c r="G24" s="162"/>
      <c r="H24" s="162"/>
      <c r="I24" s="162"/>
      <c r="L24" s="62"/>
    </row>
    <row r="25" spans="1:21">
      <c r="A25" s="8" t="s">
        <v>68</v>
      </c>
      <c r="B25" s="162" t="s">
        <v>46</v>
      </c>
      <c r="C25" s="162" t="s">
        <v>69</v>
      </c>
      <c r="D25" s="163"/>
      <c r="E25" s="162" t="s">
        <v>70</v>
      </c>
      <c r="F25" s="162">
        <v>50</v>
      </c>
      <c r="G25" s="162">
        <v>3</v>
      </c>
      <c r="H25" s="162">
        <v>6.5</v>
      </c>
      <c r="I25" s="162" t="s">
        <v>55</v>
      </c>
    </row>
    <row r="26" spans="1:21">
      <c r="A26" s="8" t="s">
        <v>71</v>
      </c>
      <c r="B26" s="162"/>
      <c r="C26" s="162"/>
      <c r="D26" s="163"/>
      <c r="E26" s="162"/>
      <c r="F26" s="162"/>
      <c r="G26" s="162"/>
      <c r="H26" s="162"/>
      <c r="I26" s="162"/>
    </row>
    <row r="27" spans="1:21">
      <c r="A27" s="8" t="s">
        <v>72</v>
      </c>
      <c r="B27" s="162" t="s">
        <v>46</v>
      </c>
      <c r="C27" s="162" t="s">
        <v>69</v>
      </c>
      <c r="D27" s="163"/>
      <c r="E27" s="162" t="s">
        <v>70</v>
      </c>
      <c r="F27" s="162">
        <v>50</v>
      </c>
      <c r="G27" s="162">
        <v>1</v>
      </c>
      <c r="H27" s="162">
        <v>6.5</v>
      </c>
      <c r="I27" s="162" t="s">
        <v>21</v>
      </c>
      <c r="M27">
        <f>(12.5/250)*1000</f>
        <v>50</v>
      </c>
    </row>
    <row r="28" spans="1:21">
      <c r="A28" s="8" t="s">
        <v>73</v>
      </c>
      <c r="B28" s="162"/>
      <c r="C28" s="162"/>
      <c r="D28" s="163"/>
      <c r="E28" s="162"/>
      <c r="F28" s="162"/>
      <c r="G28" s="162"/>
      <c r="H28" s="162"/>
      <c r="I28" s="162"/>
    </row>
    <row r="29" spans="1:21">
      <c r="A29" s="8" t="s">
        <v>74</v>
      </c>
      <c r="B29" s="162" t="s">
        <v>46</v>
      </c>
      <c r="C29" s="162" t="s">
        <v>69</v>
      </c>
      <c r="D29" s="163"/>
      <c r="E29" s="162" t="s">
        <v>70</v>
      </c>
      <c r="F29" s="162">
        <v>50</v>
      </c>
      <c r="G29" s="162">
        <v>1</v>
      </c>
      <c r="H29" s="162">
        <v>6.5</v>
      </c>
      <c r="I29" s="162" t="s">
        <v>38</v>
      </c>
    </row>
    <row r="30" spans="1:21">
      <c r="A30" s="8" t="s">
        <v>75</v>
      </c>
      <c r="B30" s="162"/>
      <c r="C30" s="162"/>
      <c r="D30" s="163"/>
      <c r="E30" s="162"/>
      <c r="F30" s="162"/>
      <c r="G30" s="162"/>
      <c r="H30" s="162"/>
      <c r="I30" s="162"/>
    </row>
    <row r="32" spans="1:21" ht="18">
      <c r="A32" s="4" t="s">
        <v>0</v>
      </c>
      <c r="B32" s="4" t="s">
        <v>76</v>
      </c>
      <c r="C32" s="4" t="s">
        <v>77</v>
      </c>
      <c r="D32" s="4" t="s">
        <v>10</v>
      </c>
      <c r="E32" s="4" t="s">
        <v>78</v>
      </c>
      <c r="F32" s="4" t="s">
        <v>79</v>
      </c>
      <c r="G32" s="4" t="s">
        <v>80</v>
      </c>
      <c r="H32" s="4" t="s">
        <v>9</v>
      </c>
      <c r="I32" s="4" t="s">
        <v>2</v>
      </c>
      <c r="J32" s="4" t="s">
        <v>7</v>
      </c>
      <c r="K32" s="4" t="s">
        <v>81</v>
      </c>
      <c r="L32" s="4" t="s">
        <v>82</v>
      </c>
      <c r="M32" s="4" t="s">
        <v>83</v>
      </c>
      <c r="N32" s="4" t="s">
        <v>84</v>
      </c>
      <c r="O32" s="4" t="s">
        <v>85</v>
      </c>
      <c r="P32" s="4" t="s">
        <v>86</v>
      </c>
      <c r="Q32" s="4" t="s">
        <v>87</v>
      </c>
      <c r="R32" s="4" t="s">
        <v>88</v>
      </c>
      <c r="S32" s="4" t="s">
        <v>89</v>
      </c>
      <c r="T32" s="4" t="s">
        <v>90</v>
      </c>
      <c r="U32" s="4" t="s">
        <v>91</v>
      </c>
    </row>
    <row r="33" spans="1:21">
      <c r="A33" s="5" t="s">
        <v>13</v>
      </c>
      <c r="B33" s="2">
        <v>182.25</v>
      </c>
      <c r="C33" s="2">
        <v>13.5</v>
      </c>
      <c r="D33" s="23">
        <f>C33*('Composición alga'!$J$4/100)</f>
        <v>12.679906542056113</v>
      </c>
      <c r="E33" s="2">
        <v>198.82</v>
      </c>
      <c r="F33" s="2">
        <v>433.68</v>
      </c>
      <c r="G33" s="2">
        <f>F33-B33</f>
        <v>251.43</v>
      </c>
      <c r="H33" s="23">
        <f>D33/(F33-B33)*100</f>
        <v>5.0431159933405372</v>
      </c>
      <c r="I33" s="170"/>
      <c r="J33" s="2">
        <v>-0.13</v>
      </c>
      <c r="K33" s="2">
        <v>25.02</v>
      </c>
      <c r="L33" s="2">
        <v>214.15</v>
      </c>
      <c r="M33" s="2">
        <f>K33+L33</f>
        <v>239.17000000000002</v>
      </c>
      <c r="N33" s="2">
        <f>G33-M33</f>
        <v>12.259999999999991</v>
      </c>
      <c r="O33" s="23">
        <f>(N33/G33)*100</f>
        <v>4.8761086584735276</v>
      </c>
      <c r="P33" s="2">
        <v>9.51</v>
      </c>
      <c r="Q33" s="17">
        <f>(13.627-P33)*('Análisis sólidos'!F5/100)</f>
        <v>3.7892808496660577</v>
      </c>
      <c r="R33" s="2">
        <f>L33</f>
        <v>214.15</v>
      </c>
      <c r="S33" s="23">
        <f>((D33-Q33)/D33)*100</f>
        <v>70.115861366186323</v>
      </c>
      <c r="T33" s="22">
        <v>44147</v>
      </c>
      <c r="U33" s="174">
        <f>STDEV(S33:S34)</f>
        <v>1.313495856299163</v>
      </c>
    </row>
    <row r="34" spans="1:21">
      <c r="A34" s="5" t="s">
        <v>18</v>
      </c>
      <c r="B34" s="2">
        <v>193.74</v>
      </c>
      <c r="C34" s="2">
        <v>13.36</v>
      </c>
      <c r="D34" s="23">
        <f>C34*('Composición alga'!$J$4/100)</f>
        <v>12.548411214953308</v>
      </c>
      <c r="E34" s="2">
        <v>207.14</v>
      </c>
      <c r="F34" s="2">
        <v>443.55</v>
      </c>
      <c r="G34" s="2">
        <f t="shared" ref="G34:G50" si="0">F34-B34</f>
        <v>249.81</v>
      </c>
      <c r="H34" s="23">
        <f t="shared" ref="H34:H50" si="1">D34/(F34-B34)*100</f>
        <v>5.0231821043806519</v>
      </c>
      <c r="I34" s="171"/>
      <c r="J34" s="2">
        <v>-0.11</v>
      </c>
      <c r="K34" s="2">
        <v>26.27</v>
      </c>
      <c r="L34" s="2">
        <v>212.17</v>
      </c>
      <c r="M34" s="2">
        <f t="shared" ref="M34:M50" si="2">K34+L34</f>
        <v>238.44</v>
      </c>
      <c r="N34" s="2">
        <f t="shared" ref="N34:N50" si="3">G34-M34</f>
        <v>11.370000000000005</v>
      </c>
      <c r="O34" s="23">
        <f t="shared" ref="O34:O50" si="4">(N34/G34)*100</f>
        <v>4.5514591089227832</v>
      </c>
      <c r="P34" s="2">
        <v>9.4700000000000006</v>
      </c>
      <c r="Q34" s="17">
        <f>(13.8089-P34)*('Análisis sólidos'!F6/100)</f>
        <v>3.9830793297135427</v>
      </c>
      <c r="R34" s="2">
        <f t="shared" ref="R34:R50" si="5">L34</f>
        <v>212.17</v>
      </c>
      <c r="S34" s="23">
        <f t="shared" ref="S34:S50" si="6">((D34-Q34)/D34)*100</f>
        <v>68.258297712087185</v>
      </c>
      <c r="T34" s="22">
        <v>44147</v>
      </c>
      <c r="U34" s="174"/>
    </row>
    <row r="35" spans="1:21">
      <c r="A35" s="5" t="s">
        <v>19</v>
      </c>
      <c r="B35" s="2">
        <v>231.06</v>
      </c>
      <c r="C35" s="2">
        <v>13.33</v>
      </c>
      <c r="D35" s="23">
        <f>C35*('Composición alga'!$J$4/100)</f>
        <v>12.52023364485985</v>
      </c>
      <c r="E35" s="2">
        <v>244.4</v>
      </c>
      <c r="F35" s="2">
        <v>494.72</v>
      </c>
      <c r="G35" s="2">
        <f t="shared" si="0"/>
        <v>263.66000000000003</v>
      </c>
      <c r="H35" s="23">
        <f t="shared" si="1"/>
        <v>4.7486284020556209</v>
      </c>
      <c r="I35" s="171"/>
      <c r="J35" s="2">
        <v>-0.28000000000000003</v>
      </c>
      <c r="K35" s="2">
        <v>35.43</v>
      </c>
      <c r="L35" s="2">
        <v>219.03</v>
      </c>
      <c r="M35" s="2">
        <f t="shared" si="2"/>
        <v>254.46</v>
      </c>
      <c r="N35" s="23">
        <f t="shared" si="3"/>
        <v>9.2000000000000171</v>
      </c>
      <c r="O35" s="23">
        <f t="shared" si="4"/>
        <v>3.4893423348251593</v>
      </c>
      <c r="P35" s="2">
        <v>9.18</v>
      </c>
      <c r="Q35" s="17">
        <f>(19.4774-P35)*('Análisis sólidos'!F7/100)</f>
        <v>8.681345858635936</v>
      </c>
      <c r="R35" s="2">
        <f t="shared" si="5"/>
        <v>219.03</v>
      </c>
      <c r="S35" s="23">
        <f t="shared" si="6"/>
        <v>30.66147082486723</v>
      </c>
      <c r="T35" s="22">
        <v>44146</v>
      </c>
      <c r="U35" s="174">
        <f t="shared" ref="U35" si="7">STDEV(S35:S36)</f>
        <v>1.5960839925653973</v>
      </c>
    </row>
    <row r="36" spans="1:21">
      <c r="A36" s="5" t="s">
        <v>22</v>
      </c>
      <c r="B36" s="2">
        <v>178.76</v>
      </c>
      <c r="C36" s="2">
        <v>13.39</v>
      </c>
      <c r="D36" s="23">
        <f>C36*('Composición alga'!$J$4/100)</f>
        <v>12.576588785046768</v>
      </c>
      <c r="E36" s="2">
        <v>192.19</v>
      </c>
      <c r="F36" s="2">
        <v>442.57</v>
      </c>
      <c r="G36" s="2">
        <f t="shared" si="0"/>
        <v>263.81</v>
      </c>
      <c r="H36" s="23">
        <f t="shared" si="1"/>
        <v>4.7672903927246004</v>
      </c>
      <c r="I36" s="171"/>
      <c r="J36" s="2">
        <v>-0.28000000000000003</v>
      </c>
      <c r="K36" s="2">
        <v>36.979999999999997</v>
      </c>
      <c r="L36" s="2">
        <v>218.99</v>
      </c>
      <c r="M36" s="2">
        <f t="shared" si="2"/>
        <v>255.97</v>
      </c>
      <c r="N36" s="2">
        <f t="shared" si="3"/>
        <v>7.8400000000000034</v>
      </c>
      <c r="O36" s="23">
        <f t="shared" si="4"/>
        <v>2.9718357909101258</v>
      </c>
      <c r="P36" s="2">
        <v>9.56</v>
      </c>
      <c r="Q36" s="17">
        <f>(18.6357-P36)*('Análisis sólidos'!F8/100)</f>
        <v>8.4365424654990946</v>
      </c>
      <c r="R36" s="2">
        <f t="shared" si="5"/>
        <v>218.99</v>
      </c>
      <c r="S36" s="23">
        <f t="shared" si="6"/>
        <v>32.918674453839813</v>
      </c>
      <c r="T36" s="22">
        <v>44146</v>
      </c>
      <c r="U36" s="174"/>
    </row>
    <row r="37" spans="1:21">
      <c r="A37" s="5" t="s">
        <v>25</v>
      </c>
      <c r="B37" s="2">
        <v>233.03</v>
      </c>
      <c r="C37" s="2">
        <v>13.4</v>
      </c>
      <c r="D37" s="23">
        <f>C37*('Composición alga'!$J$4/100)</f>
        <v>12.585981308411252</v>
      </c>
      <c r="E37" s="2">
        <v>246.39</v>
      </c>
      <c r="F37" s="2">
        <v>483.06</v>
      </c>
      <c r="G37" s="2">
        <f t="shared" si="0"/>
        <v>250.03</v>
      </c>
      <c r="H37" s="23">
        <f t="shared" si="1"/>
        <v>5.0337884687482513</v>
      </c>
      <c r="I37" s="171"/>
      <c r="J37" s="2">
        <v>-0.28000000000000003</v>
      </c>
      <c r="K37" s="2">
        <f>47.69-P37</f>
        <v>38.239999999999995</v>
      </c>
      <c r="L37" s="2">
        <f>103.42+102.02</f>
        <v>205.44</v>
      </c>
      <c r="M37" s="2">
        <f t="shared" si="2"/>
        <v>243.68</v>
      </c>
      <c r="N37" s="2">
        <f t="shared" si="3"/>
        <v>6.3499999999999943</v>
      </c>
      <c r="O37" s="23">
        <f t="shared" si="4"/>
        <v>2.539695236571609</v>
      </c>
      <c r="P37" s="2">
        <v>9.4499999999999993</v>
      </c>
      <c r="Q37" s="17">
        <f>(19.3232-P37)*('Análisis sólidos'!F9/100)</f>
        <v>9.0838986741572914</v>
      </c>
      <c r="R37" s="2">
        <f t="shared" si="5"/>
        <v>205.44</v>
      </c>
      <c r="S37" s="23">
        <f t="shared" si="6"/>
        <v>27.825264859669762</v>
      </c>
      <c r="T37" s="22">
        <v>44145</v>
      </c>
      <c r="U37" s="174">
        <f t="shared" ref="U37" si="8">STDEV(S37:S38)</f>
        <v>0.20529141912192159</v>
      </c>
    </row>
    <row r="38" spans="1:21">
      <c r="A38" s="5" t="s">
        <v>27</v>
      </c>
      <c r="B38" s="2">
        <v>231.08</v>
      </c>
      <c r="C38" s="2">
        <v>13.31</v>
      </c>
      <c r="D38" s="23">
        <f>C38*('Composición alga'!$J$4/100)</f>
        <v>12.50144859813088</v>
      </c>
      <c r="E38" s="2">
        <v>244.41</v>
      </c>
      <c r="F38" s="2">
        <v>482.03</v>
      </c>
      <c r="G38" s="2">
        <f t="shared" si="0"/>
        <v>250.94999999999996</v>
      </c>
      <c r="H38" s="23">
        <f t="shared" si="1"/>
        <v>4.9816491723972431</v>
      </c>
      <c r="I38" s="171"/>
      <c r="J38" s="2">
        <v>-0.3</v>
      </c>
      <c r="K38" s="2">
        <f>46.63-P38</f>
        <v>37.08</v>
      </c>
      <c r="L38" s="2">
        <f>102.52+104.71</f>
        <v>207.23</v>
      </c>
      <c r="M38" s="2">
        <f t="shared" si="2"/>
        <v>244.31</v>
      </c>
      <c r="N38" s="2">
        <f t="shared" si="3"/>
        <v>6.6399999999999579</v>
      </c>
      <c r="O38" s="23">
        <f t="shared" si="4"/>
        <v>2.6459454074516673</v>
      </c>
      <c r="P38" s="2">
        <v>9.5500000000000007</v>
      </c>
      <c r="Q38" s="17">
        <f>(19.4824-P38)*('Análisis sólidos'!F10/100)</f>
        <v>9.0591823587063143</v>
      </c>
      <c r="R38" s="2">
        <f t="shared" si="5"/>
        <v>207.23</v>
      </c>
      <c r="S38" s="23">
        <f t="shared" si="6"/>
        <v>27.534938950508721</v>
      </c>
      <c r="T38" s="22">
        <v>44145</v>
      </c>
      <c r="U38" s="174"/>
    </row>
    <row r="39" spans="1:21">
      <c r="A39" s="5" t="s">
        <v>29</v>
      </c>
      <c r="B39" s="2">
        <v>231.09</v>
      </c>
      <c r="C39" s="2">
        <v>13.42</v>
      </c>
      <c r="D39" s="23">
        <f>C39*('Composición alga'!$J$4/100)</f>
        <v>12.604766355140224</v>
      </c>
      <c r="E39" s="2">
        <v>244.55</v>
      </c>
      <c r="F39" s="2">
        <v>482.47</v>
      </c>
      <c r="G39" s="2">
        <f t="shared" si="0"/>
        <v>251.38000000000002</v>
      </c>
      <c r="H39" s="23">
        <f t="shared" si="1"/>
        <v>5.0142280034768971</v>
      </c>
      <c r="I39" s="171"/>
      <c r="J39" s="2">
        <v>13.8</v>
      </c>
      <c r="K39" s="2">
        <v>19.14</v>
      </c>
      <c r="L39" s="2">
        <v>218.32</v>
      </c>
      <c r="M39" s="2">
        <f t="shared" si="2"/>
        <v>237.45999999999998</v>
      </c>
      <c r="N39" s="2">
        <f t="shared" si="3"/>
        <v>13.920000000000044</v>
      </c>
      <c r="O39" s="23">
        <f t="shared" si="4"/>
        <v>5.5374333678097081</v>
      </c>
      <c r="P39" s="2">
        <v>9.48</v>
      </c>
      <c r="Q39" s="17">
        <f>(15.3057-P39)*('Análisis sólidos'!F11/100)</f>
        <v>5.1218916902784581</v>
      </c>
      <c r="R39" s="2">
        <f t="shared" si="5"/>
        <v>218.32</v>
      </c>
      <c r="S39" s="23">
        <f t="shared" si="6"/>
        <v>59.365437280082944</v>
      </c>
      <c r="T39" s="22">
        <v>44146</v>
      </c>
      <c r="U39" s="174">
        <f t="shared" ref="U39" si="9">STDEV(S39:S40)</f>
        <v>0.51074928802752506</v>
      </c>
    </row>
    <row r="40" spans="1:21">
      <c r="A40" s="5" t="s">
        <v>33</v>
      </c>
      <c r="B40" s="2">
        <v>178.78</v>
      </c>
      <c r="C40" s="2">
        <v>13.34</v>
      </c>
      <c r="D40" s="23">
        <f>C40*('Composición alga'!$J$4/100)</f>
        <v>12.529626168224336</v>
      </c>
      <c r="E40" s="2">
        <v>192.15</v>
      </c>
      <c r="F40" s="2">
        <v>428.65</v>
      </c>
      <c r="G40" s="2">
        <f t="shared" si="0"/>
        <v>249.86999999999998</v>
      </c>
      <c r="H40" s="23">
        <f t="shared" si="1"/>
        <v>5.0144579854421645</v>
      </c>
      <c r="I40" s="171"/>
      <c r="J40" s="2">
        <v>13.83</v>
      </c>
      <c r="K40" s="2">
        <v>19.43</v>
      </c>
      <c r="L40" s="2">
        <v>218.82</v>
      </c>
      <c r="M40" s="2">
        <f t="shared" si="2"/>
        <v>238.25</v>
      </c>
      <c r="N40" s="2">
        <f t="shared" si="3"/>
        <v>11.619999999999976</v>
      </c>
      <c r="O40" s="23">
        <f t="shared" si="4"/>
        <v>4.650418217473077</v>
      </c>
      <c r="P40" s="2">
        <v>9.31</v>
      </c>
      <c r="Q40" s="17">
        <f>(15.4176-P40)*('Análisis sólidos'!F12/100)</f>
        <v>5.0008562402835652</v>
      </c>
      <c r="R40" s="2">
        <f t="shared" si="5"/>
        <v>218.82</v>
      </c>
      <c r="S40" s="23">
        <f t="shared" si="6"/>
        <v>60.087745850183872</v>
      </c>
      <c r="T40" s="22">
        <v>44146</v>
      </c>
      <c r="U40" s="174"/>
    </row>
    <row r="41" spans="1:21">
      <c r="A41" s="5" t="s">
        <v>35</v>
      </c>
      <c r="B41" s="2">
        <v>193.75</v>
      </c>
      <c r="C41" s="2">
        <v>13.31</v>
      </c>
      <c r="D41" s="23">
        <f>C41*('Composición alga'!$J$4/100)</f>
        <v>12.50144859813088</v>
      </c>
      <c r="E41" s="2">
        <v>207.13</v>
      </c>
      <c r="F41" s="2">
        <v>457.45</v>
      </c>
      <c r="G41" s="2">
        <f t="shared" si="0"/>
        <v>263.7</v>
      </c>
      <c r="H41" s="23">
        <f t="shared" si="1"/>
        <v>4.7407844513200157</v>
      </c>
      <c r="I41" s="171"/>
      <c r="J41" s="2">
        <v>13.51</v>
      </c>
      <c r="K41" s="2">
        <v>38.31</v>
      </c>
      <c r="L41" s="2">
        <v>220.4</v>
      </c>
      <c r="M41" s="2">
        <f t="shared" si="2"/>
        <v>258.71000000000004</v>
      </c>
      <c r="N41" s="2">
        <f t="shared" si="3"/>
        <v>4.9899999999999523</v>
      </c>
      <c r="O41" s="23">
        <f t="shared" si="4"/>
        <v>1.8923018581721474</v>
      </c>
      <c r="P41" s="2">
        <v>9.18</v>
      </c>
      <c r="Q41" s="17">
        <f>(19.8538-P41)*('Análisis sólidos'!F13/100)</f>
        <v>9.8532400773851965</v>
      </c>
      <c r="R41" s="2">
        <f t="shared" si="5"/>
        <v>220.4</v>
      </c>
      <c r="S41" s="23">
        <f t="shared" si="6"/>
        <v>21.183213288911361</v>
      </c>
      <c r="T41" s="22">
        <v>44147</v>
      </c>
      <c r="U41" s="174">
        <f t="shared" ref="U41" si="10">STDEV(S41:S42)</f>
        <v>1.0749662341986961</v>
      </c>
    </row>
    <row r="42" spans="1:21">
      <c r="A42" s="5" t="s">
        <v>36</v>
      </c>
      <c r="B42" s="2">
        <v>182.23</v>
      </c>
      <c r="C42" s="2">
        <v>13.34</v>
      </c>
      <c r="D42" s="23">
        <f>C42*('Composición alga'!$J$4/100)</f>
        <v>12.529626168224336</v>
      </c>
      <c r="E42" s="2">
        <v>195.63</v>
      </c>
      <c r="F42" s="2">
        <v>445.72</v>
      </c>
      <c r="G42" s="2">
        <f t="shared" si="0"/>
        <v>263.49</v>
      </c>
      <c r="H42" s="23">
        <f t="shared" si="1"/>
        <v>4.7552568098312404</v>
      </c>
      <c r="I42" s="171"/>
      <c r="J42" s="2">
        <v>13.69</v>
      </c>
      <c r="K42" s="2">
        <v>37.92</v>
      </c>
      <c r="L42" s="2">
        <v>221.08</v>
      </c>
      <c r="M42" s="2">
        <f t="shared" si="2"/>
        <v>259</v>
      </c>
      <c r="N42" s="2">
        <f t="shared" si="3"/>
        <v>4.4900000000000091</v>
      </c>
      <c r="O42" s="23">
        <f t="shared" si="4"/>
        <v>1.7040494895441989</v>
      </c>
      <c r="P42" s="2">
        <v>9.17</v>
      </c>
      <c r="Q42" s="17">
        <f>(19.8121-P42)*('Análisis sólidos'!F14/100)</f>
        <v>10.065928097581853</v>
      </c>
      <c r="R42" s="2">
        <f t="shared" si="5"/>
        <v>221.08</v>
      </c>
      <c r="S42" s="23">
        <f t="shared" si="6"/>
        <v>19.662981461414432</v>
      </c>
      <c r="T42" s="22">
        <v>44147</v>
      </c>
      <c r="U42" s="174"/>
    </row>
    <row r="43" spans="1:21">
      <c r="A43" s="5" t="s">
        <v>39</v>
      </c>
      <c r="B43" s="2">
        <v>193.74</v>
      </c>
      <c r="C43" s="2">
        <v>13.45</v>
      </c>
      <c r="D43" s="23">
        <f>C43*('Composición alga'!$J$4/100)</f>
        <v>12.632943925233683</v>
      </c>
      <c r="E43" s="2">
        <v>207.19</v>
      </c>
      <c r="F43" s="2">
        <v>443.56</v>
      </c>
      <c r="G43" s="2">
        <f t="shared" si="0"/>
        <v>249.82</v>
      </c>
      <c r="H43" s="23">
        <f t="shared" si="1"/>
        <v>5.0568184793986397</v>
      </c>
      <c r="I43" s="171"/>
      <c r="J43" s="2">
        <v>13.87</v>
      </c>
      <c r="K43" s="2">
        <f>51.92-P43</f>
        <v>42.45</v>
      </c>
      <c r="L43" s="2">
        <v>202.52</v>
      </c>
      <c r="M43" s="2">
        <f t="shared" si="2"/>
        <v>244.97000000000003</v>
      </c>
      <c r="N43" s="2">
        <f t="shared" si="3"/>
        <v>4.8499999999999659</v>
      </c>
      <c r="O43" s="23">
        <f t="shared" si="4"/>
        <v>1.9413978064206094</v>
      </c>
      <c r="P43" s="2">
        <v>9.4700000000000006</v>
      </c>
      <c r="Q43" s="17">
        <f>(22.373-P43)*('Análisis sólidos'!F15/100)</f>
        <v>12.07905779909138</v>
      </c>
      <c r="R43" s="2">
        <f t="shared" si="5"/>
        <v>202.52</v>
      </c>
      <c r="S43" s="23">
        <f t="shared" si="6"/>
        <v>4.3844580441455294</v>
      </c>
      <c r="T43" s="22">
        <v>44148</v>
      </c>
      <c r="U43" s="174">
        <f t="shared" ref="U43" si="11">STDEV(S43:S44)</f>
        <v>1.3583140089878265</v>
      </c>
    </row>
    <row r="44" spans="1:21">
      <c r="A44" s="5" t="s">
        <v>42</v>
      </c>
      <c r="B44" s="2">
        <v>182.24</v>
      </c>
      <c r="C44" s="2">
        <v>13.31</v>
      </c>
      <c r="D44" s="23">
        <f>C44*('Composición alga'!$J$4/100)</f>
        <v>12.50144859813088</v>
      </c>
      <c r="E44" s="2">
        <v>195.55</v>
      </c>
      <c r="F44" s="2">
        <v>432.25</v>
      </c>
      <c r="G44" s="2">
        <f t="shared" si="0"/>
        <v>250.01</v>
      </c>
      <c r="H44" s="23">
        <f t="shared" si="1"/>
        <v>5.0003794240753896</v>
      </c>
      <c r="I44" s="172"/>
      <c r="J44" s="2">
        <v>13.84</v>
      </c>
      <c r="K44" s="2">
        <f>51.69-P44</f>
        <v>42.199999999999996</v>
      </c>
      <c r="L44" s="2">
        <v>203.24</v>
      </c>
      <c r="M44" s="2">
        <f t="shared" si="2"/>
        <v>245.44</v>
      </c>
      <c r="N44" s="2">
        <f t="shared" si="3"/>
        <v>4.5699999999999932</v>
      </c>
      <c r="O44" s="23">
        <f t="shared" si="4"/>
        <v>1.8279268829246804</v>
      </c>
      <c r="P44" s="2">
        <v>9.49</v>
      </c>
      <c r="Q44" s="17">
        <f>(22.4138-P44)*('Análisis sólidos'!F16/100)</f>
        <v>11.713181740962213</v>
      </c>
      <c r="R44" s="2">
        <f t="shared" si="5"/>
        <v>203.24</v>
      </c>
      <c r="S44" s="23">
        <f t="shared" si="6"/>
        <v>6.3054041376174794</v>
      </c>
      <c r="T44" s="22">
        <v>44148</v>
      </c>
      <c r="U44" s="174"/>
    </row>
    <row r="45" spans="1:21">
      <c r="A45" s="5" t="s">
        <v>45</v>
      </c>
      <c r="B45" s="2">
        <v>161.43</v>
      </c>
      <c r="C45" s="2">
        <v>13.36</v>
      </c>
      <c r="D45" s="23">
        <f>C45*('Composición alga'!$J$4/100)</f>
        <v>12.548411214953308</v>
      </c>
      <c r="E45" s="2">
        <v>174.8</v>
      </c>
      <c r="F45" s="2">
        <v>412.26</v>
      </c>
      <c r="G45" s="2">
        <f t="shared" si="0"/>
        <v>250.82999999999998</v>
      </c>
      <c r="H45" s="23">
        <f t="shared" si="1"/>
        <v>5.0027553382583054</v>
      </c>
      <c r="I45" s="2">
        <v>0.12559999999999999</v>
      </c>
      <c r="J45" s="2">
        <v>6.7</v>
      </c>
      <c r="K45" s="2">
        <f>38.84-P45</f>
        <v>29.510000000000005</v>
      </c>
      <c r="L45" s="2">
        <v>210.95</v>
      </c>
      <c r="M45" s="2">
        <f t="shared" si="2"/>
        <v>240.45999999999998</v>
      </c>
      <c r="N45" s="2">
        <f t="shared" si="3"/>
        <v>10.370000000000005</v>
      </c>
      <c r="O45" s="23">
        <f t="shared" si="4"/>
        <v>4.1342742096240501</v>
      </c>
      <c r="P45" s="2">
        <v>9.33</v>
      </c>
      <c r="Q45" s="17">
        <f>(18.2275-P45)*('Análisis sólidos'!F17/100)</f>
        <v>8.795768744401709</v>
      </c>
      <c r="R45" s="2">
        <f t="shared" si="5"/>
        <v>210.95</v>
      </c>
      <c r="S45" s="23">
        <f t="shared" si="6"/>
        <v>29.905319536227537</v>
      </c>
      <c r="T45" s="22">
        <v>44152</v>
      </c>
      <c r="U45" s="174">
        <f t="shared" ref="U45" si="12">STDEV(S45:S46)</f>
        <v>0.15122191987790984</v>
      </c>
    </row>
    <row r="46" spans="1:21">
      <c r="A46" s="5" t="s">
        <v>49</v>
      </c>
      <c r="B46" s="2">
        <v>193.78</v>
      </c>
      <c r="C46" s="2">
        <v>13.37</v>
      </c>
      <c r="D46" s="23">
        <f>C46*('Composición alga'!$J$4/100)</f>
        <v>12.557803738317794</v>
      </c>
      <c r="E46" s="2">
        <v>207.12</v>
      </c>
      <c r="F46" s="2">
        <v>444.06</v>
      </c>
      <c r="G46" s="2">
        <f t="shared" si="0"/>
        <v>250.28</v>
      </c>
      <c r="H46" s="23">
        <f t="shared" si="1"/>
        <v>5.0175018932067257</v>
      </c>
      <c r="I46" s="2">
        <v>0.13070000000000001</v>
      </c>
      <c r="J46" s="2">
        <v>6.66</v>
      </c>
      <c r="K46" s="2">
        <f>39.44-P46</f>
        <v>29.99</v>
      </c>
      <c r="L46" s="2">
        <v>216.62</v>
      </c>
      <c r="M46" s="2">
        <f t="shared" si="2"/>
        <v>246.61</v>
      </c>
      <c r="N46" s="2">
        <f t="shared" si="3"/>
        <v>3.6699999999999875</v>
      </c>
      <c r="O46" s="23">
        <f t="shared" si="4"/>
        <v>1.466357679399068</v>
      </c>
      <c r="P46" s="2">
        <v>9.4499999999999993</v>
      </c>
      <c r="Q46" s="17">
        <f>(18.3535-P46)*('Análisis sólidos'!F18/100)</f>
        <v>8.8292085340207613</v>
      </c>
      <c r="R46" s="2">
        <f t="shared" si="5"/>
        <v>216.62</v>
      </c>
      <c r="S46" s="23">
        <f t="shared" si="6"/>
        <v>29.6914594462081</v>
      </c>
      <c r="T46" s="22">
        <v>44152</v>
      </c>
      <c r="U46" s="174"/>
    </row>
    <row r="47" spans="1:21">
      <c r="A47" s="5" t="s">
        <v>50</v>
      </c>
      <c r="B47" s="2">
        <v>147.51</v>
      </c>
      <c r="C47" s="2">
        <v>13.31</v>
      </c>
      <c r="D47" s="23">
        <f>C47*('Composición alga'!$J$4/100)</f>
        <v>12.50144859813088</v>
      </c>
      <c r="E47" s="2">
        <v>160.82</v>
      </c>
      <c r="F47" s="2">
        <v>357.55</v>
      </c>
      <c r="G47" s="2">
        <f t="shared" si="0"/>
        <v>210.04000000000002</v>
      </c>
      <c r="H47" s="23">
        <f>D47/(F47-B47)*100</f>
        <v>5.9519370587178058</v>
      </c>
      <c r="I47" s="2">
        <v>0.127</v>
      </c>
      <c r="J47" s="2">
        <v>6.69</v>
      </c>
      <c r="K47" s="2">
        <f>39.1-P47</f>
        <v>29.950000000000003</v>
      </c>
      <c r="L47" s="2">
        <v>165.79</v>
      </c>
      <c r="M47" s="2">
        <f t="shared" si="2"/>
        <v>195.74</v>
      </c>
      <c r="N47" s="2">
        <f t="shared" si="3"/>
        <v>14.300000000000011</v>
      </c>
      <c r="O47" s="23">
        <f t="shared" si="4"/>
        <v>6.8082270043801225</v>
      </c>
      <c r="P47" s="2">
        <v>9.15</v>
      </c>
      <c r="Q47" s="17">
        <f>(18.1394-P47)*('Análisis sólidos'!F19/100)</f>
        <v>8.9229322050607909</v>
      </c>
      <c r="R47" s="2">
        <f t="shared" si="5"/>
        <v>165.79</v>
      </c>
      <c r="S47" s="23">
        <f t="shared" si="6"/>
        <v>28.62481387641046</v>
      </c>
      <c r="T47" s="22">
        <v>44152</v>
      </c>
      <c r="U47" s="174">
        <f t="shared" ref="U47" si="13">STDEV(S47:S48)</f>
        <v>2.1232183390209465</v>
      </c>
    </row>
    <row r="48" spans="1:21">
      <c r="A48" s="5" t="s">
        <v>53</v>
      </c>
      <c r="B48" s="2">
        <v>189.21</v>
      </c>
      <c r="C48" s="2">
        <v>13.31</v>
      </c>
      <c r="D48" s="23">
        <f>C48*('Composición alga'!$J$4/100)</f>
        <v>12.50144859813088</v>
      </c>
      <c r="E48" s="2">
        <v>202.54</v>
      </c>
      <c r="F48" s="2">
        <v>429.69</v>
      </c>
      <c r="G48" s="2">
        <f t="shared" si="0"/>
        <v>240.48</v>
      </c>
      <c r="H48" s="23">
        <f t="shared" si="1"/>
        <v>5.1985398362154358</v>
      </c>
      <c r="I48" s="2">
        <v>0.12559999999999999</v>
      </c>
      <c r="J48" s="2">
        <v>6.67</v>
      </c>
      <c r="K48" s="2">
        <f>39.57-P48</f>
        <v>30.25</v>
      </c>
      <c r="L48" s="2">
        <v>194.62</v>
      </c>
      <c r="M48" s="2">
        <f t="shared" si="2"/>
        <v>224.87</v>
      </c>
      <c r="N48" s="2">
        <f t="shared" si="3"/>
        <v>15.609999999999985</v>
      </c>
      <c r="O48" s="23">
        <f t="shared" si="4"/>
        <v>6.4911842980705199</v>
      </c>
      <c r="P48" s="2">
        <v>9.32</v>
      </c>
      <c r="Q48" s="17">
        <f>(18.1287-P48)*('Análisis sólidos'!F20/100)</f>
        <v>8.5475531868686776</v>
      </c>
      <c r="R48" s="2">
        <f t="shared" si="5"/>
        <v>194.62</v>
      </c>
      <c r="S48" s="23">
        <f t="shared" si="6"/>
        <v>31.627498047333159</v>
      </c>
      <c r="T48" s="22">
        <v>44152</v>
      </c>
      <c r="U48" s="174"/>
    </row>
    <row r="49" spans="1:21">
      <c r="A49" s="5" t="s">
        <v>54</v>
      </c>
      <c r="B49" s="2">
        <v>178.29</v>
      </c>
      <c r="C49" s="2">
        <v>13.46</v>
      </c>
      <c r="D49" s="23">
        <f>C49*('Composición alga'!$J$4/100)</f>
        <v>12.64233644859817</v>
      </c>
      <c r="E49" s="2">
        <v>191.74</v>
      </c>
      <c r="F49" s="2">
        <v>429.45</v>
      </c>
      <c r="G49" s="2">
        <f t="shared" si="0"/>
        <v>251.16</v>
      </c>
      <c r="H49" s="23">
        <f t="shared" si="1"/>
        <v>5.0335787739282409</v>
      </c>
      <c r="I49" s="2">
        <v>0.1258</v>
      </c>
      <c r="J49" s="2">
        <v>6.64</v>
      </c>
      <c r="K49" s="2">
        <f>42.75-P49</f>
        <v>33.43</v>
      </c>
      <c r="L49" s="2">
        <v>208.29</v>
      </c>
      <c r="M49" s="2">
        <f t="shared" si="2"/>
        <v>241.72</v>
      </c>
      <c r="N49" s="2">
        <f t="shared" si="3"/>
        <v>9.4399999999999977</v>
      </c>
      <c r="O49" s="23">
        <f t="shared" si="4"/>
        <v>3.7585602802994096</v>
      </c>
      <c r="P49" s="2">
        <v>9.32</v>
      </c>
      <c r="Q49" s="17">
        <f>(18.9163-P49)*('Análisis sólidos'!F21/100)</f>
        <v>9.5050200578991006</v>
      </c>
      <c r="R49" s="2">
        <f t="shared" si="5"/>
        <v>208.29</v>
      </c>
      <c r="S49" s="23">
        <f t="shared" si="6"/>
        <v>24.815953945340123</v>
      </c>
      <c r="T49" s="22">
        <v>44152</v>
      </c>
      <c r="U49" s="174">
        <f t="shared" ref="U49" si="14">STDEV(S49:S50)</f>
        <v>0.43474926370913025</v>
      </c>
    </row>
    <row r="50" spans="1:21">
      <c r="A50" s="5" t="s">
        <v>58</v>
      </c>
      <c r="B50" s="2">
        <v>172.52</v>
      </c>
      <c r="C50" s="2">
        <v>13.42</v>
      </c>
      <c r="D50" s="23">
        <f>C50*('Composición alga'!$J$4/100)</f>
        <v>12.604766355140224</v>
      </c>
      <c r="E50" s="2">
        <v>185.9</v>
      </c>
      <c r="F50" s="2">
        <v>423.02</v>
      </c>
      <c r="G50" s="2">
        <f t="shared" si="0"/>
        <v>250.49999999999997</v>
      </c>
      <c r="H50" s="23">
        <f t="shared" si="1"/>
        <v>5.0318428563434034</v>
      </c>
      <c r="I50" s="2">
        <v>0.129</v>
      </c>
      <c r="J50" s="2">
        <v>6.58</v>
      </c>
      <c r="K50" s="2">
        <f>42.43-P50</f>
        <v>33.35</v>
      </c>
      <c r="L50" s="2">
        <v>206.77</v>
      </c>
      <c r="M50" s="2">
        <f t="shared" si="2"/>
        <v>240.12</v>
      </c>
      <c r="N50" s="2">
        <f t="shared" si="3"/>
        <v>10.379999999999967</v>
      </c>
      <c r="O50" s="23">
        <f t="shared" si="4"/>
        <v>4.1437125748502872</v>
      </c>
      <c r="P50" s="2">
        <v>9.08</v>
      </c>
      <c r="Q50" s="17">
        <f>(18.5607-P50)*('Análisis sólidos'!F22/100)</f>
        <v>9.3992756702042666</v>
      </c>
      <c r="R50" s="2">
        <f t="shared" si="5"/>
        <v>206.77</v>
      </c>
      <c r="S50" s="23">
        <f t="shared" si="6"/>
        <v>25.430782250309292</v>
      </c>
      <c r="T50" s="22">
        <v>44152</v>
      </c>
      <c r="U50" s="174"/>
    </row>
    <row r="51" spans="1:21">
      <c r="A51" s="8" t="s">
        <v>60</v>
      </c>
      <c r="B51" s="2">
        <v>147.5</v>
      </c>
      <c r="C51" s="2">
        <v>13.38</v>
      </c>
      <c r="D51" s="23">
        <f>C51*('Composición alga'!$J$4/100)</f>
        <v>12.567196261682282</v>
      </c>
      <c r="E51" s="2">
        <v>160.88</v>
      </c>
      <c r="F51" s="2">
        <v>397.72</v>
      </c>
      <c r="G51" s="2">
        <f t="shared" ref="G51:G54" si="15">F51-B51</f>
        <v>250.22000000000003</v>
      </c>
      <c r="H51" s="23">
        <f t="shared" ref="H51:H54" si="16">D51/(F51-B51)*100</f>
        <v>5.0224587409808494</v>
      </c>
      <c r="I51" s="2">
        <v>0.12659999999999999</v>
      </c>
      <c r="J51" s="2">
        <v>6.64</v>
      </c>
      <c r="K51" s="2">
        <f>39.22-P51</f>
        <v>30.119999999999997</v>
      </c>
      <c r="L51" s="2">
        <v>215.92</v>
      </c>
      <c r="M51" s="2">
        <f t="shared" ref="M51:M54" si="17">K51+L51</f>
        <v>246.04</v>
      </c>
      <c r="N51" s="2">
        <f t="shared" ref="N51:N54" si="18">G51-M51</f>
        <v>4.1800000000000352</v>
      </c>
      <c r="O51" s="23">
        <f t="shared" ref="O51:O54" si="19">(N51/G51)*100</f>
        <v>1.6705299336583945</v>
      </c>
      <c r="P51" s="2">
        <v>9.1</v>
      </c>
      <c r="Q51" s="17">
        <f>(16.39-P51)*('Análisis sólidos'!F23/100)</f>
        <v>7.1181768734891309</v>
      </c>
      <c r="R51" s="2">
        <f t="shared" ref="R51:R54" si="20">L51</f>
        <v>215.92</v>
      </c>
      <c r="S51" s="70">
        <f t="shared" ref="S51:S54" si="21">((D51-Q51)/D51)*100</f>
        <v>43.35906971396124</v>
      </c>
      <c r="T51" s="22">
        <v>44209</v>
      </c>
      <c r="U51" s="173">
        <f t="shared" ref="U51" si="22">STDEV(S51:S52)</f>
        <v>6.873051208047655E-2</v>
      </c>
    </row>
    <row r="52" spans="1:21">
      <c r="A52" s="8" t="s">
        <v>63</v>
      </c>
      <c r="B52" s="2">
        <v>158.16999999999999</v>
      </c>
      <c r="C52" s="2">
        <v>13.4</v>
      </c>
      <c r="D52" s="23">
        <f>C52*('Composición alga'!$J$4/100)</f>
        <v>12.585981308411252</v>
      </c>
      <c r="E52" s="2">
        <v>171.58</v>
      </c>
      <c r="F52" s="2">
        <v>408.18</v>
      </c>
      <c r="G52" s="2">
        <f t="shared" si="15"/>
        <v>250.01000000000002</v>
      </c>
      <c r="H52" s="23">
        <f t="shared" si="16"/>
        <v>5.0341911557182719</v>
      </c>
      <c r="I52" s="2">
        <v>0.1258</v>
      </c>
      <c r="J52" s="2">
        <v>6.52</v>
      </c>
      <c r="K52" s="2">
        <f>38.56-P52</f>
        <v>28.990000000000002</v>
      </c>
      <c r="L52" s="2">
        <v>215.09</v>
      </c>
      <c r="M52" s="2">
        <f t="shared" si="17"/>
        <v>244.08</v>
      </c>
      <c r="N52" s="2">
        <f t="shared" si="18"/>
        <v>5.9300000000000068</v>
      </c>
      <c r="O52" s="23">
        <f t="shared" si="19"/>
        <v>2.3719051237950506</v>
      </c>
      <c r="P52" s="2">
        <v>9.57</v>
      </c>
      <c r="Q52" s="17">
        <f>(16.84-P52)*('Análisis sólidos'!F24/100)</f>
        <v>7.1165833724124008</v>
      </c>
      <c r="R52" s="2">
        <f t="shared" si="20"/>
        <v>215.09</v>
      </c>
      <c r="S52" s="23">
        <f t="shared" si="21"/>
        <v>43.456269336294298</v>
      </c>
      <c r="T52" s="22">
        <v>44209</v>
      </c>
      <c r="U52" s="173"/>
    </row>
    <row r="53" spans="1:21">
      <c r="A53" s="8" t="s">
        <v>65</v>
      </c>
      <c r="B53" s="2">
        <v>189.28</v>
      </c>
      <c r="C53" s="2">
        <v>10.65</v>
      </c>
      <c r="D53" s="23">
        <f>C53*('Composición alga'!$J$4/100)</f>
        <v>10.003037383177601</v>
      </c>
      <c r="E53" s="2">
        <v>199.89</v>
      </c>
      <c r="F53" s="2">
        <v>389.44</v>
      </c>
      <c r="G53" s="2">
        <f t="shared" si="15"/>
        <v>200.16</v>
      </c>
      <c r="H53" s="23">
        <f t="shared" si="16"/>
        <v>4.9975206750487615</v>
      </c>
      <c r="I53" s="2">
        <v>0.12809999999999999</v>
      </c>
      <c r="J53" s="2"/>
      <c r="K53" s="2">
        <f>36.59-P53</f>
        <v>27.020000000000003</v>
      </c>
      <c r="L53" s="2">
        <f>82.18+82.75</f>
        <v>164.93</v>
      </c>
      <c r="M53" s="2">
        <f t="shared" si="17"/>
        <v>191.95000000000002</v>
      </c>
      <c r="N53" s="2">
        <f t="shared" si="18"/>
        <v>8.2099999999999795</v>
      </c>
      <c r="O53" s="23">
        <f t="shared" si="19"/>
        <v>4.1017186250999105</v>
      </c>
      <c r="P53" s="2">
        <v>9.57</v>
      </c>
      <c r="Q53" s="17">
        <f>(18.5607-P53)*('Análisis sólidos'!F25/100)</f>
        <v>8.7770640570285323</v>
      </c>
      <c r="R53" s="2">
        <f t="shared" si="20"/>
        <v>164.93</v>
      </c>
      <c r="S53" s="23">
        <f t="shared" si="21"/>
        <v>12.256010641436005</v>
      </c>
      <c r="T53" s="22">
        <v>44221</v>
      </c>
      <c r="U53" s="174">
        <f>STDEV(S53:S54)</f>
        <v>3.4467052012434944</v>
      </c>
    </row>
    <row r="54" spans="1:21">
      <c r="A54" s="8" t="s">
        <v>67</v>
      </c>
      <c r="B54" s="2">
        <v>158.16999999999999</v>
      </c>
      <c r="C54" s="2">
        <v>10.68</v>
      </c>
      <c r="D54" s="23">
        <f>C54*('Composición alga'!$J$4/100)</f>
        <v>10.031214953271057</v>
      </c>
      <c r="E54" s="2">
        <v>168.83</v>
      </c>
      <c r="F54" s="2">
        <v>358.64</v>
      </c>
      <c r="G54" s="2">
        <f t="shared" si="15"/>
        <v>200.47</v>
      </c>
      <c r="H54" s="23">
        <f t="shared" si="16"/>
        <v>5.0038484328184047</v>
      </c>
      <c r="I54" s="2">
        <v>0.1258</v>
      </c>
      <c r="J54" s="2"/>
      <c r="K54" s="2">
        <f>35.42-P54</f>
        <v>26.28</v>
      </c>
      <c r="L54" s="2">
        <f>85.38+82.09</f>
        <v>167.47</v>
      </c>
      <c r="M54" s="2">
        <f t="shared" si="17"/>
        <v>193.75</v>
      </c>
      <c r="N54" s="2">
        <f t="shared" si="18"/>
        <v>6.7199999999999989</v>
      </c>
      <c r="O54" s="23">
        <f t="shared" si="19"/>
        <v>3.3521225120965727</v>
      </c>
      <c r="P54" s="2">
        <v>9.14</v>
      </c>
      <c r="Q54" s="17">
        <f>(18.5607-P54)*('Análisis sólidos'!F26/100)</f>
        <v>9.2907474398209455</v>
      </c>
      <c r="R54" s="2">
        <f t="shared" si="20"/>
        <v>167.47</v>
      </c>
      <c r="S54" s="23">
        <f t="shared" si="21"/>
        <v>7.3816334003355601</v>
      </c>
      <c r="T54" s="22">
        <v>44222</v>
      </c>
      <c r="U54" s="174"/>
    </row>
    <row r="55" spans="1:21">
      <c r="A55" s="8" t="s">
        <v>68</v>
      </c>
      <c r="B55" s="2">
        <v>172.5</v>
      </c>
      <c r="C55" s="2">
        <v>13.44</v>
      </c>
      <c r="D55" s="23">
        <f>C55*('Composición alga'!$J$4/100)</f>
        <v>12.623551401869197</v>
      </c>
      <c r="E55" s="2">
        <v>185.93</v>
      </c>
      <c r="F55" s="2">
        <v>423.44</v>
      </c>
      <c r="G55" s="2">
        <f t="shared" ref="G55:G60" si="23">F55-B55</f>
        <v>250.94</v>
      </c>
      <c r="H55" s="23">
        <f t="shared" ref="H55:H60" si="24">D55/(F55-B55)*100</f>
        <v>5.0305058587188958</v>
      </c>
      <c r="I55" s="2">
        <v>0.127</v>
      </c>
      <c r="J55" s="2">
        <v>6.71</v>
      </c>
      <c r="K55" s="2">
        <f>40.37-P55</f>
        <v>30.889999999999997</v>
      </c>
      <c r="L55" s="2">
        <v>212.28</v>
      </c>
      <c r="M55" s="2">
        <f t="shared" ref="M55:M60" si="25">K55+L55</f>
        <v>243.17</v>
      </c>
      <c r="N55" s="2">
        <f t="shared" ref="N55:N60" si="26">G55-M55</f>
        <v>7.7700000000000102</v>
      </c>
      <c r="O55" s="23">
        <f t="shared" ref="O55:O60" si="27">(N55/G55)*100</f>
        <v>3.0963576950665539</v>
      </c>
      <c r="P55" s="2">
        <v>9.48</v>
      </c>
      <c r="Q55" s="17">
        <f>(19-P55)*('Análisis sólidos'!F27/100)</f>
        <v>9.3183345507669912</v>
      </c>
      <c r="R55" s="2">
        <f t="shared" ref="R55:R60" si="28">L55</f>
        <v>212.28</v>
      </c>
      <c r="S55" s="23">
        <f t="shared" ref="S55:S60" si="29">((D55-Q55)/D55)*100</f>
        <v>26.182939696453367</v>
      </c>
      <c r="T55" s="22">
        <v>44210</v>
      </c>
      <c r="U55" s="174">
        <f t="shared" ref="U55" si="30">STDEV(S55:S56)</f>
        <v>0.16469098006912231</v>
      </c>
    </row>
    <row r="56" spans="1:21">
      <c r="A56" s="8" t="s">
        <v>71</v>
      </c>
      <c r="B56" s="2">
        <v>197.74</v>
      </c>
      <c r="C56" s="2">
        <v>13.37</v>
      </c>
      <c r="D56" s="23">
        <f>C56*('Composición alga'!$J$4/100)</f>
        <v>12.557803738317794</v>
      </c>
      <c r="E56" s="2">
        <v>211.11</v>
      </c>
      <c r="F56" s="2">
        <v>448.01</v>
      </c>
      <c r="G56" s="2">
        <f t="shared" si="23"/>
        <v>250.26999999999998</v>
      </c>
      <c r="H56" s="23">
        <f t="shared" si="24"/>
        <v>5.0177023767602167</v>
      </c>
      <c r="I56" s="2">
        <v>0.1295</v>
      </c>
      <c r="J56" s="2">
        <v>6.65</v>
      </c>
      <c r="K56" s="2">
        <f>40.7-P56</f>
        <v>31.560000000000002</v>
      </c>
      <c r="L56" s="2">
        <v>213.76</v>
      </c>
      <c r="M56" s="2">
        <f t="shared" si="25"/>
        <v>245.32</v>
      </c>
      <c r="N56" s="2">
        <f t="shared" si="26"/>
        <v>4.9499999999999886</v>
      </c>
      <c r="O56" s="23">
        <f t="shared" si="27"/>
        <v>1.9778639069804567</v>
      </c>
      <c r="P56" s="2">
        <v>9.14</v>
      </c>
      <c r="Q56" s="17">
        <f>(18.65-P56)*('Análisis sólidos'!F28/100)</f>
        <v>9.2990497151734939</v>
      </c>
      <c r="R56" s="2">
        <f t="shared" si="28"/>
        <v>213.76</v>
      </c>
      <c r="S56" s="23">
        <f t="shared" si="29"/>
        <v>25.950031478839097</v>
      </c>
      <c r="T56" s="22">
        <v>44210</v>
      </c>
      <c r="U56" s="174"/>
    </row>
    <row r="57" spans="1:21">
      <c r="A57" s="8" t="s">
        <v>72</v>
      </c>
      <c r="B57" s="2">
        <v>158.15</v>
      </c>
      <c r="C57" s="2">
        <v>13.33</v>
      </c>
      <c r="D57" s="23">
        <f>C57*('Composición alga'!$J$4/100)</f>
        <v>12.52023364485985</v>
      </c>
      <c r="E57" s="2">
        <v>171.48</v>
      </c>
      <c r="F57" s="2">
        <v>408.38</v>
      </c>
      <c r="G57" s="2">
        <f t="shared" si="23"/>
        <v>250.23</v>
      </c>
      <c r="H57" s="23">
        <f t="shared" si="24"/>
        <v>5.003490246916777</v>
      </c>
      <c r="I57" s="2">
        <v>0.125</v>
      </c>
      <c r="J57" s="2">
        <v>6.63</v>
      </c>
      <c r="K57" s="2">
        <f>37.93-P57</f>
        <v>28.42</v>
      </c>
      <c r="L57" s="2">
        <v>214.33</v>
      </c>
      <c r="M57" s="2">
        <f t="shared" si="25"/>
        <v>242.75</v>
      </c>
      <c r="N57" s="2">
        <f t="shared" si="26"/>
        <v>7.4799999999999898</v>
      </c>
      <c r="O57" s="23">
        <f t="shared" si="27"/>
        <v>2.9892498901011031</v>
      </c>
      <c r="P57" s="2">
        <v>9.51</v>
      </c>
      <c r="Q57" s="17">
        <f>(16.98-P57)*('Análisis sólidos'!F29/100)</f>
        <v>7.3021412685021714</v>
      </c>
      <c r="R57" s="2">
        <f t="shared" si="28"/>
        <v>214.33</v>
      </c>
      <c r="S57" s="23">
        <f t="shared" si="29"/>
        <v>41.67727635418332</v>
      </c>
      <c r="T57" s="22">
        <v>44211</v>
      </c>
      <c r="U57" s="174">
        <f t="shared" ref="U57" si="31">STDEV(S57:S58)</f>
        <v>9.2375649115617881E-3</v>
      </c>
    </row>
    <row r="58" spans="1:21">
      <c r="A58" s="8" t="s">
        <v>73</v>
      </c>
      <c r="B58" s="2">
        <v>147.5</v>
      </c>
      <c r="C58" s="2">
        <v>13.37</v>
      </c>
      <c r="D58" s="23">
        <f>C58*('Composición alga'!$J$4/100)</f>
        <v>12.557803738317794</v>
      </c>
      <c r="E58" s="2">
        <v>160.88</v>
      </c>
      <c r="F58" s="2">
        <v>397.78</v>
      </c>
      <c r="G58" s="2">
        <f t="shared" si="23"/>
        <v>250.27999999999997</v>
      </c>
      <c r="H58" s="23">
        <f t="shared" si="24"/>
        <v>5.0175018932067266</v>
      </c>
      <c r="I58" s="2">
        <v>0.12559999999999999</v>
      </c>
      <c r="J58" s="2">
        <v>6.58</v>
      </c>
      <c r="K58" s="2">
        <f>37.57-P58</f>
        <v>28.05</v>
      </c>
      <c r="L58" s="2">
        <v>216.61</v>
      </c>
      <c r="M58" s="2">
        <f t="shared" si="25"/>
        <v>244.66000000000003</v>
      </c>
      <c r="N58" s="2">
        <f t="shared" si="26"/>
        <v>5.6199999999999477</v>
      </c>
      <c r="O58" s="23">
        <f t="shared" si="27"/>
        <v>2.2454850567364346</v>
      </c>
      <c r="P58" s="2">
        <v>9.52</v>
      </c>
      <c r="Q58" s="17">
        <f>(17.04-P58)*('Análisis sólidos'!F30/100)</f>
        <v>7.3224126326689216</v>
      </c>
      <c r="R58" s="2">
        <f t="shared" si="28"/>
        <v>216.61</v>
      </c>
      <c r="S58" s="23">
        <f t="shared" si="29"/>
        <v>41.690340243764552</v>
      </c>
      <c r="T58" s="22">
        <v>44211</v>
      </c>
      <c r="U58" s="174"/>
    </row>
    <row r="59" spans="1:21">
      <c r="A59" s="8" t="s">
        <v>74</v>
      </c>
      <c r="B59" s="2">
        <v>147.51</v>
      </c>
      <c r="C59" s="2">
        <v>10.66</v>
      </c>
      <c r="D59" s="23">
        <f>C59*('Composición alga'!$J$4/100)</f>
        <v>10.012429906542087</v>
      </c>
      <c r="E59" s="2">
        <v>158.16999999999999</v>
      </c>
      <c r="F59" s="2">
        <v>347.21</v>
      </c>
      <c r="G59" s="2">
        <f t="shared" si="23"/>
        <v>199.7</v>
      </c>
      <c r="H59" s="23">
        <f t="shared" si="24"/>
        <v>5.0137355566059529</v>
      </c>
      <c r="I59" s="2">
        <v>0.12620000000000001</v>
      </c>
      <c r="J59" s="2"/>
      <c r="K59" s="2">
        <f>34.96-P59</f>
        <v>25.78</v>
      </c>
      <c r="L59" s="2">
        <f>83.67+85.14</f>
        <v>168.81</v>
      </c>
      <c r="M59" s="2">
        <f t="shared" si="25"/>
        <v>194.59</v>
      </c>
      <c r="N59" s="2">
        <f t="shared" si="26"/>
        <v>5.1099999999999852</v>
      </c>
      <c r="O59" s="23">
        <f t="shared" si="27"/>
        <v>2.5588382573860717</v>
      </c>
      <c r="P59" s="2">
        <v>9.18</v>
      </c>
      <c r="Q59" s="17">
        <f>(18.5607-P59)*('Análisis sólidos'!F31/100)</f>
        <v>9.0944597267670009</v>
      </c>
      <c r="R59" s="2">
        <f t="shared" si="28"/>
        <v>168.81</v>
      </c>
      <c r="S59" s="23">
        <f t="shared" si="29"/>
        <v>9.168305679476342</v>
      </c>
      <c r="T59" s="22">
        <v>44222</v>
      </c>
      <c r="U59" s="174">
        <f t="shared" ref="U59" si="32">STDEV(S59:S60)</f>
        <v>1.4456317101610388</v>
      </c>
    </row>
    <row r="60" spans="1:21">
      <c r="A60" s="8" t="s">
        <v>75</v>
      </c>
      <c r="B60" s="2">
        <v>189.22</v>
      </c>
      <c r="C60" s="2">
        <v>10.68</v>
      </c>
      <c r="D60" s="23">
        <f>C60*('Composición alga'!$J$4/100)</f>
        <v>10.031214953271057</v>
      </c>
      <c r="E60" s="2">
        <v>199.87</v>
      </c>
      <c r="F60" s="2">
        <v>390.69</v>
      </c>
      <c r="G60" s="2">
        <f t="shared" si="23"/>
        <v>201.47</v>
      </c>
      <c r="H60" s="23">
        <f t="shared" si="24"/>
        <v>4.9790117403440002</v>
      </c>
      <c r="I60" s="2">
        <v>0.12609999999999999</v>
      </c>
      <c r="J60" s="2"/>
      <c r="K60" s="2">
        <f>35.06-P60</f>
        <v>25.550000000000004</v>
      </c>
      <c r="L60" s="2">
        <f>84.8+83.42</f>
        <v>168.22</v>
      </c>
      <c r="M60" s="2">
        <f t="shared" si="25"/>
        <v>193.77</v>
      </c>
      <c r="N60" s="2">
        <f t="shared" si="26"/>
        <v>7.6999999999999886</v>
      </c>
      <c r="O60" s="23">
        <f t="shared" si="27"/>
        <v>3.8219089690772763</v>
      </c>
      <c r="P60" s="2">
        <v>9.51</v>
      </c>
      <c r="Q60" s="17">
        <f>(18.5607-P60)*('Análisis sólidos'!F32/100)</f>
        <v>8.9064411374348769</v>
      </c>
      <c r="R60" s="2">
        <f t="shared" si="28"/>
        <v>168.22</v>
      </c>
      <c r="S60" s="23">
        <f t="shared" si="29"/>
        <v>11.212737650182694</v>
      </c>
      <c r="T60" s="22">
        <v>44222</v>
      </c>
      <c r="U60" s="174"/>
    </row>
    <row r="61" spans="1:21">
      <c r="A61" s="8" t="s">
        <v>92</v>
      </c>
      <c r="B61" s="2">
        <v>189.22</v>
      </c>
      <c r="C61" s="2">
        <v>13.36</v>
      </c>
      <c r="D61" s="23">
        <f>C61*('Composición alga'!$J$4/100)</f>
        <v>12.548411214953308</v>
      </c>
      <c r="E61" s="2">
        <v>202.58</v>
      </c>
      <c r="F61" s="2">
        <v>439.69</v>
      </c>
      <c r="G61" s="2">
        <f t="shared" ref="G61:G63" si="33">F61-B61</f>
        <v>250.47</v>
      </c>
      <c r="H61" s="23">
        <f t="shared" ref="H61:H63" si="34">D61/(F61-B61)*100</f>
        <v>5.0099457879000715</v>
      </c>
      <c r="I61" s="168"/>
      <c r="J61" s="2">
        <v>6.56</v>
      </c>
      <c r="K61" s="2">
        <f>37.36-P61</f>
        <v>28.259999999999998</v>
      </c>
      <c r="L61" s="2">
        <v>216.67</v>
      </c>
      <c r="M61" s="2">
        <f t="shared" ref="M61:M63" si="35">K61+L61</f>
        <v>244.92999999999998</v>
      </c>
      <c r="N61" s="2">
        <f t="shared" ref="N61" si="36">G61-M61</f>
        <v>5.5400000000000205</v>
      </c>
      <c r="O61" s="23">
        <f t="shared" ref="O61:O63" si="37">(N61/G61)*100</f>
        <v>2.2118417375334452</v>
      </c>
      <c r="P61" s="2">
        <v>9.1</v>
      </c>
      <c r="Q61" s="17">
        <f>(17.24-P61)*('Análisis sólidos'!F33/100)</f>
        <v>7.9603612288750778</v>
      </c>
      <c r="R61" s="2">
        <f t="shared" ref="R61:R63" si="38">L61</f>
        <v>216.67</v>
      </c>
      <c r="S61" s="23">
        <f t="shared" ref="S61:S63" si="39">((D61-Q61)/D61)*100</f>
        <v>36.562795938747072</v>
      </c>
      <c r="T61" s="22">
        <v>44211</v>
      </c>
      <c r="U61" s="174"/>
    </row>
    <row r="62" spans="1:21">
      <c r="A62" s="8" t="s">
        <v>93</v>
      </c>
      <c r="B62" s="2">
        <v>189.2</v>
      </c>
      <c r="C62" s="2">
        <v>10.65</v>
      </c>
      <c r="D62" s="23">
        <f>C62*('Composición alga'!$J$4/100)</f>
        <v>10.003037383177601</v>
      </c>
      <c r="E62" s="2">
        <v>199.86</v>
      </c>
      <c r="F62" s="2">
        <v>389.74</v>
      </c>
      <c r="G62" s="2">
        <f t="shared" si="33"/>
        <v>200.54000000000002</v>
      </c>
      <c r="H62" s="23">
        <f t="shared" si="34"/>
        <v>4.9880509540129649</v>
      </c>
      <c r="I62" s="169"/>
      <c r="J62" s="2"/>
      <c r="K62" s="2">
        <f>39.32-P62</f>
        <v>30.14</v>
      </c>
      <c r="L62" s="2">
        <f>82.72+78.52</f>
        <v>161.24</v>
      </c>
      <c r="M62" s="2">
        <f t="shared" si="35"/>
        <v>191.38</v>
      </c>
      <c r="N62" s="2">
        <f>G62-M62</f>
        <v>9.160000000000025</v>
      </c>
      <c r="O62" s="23">
        <f t="shared" si="37"/>
        <v>4.5676672982946167</v>
      </c>
      <c r="P62" s="2">
        <v>9.18</v>
      </c>
      <c r="Q62" s="17">
        <f>(18.5607-P62)*('Análisis sólidos'!F34/100)</f>
        <v>9.1664040537513962</v>
      </c>
      <c r="R62" s="2">
        <f t="shared" si="38"/>
        <v>161.24</v>
      </c>
      <c r="S62" s="23">
        <f t="shared" si="39"/>
        <v>8.3637928898795781</v>
      </c>
      <c r="T62" s="22">
        <v>44221</v>
      </c>
      <c r="U62" s="174"/>
    </row>
    <row r="63" spans="1:21">
      <c r="A63" s="8" t="s">
        <v>94</v>
      </c>
      <c r="B63" s="2">
        <v>193.9</v>
      </c>
      <c r="C63" s="2">
        <v>13.3</v>
      </c>
      <c r="D63" s="23">
        <f>C63*('Composición alga'!$J$4/100)</f>
        <v>12.492056074766394</v>
      </c>
      <c r="E63" s="2">
        <f>B63+C63</f>
        <v>207.20000000000002</v>
      </c>
      <c r="F63" s="2">
        <v>446.1</v>
      </c>
      <c r="G63" s="2">
        <f t="shared" si="33"/>
        <v>252.20000000000002</v>
      </c>
      <c r="H63" s="23">
        <f t="shared" si="34"/>
        <v>4.9532339709620903</v>
      </c>
      <c r="I63" s="2">
        <v>0.12570000000000001</v>
      </c>
      <c r="J63" s="2">
        <v>6.77</v>
      </c>
      <c r="K63" s="2">
        <v>37.46</v>
      </c>
      <c r="L63" s="2">
        <f>103.43+104.7</f>
        <v>208.13</v>
      </c>
      <c r="M63" s="2">
        <f t="shared" si="35"/>
        <v>245.59</v>
      </c>
      <c r="N63" s="2">
        <f>G63-M63</f>
        <v>6.6100000000000136</v>
      </c>
      <c r="O63" s="23">
        <f t="shared" si="37"/>
        <v>2.6209357652656675</v>
      </c>
      <c r="P63" s="2">
        <v>9.4499999999999993</v>
      </c>
      <c r="Q63" s="17">
        <f>(18.6389-P63)*('Control P+C 1h'!F11/100)</f>
        <v>9.0288611030479338</v>
      </c>
      <c r="R63" s="2">
        <f t="shared" si="38"/>
        <v>208.13</v>
      </c>
      <c r="S63" s="23">
        <f t="shared" si="39"/>
        <v>27.723178242163176</v>
      </c>
      <c r="T63" s="22">
        <v>44694</v>
      </c>
      <c r="U63" s="3"/>
    </row>
    <row r="66" spans="1:4">
      <c r="A66" s="2"/>
      <c r="B66" s="2" t="s">
        <v>95</v>
      </c>
      <c r="C66" s="2" t="s">
        <v>96</v>
      </c>
      <c r="D66" s="2" t="s">
        <v>97</v>
      </c>
    </row>
    <row r="67" spans="1:4">
      <c r="A67" s="2" t="s">
        <v>60</v>
      </c>
      <c r="B67" s="2">
        <v>50</v>
      </c>
      <c r="C67" s="2">
        <v>140</v>
      </c>
      <c r="D67" s="2">
        <v>122</v>
      </c>
    </row>
    <row r="68" spans="1:4">
      <c r="A68" s="2" t="s">
        <v>63</v>
      </c>
      <c r="B68" s="2">
        <v>50</v>
      </c>
      <c r="C68" s="2">
        <v>130</v>
      </c>
      <c r="D68" s="2">
        <v>117</v>
      </c>
    </row>
    <row r="69" spans="1:4">
      <c r="A69" s="2" t="s">
        <v>72</v>
      </c>
      <c r="B69" s="2">
        <v>50</v>
      </c>
      <c r="C69" s="2">
        <v>144</v>
      </c>
      <c r="D69" s="2">
        <v>122</v>
      </c>
    </row>
    <row r="70" spans="1:4">
      <c r="A70" s="2" t="s">
        <v>73</v>
      </c>
      <c r="B70" s="2">
        <v>50</v>
      </c>
      <c r="C70" s="2">
        <v>139</v>
      </c>
      <c r="D70" s="2">
        <v>121</v>
      </c>
    </row>
    <row r="71" spans="1:4">
      <c r="A71" s="2" t="s">
        <v>98</v>
      </c>
      <c r="B71" s="2">
        <v>50</v>
      </c>
      <c r="C71" s="2">
        <v>138</v>
      </c>
      <c r="D71" s="2">
        <v>123</v>
      </c>
    </row>
    <row r="73" spans="1:4">
      <c r="B73" s="2" t="s">
        <v>41</v>
      </c>
      <c r="C73" s="2" t="s">
        <v>99</v>
      </c>
    </row>
    <row r="74" spans="1:4">
      <c r="A74" s="30" t="s">
        <v>65</v>
      </c>
      <c r="B74" s="2">
        <v>128</v>
      </c>
      <c r="C74" s="2">
        <v>0.9</v>
      </c>
    </row>
    <row r="75" spans="1:4">
      <c r="A75" s="30" t="s">
        <v>67</v>
      </c>
      <c r="B75" s="2">
        <v>162</v>
      </c>
      <c r="C75" s="2">
        <v>0.9</v>
      </c>
    </row>
    <row r="76" spans="1:4">
      <c r="A76" s="30" t="s">
        <v>74</v>
      </c>
      <c r="B76" s="2">
        <v>111</v>
      </c>
      <c r="C76" s="2">
        <v>0.9</v>
      </c>
    </row>
    <row r="77" spans="1:4">
      <c r="A77" s="30" t="s">
        <v>75</v>
      </c>
      <c r="B77" s="2">
        <v>135</v>
      </c>
      <c r="C77" s="2">
        <v>0.9</v>
      </c>
    </row>
    <row r="78" spans="1:4">
      <c r="A78" s="30" t="s">
        <v>98</v>
      </c>
      <c r="B78" s="2">
        <v>71</v>
      </c>
      <c r="C78" s="2">
        <v>0.9</v>
      </c>
    </row>
  </sheetData>
  <mergeCells count="135">
    <mergeCell ref="U51:U52"/>
    <mergeCell ref="U53:U54"/>
    <mergeCell ref="U55:U56"/>
    <mergeCell ref="U57:U58"/>
    <mergeCell ref="U59:U60"/>
    <mergeCell ref="U61:U62"/>
    <mergeCell ref="U33:U34"/>
    <mergeCell ref="U35:U36"/>
    <mergeCell ref="U37:U38"/>
    <mergeCell ref="U39:U40"/>
    <mergeCell ref="U41:U42"/>
    <mergeCell ref="U43:U44"/>
    <mergeCell ref="U45:U46"/>
    <mergeCell ref="U47:U48"/>
    <mergeCell ref="U49:U50"/>
    <mergeCell ref="O12:P12"/>
    <mergeCell ref="L13:L14"/>
    <mergeCell ref="L17:M17"/>
    <mergeCell ref="F15:F16"/>
    <mergeCell ref="G15:G16"/>
    <mergeCell ref="G17:G18"/>
    <mergeCell ref="G19:G20"/>
    <mergeCell ref="H13:H14"/>
    <mergeCell ref="H19:H20"/>
    <mergeCell ref="I19:I20"/>
    <mergeCell ref="I15:I16"/>
    <mergeCell ref="I17:I18"/>
    <mergeCell ref="H15:H16"/>
    <mergeCell ref="H17:H18"/>
    <mergeCell ref="I13:I14"/>
    <mergeCell ref="B7:B8"/>
    <mergeCell ref="D7:D8"/>
    <mergeCell ref="E7:E8"/>
    <mergeCell ref="B25:B26"/>
    <mergeCell ref="B27:B28"/>
    <mergeCell ref="B29:B30"/>
    <mergeCell ref="C25:C26"/>
    <mergeCell ref="C27:C28"/>
    <mergeCell ref="C29:C30"/>
    <mergeCell ref="E25:E26"/>
    <mergeCell ref="E27:E28"/>
    <mergeCell ref="E29:E30"/>
    <mergeCell ref="C9:C10"/>
    <mergeCell ref="B19:B20"/>
    <mergeCell ref="C19:C20"/>
    <mergeCell ref="C15:C16"/>
    <mergeCell ref="B15:B16"/>
    <mergeCell ref="D15:D16"/>
    <mergeCell ref="E15:E16"/>
    <mergeCell ref="B17:B18"/>
    <mergeCell ref="C17:C18"/>
    <mergeCell ref="D17:D18"/>
    <mergeCell ref="E17:E18"/>
    <mergeCell ref="D25:D26"/>
    <mergeCell ref="B3:B4"/>
    <mergeCell ref="D3:D4"/>
    <mergeCell ref="E3:E4"/>
    <mergeCell ref="F3:F4"/>
    <mergeCell ref="G3:G4"/>
    <mergeCell ref="C3:C4"/>
    <mergeCell ref="F13:F14"/>
    <mergeCell ref="G13:G14"/>
    <mergeCell ref="C13:C14"/>
    <mergeCell ref="B11:B12"/>
    <mergeCell ref="D11:D12"/>
    <mergeCell ref="E11:E12"/>
    <mergeCell ref="F11:F12"/>
    <mergeCell ref="B13:B14"/>
    <mergeCell ref="D13:D14"/>
    <mergeCell ref="E13:E14"/>
    <mergeCell ref="B5:B6"/>
    <mergeCell ref="D5:D6"/>
    <mergeCell ref="E5:E6"/>
    <mergeCell ref="F5:F6"/>
    <mergeCell ref="G5:G6"/>
    <mergeCell ref="B9:B10"/>
    <mergeCell ref="D9:D10"/>
    <mergeCell ref="E9:E10"/>
    <mergeCell ref="C7:C8"/>
    <mergeCell ref="D27:D28"/>
    <mergeCell ref="D29:D30"/>
    <mergeCell ref="I61:I62"/>
    <mergeCell ref="I33:I44"/>
    <mergeCell ref="I3:I4"/>
    <mergeCell ref="I5:I6"/>
    <mergeCell ref="I7:I8"/>
    <mergeCell ref="I9:I10"/>
    <mergeCell ref="H3:H4"/>
    <mergeCell ref="F7:F8"/>
    <mergeCell ref="G7:G8"/>
    <mergeCell ref="G11:G12"/>
    <mergeCell ref="F9:F10"/>
    <mergeCell ref="G9:G10"/>
    <mergeCell ref="H7:H8"/>
    <mergeCell ref="H9:H10"/>
    <mergeCell ref="H11:H12"/>
    <mergeCell ref="I11:I12"/>
    <mergeCell ref="F17:F18"/>
    <mergeCell ref="H25:H26"/>
    <mergeCell ref="F27:F28"/>
    <mergeCell ref="G27:G28"/>
    <mergeCell ref="H27:H28"/>
    <mergeCell ref="F29:F30"/>
    <mergeCell ref="G29:G30"/>
    <mergeCell ref="H29:H30"/>
    <mergeCell ref="I25:I26"/>
    <mergeCell ref="I27:I28"/>
    <mergeCell ref="I29:I30"/>
    <mergeCell ref="F25:F26"/>
    <mergeCell ref="G25:G26"/>
    <mergeCell ref="C11:C12"/>
    <mergeCell ref="O5:P5"/>
    <mergeCell ref="G21:G22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L5:M5"/>
    <mergeCell ref="D19:D20"/>
    <mergeCell ref="E19:E20"/>
    <mergeCell ref="F19:F20"/>
    <mergeCell ref="L12:M12"/>
    <mergeCell ref="C5:C6"/>
    <mergeCell ref="H5:H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S32"/>
  <sheetViews>
    <sheetView topLeftCell="A78" zoomScale="60" zoomScaleNormal="60" workbookViewId="0"/>
  </sheetViews>
  <sheetFormatPr defaultColWidth="11.42578125" defaultRowHeight="15"/>
  <cols>
    <col min="1" max="1" width="12.42578125" bestFit="1" customWidth="1"/>
    <col min="3" max="3" width="13.28515625" bestFit="1" customWidth="1"/>
    <col min="5" max="5" width="15.5703125" bestFit="1" customWidth="1"/>
    <col min="6" max="6" width="13.7109375" bestFit="1" customWidth="1"/>
    <col min="7" max="7" width="17.85546875" bestFit="1" customWidth="1"/>
    <col min="8" max="8" width="17.7109375" bestFit="1" customWidth="1"/>
    <col min="9" max="9" width="19.5703125" bestFit="1" customWidth="1"/>
    <col min="10" max="10" width="19.42578125" bestFit="1" customWidth="1"/>
    <col min="11" max="11" width="19.5703125" bestFit="1" customWidth="1"/>
    <col min="12" max="12" width="19.42578125" bestFit="1" customWidth="1"/>
    <col min="13" max="13" width="16" bestFit="1" customWidth="1"/>
    <col min="14" max="14" width="15.85546875" bestFit="1" customWidth="1"/>
    <col min="15" max="15" width="16" bestFit="1" customWidth="1"/>
    <col min="16" max="16" width="15.85546875" bestFit="1" customWidth="1"/>
    <col min="17" max="17" width="12.7109375" bestFit="1" customWidth="1"/>
    <col min="23" max="24" width="11.42578125" customWidth="1"/>
    <col min="25" max="25" width="13.42578125" customWidth="1"/>
    <col min="26" max="26" width="11.42578125" customWidth="1"/>
    <col min="27" max="27" width="14.5703125" customWidth="1"/>
    <col min="28" max="28" width="11.42578125" customWidth="1"/>
    <col min="29" max="29" width="15.5703125" customWidth="1"/>
    <col min="30" max="30" width="13.7109375" customWidth="1"/>
    <col min="31" max="31" width="17.85546875" customWidth="1"/>
    <col min="32" max="32" width="17.7109375" customWidth="1"/>
    <col min="33" max="33" width="17.42578125" customWidth="1"/>
    <col min="34" max="34" width="15.5703125" customWidth="1"/>
    <col min="35" max="35" width="19.5703125" customWidth="1"/>
    <col min="36" max="36" width="19.42578125" customWidth="1"/>
    <col min="37" max="37" width="13.85546875" customWidth="1"/>
    <col min="38" max="38" width="12.140625" customWidth="1"/>
    <col min="39" max="39" width="16" customWidth="1"/>
    <col min="40" max="40" width="15.85546875" customWidth="1"/>
    <col min="41" max="41" width="12.7109375" customWidth="1"/>
  </cols>
  <sheetData>
    <row r="2" spans="1:45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Z2" s="181" t="s">
        <v>339</v>
      </c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</row>
    <row r="3" spans="1:45">
      <c r="A3" s="7" t="s">
        <v>0</v>
      </c>
      <c r="B3" s="7" t="s">
        <v>228</v>
      </c>
      <c r="C3" s="4" t="s">
        <v>229</v>
      </c>
      <c r="D3" s="4" t="s">
        <v>230</v>
      </c>
      <c r="E3" s="41" t="s">
        <v>306</v>
      </c>
      <c r="F3" s="41" t="s">
        <v>307</v>
      </c>
      <c r="G3" s="41" t="s">
        <v>308</v>
      </c>
      <c r="H3" s="41" t="s">
        <v>309</v>
      </c>
      <c r="I3" s="4" t="s">
        <v>310</v>
      </c>
      <c r="J3" s="4" t="s">
        <v>311</v>
      </c>
      <c r="K3" s="4" t="s">
        <v>312</v>
      </c>
      <c r="L3" s="4" t="s">
        <v>313</v>
      </c>
      <c r="M3" s="4" t="s">
        <v>314</v>
      </c>
      <c r="N3" s="4" t="s">
        <v>315</v>
      </c>
      <c r="O3" s="4" t="s">
        <v>316</v>
      </c>
      <c r="P3" s="4" t="s">
        <v>317</v>
      </c>
      <c r="Q3" s="4" t="s">
        <v>318</v>
      </c>
      <c r="R3" s="4" t="s">
        <v>141</v>
      </c>
      <c r="S3" s="4" t="s">
        <v>142</v>
      </c>
      <c r="T3" s="4" t="s">
        <v>319</v>
      </c>
      <c r="U3" s="4" t="s">
        <v>235</v>
      </c>
      <c r="Y3" s="7" t="s">
        <v>0</v>
      </c>
      <c r="Z3" s="7" t="s">
        <v>228</v>
      </c>
      <c r="AA3" s="4" t="s">
        <v>229</v>
      </c>
      <c r="AB3" s="4" t="s">
        <v>230</v>
      </c>
      <c r="AC3" s="41" t="s">
        <v>306</v>
      </c>
      <c r="AD3" s="41" t="s">
        <v>307</v>
      </c>
      <c r="AE3" s="41" t="s">
        <v>308</v>
      </c>
      <c r="AF3" s="41" t="s">
        <v>309</v>
      </c>
      <c r="AG3" s="4" t="s">
        <v>310</v>
      </c>
      <c r="AH3" s="4" t="s">
        <v>311</v>
      </c>
      <c r="AI3" s="4" t="s">
        <v>312</v>
      </c>
      <c r="AJ3" s="4" t="s">
        <v>313</v>
      </c>
      <c r="AK3" s="4" t="s">
        <v>314</v>
      </c>
      <c r="AL3" s="4" t="s">
        <v>315</v>
      </c>
      <c r="AM3" s="4" t="s">
        <v>316</v>
      </c>
      <c r="AN3" s="4" t="s">
        <v>317</v>
      </c>
      <c r="AO3" s="4" t="s">
        <v>318</v>
      </c>
      <c r="AP3" s="4" t="s">
        <v>141</v>
      </c>
      <c r="AQ3" s="4" t="s">
        <v>142</v>
      </c>
      <c r="AR3" s="4" t="s">
        <v>319</v>
      </c>
      <c r="AS3" s="4" t="s">
        <v>235</v>
      </c>
    </row>
    <row r="4" spans="1:45">
      <c r="A4" s="196" t="s">
        <v>19</v>
      </c>
      <c r="B4" s="2" t="s">
        <v>236</v>
      </c>
      <c r="C4" s="166">
        <v>0.30349999999999999</v>
      </c>
      <c r="D4" s="227">
        <f>C4*('Análisis sólidos'!F7/100)</f>
        <v>0.25586929400586617</v>
      </c>
      <c r="E4" s="17"/>
      <c r="F4" s="17"/>
      <c r="G4" s="17"/>
      <c r="H4" s="17"/>
      <c r="I4" s="45">
        <f t="shared" ref="I4:I27" si="0">(E4-$D$32)/$C$32</f>
        <v>3.0439095473857931E-2</v>
      </c>
      <c r="J4" s="18">
        <f t="shared" ref="J4:J27" si="1">(F4-$J$32)/$I$32</f>
        <v>3.6101821811829297E-2</v>
      </c>
      <c r="K4" s="17"/>
      <c r="L4" s="17"/>
      <c r="M4" s="17"/>
      <c r="N4" s="17"/>
      <c r="O4" s="17"/>
      <c r="P4" s="17"/>
      <c r="Q4" s="17"/>
      <c r="R4" s="23">
        <f t="shared" ref="R4:R26" si="2">(M4/D4)/10</f>
        <v>0</v>
      </c>
      <c r="S4" s="23">
        <f t="shared" ref="S4:S26" si="3">(N4/D4)/10</f>
        <v>0</v>
      </c>
      <c r="T4" s="23">
        <f>(Q4/D4)/10</f>
        <v>0</v>
      </c>
      <c r="U4" s="174">
        <f t="shared" ref="U4" si="4">STDEV(T4:T7)</f>
        <v>0</v>
      </c>
      <c r="W4" s="17">
        <f>'Análisis carbohidratos'!W9</f>
        <v>1.0261413888276749</v>
      </c>
      <c r="Y4" s="196" t="s">
        <v>19</v>
      </c>
      <c r="Z4" s="2" t="s">
        <v>236</v>
      </c>
      <c r="AA4" s="166">
        <f t="shared" ref="AA4:AB4" si="5">C4</f>
        <v>0.30349999999999999</v>
      </c>
      <c r="AB4" s="227">
        <f t="shared" si="5"/>
        <v>0.25586929400586617</v>
      </c>
      <c r="AC4" s="31">
        <v>2283</v>
      </c>
      <c r="AD4" s="31">
        <v>1480</v>
      </c>
      <c r="AE4" s="255"/>
      <c r="AF4" s="255"/>
      <c r="AG4" s="45">
        <f t="shared" ref="AG4:AG27" si="6">(AC4-$D$32)/$C$32</f>
        <v>4.0459636925453846E-2</v>
      </c>
      <c r="AH4" s="18">
        <f t="shared" ref="AH4:AH17" si="7">(AD4-$J$32)/$I$32</f>
        <v>4.281734237811103E-2</v>
      </c>
      <c r="AI4" s="254"/>
      <c r="AJ4" s="254"/>
      <c r="AK4" s="17" t="e">
        <f>(AG4*#REF!)/$W$10</f>
        <v>#REF!</v>
      </c>
      <c r="AL4" s="17" t="e">
        <f>(AH4*#REF!)/$W$7</f>
        <v>#REF!</v>
      </c>
      <c r="AM4" s="254"/>
      <c r="AN4" s="254"/>
      <c r="AO4" s="17" t="e">
        <f t="shared" ref="AO4:AO27" si="8">SUM(AK4:AN4)</f>
        <v>#REF!</v>
      </c>
      <c r="AP4" s="23" t="e">
        <f t="shared" ref="AP4:AP26" si="9">(AK4/AB4)/10</f>
        <v>#REF!</v>
      </c>
      <c r="AQ4" s="23" t="e">
        <f t="shared" ref="AQ4:AQ26" si="10">(AL4/AB4)/10</f>
        <v>#REF!</v>
      </c>
      <c r="AR4" s="23" t="e">
        <f>(AO4/AB4)/10</f>
        <v>#REF!</v>
      </c>
      <c r="AS4" s="174" t="e">
        <f t="shared" ref="AS4" si="11">STDEV(AR4:AR7)</f>
        <v>#REF!</v>
      </c>
    </row>
    <row r="5" spans="1:45">
      <c r="A5" s="196"/>
      <c r="B5" s="2" t="s">
        <v>237</v>
      </c>
      <c r="C5" s="167"/>
      <c r="D5" s="228"/>
      <c r="E5" s="17"/>
      <c r="F5" s="17"/>
      <c r="G5" s="17"/>
      <c r="H5" s="17"/>
      <c r="I5" s="45">
        <f t="shared" si="0"/>
        <v>3.0439095473857931E-2</v>
      </c>
      <c r="J5" s="18">
        <f t="shared" si="1"/>
        <v>3.6101821811829297E-2</v>
      </c>
      <c r="K5" s="17"/>
      <c r="L5" s="17"/>
      <c r="M5" s="17"/>
      <c r="N5" s="17"/>
      <c r="O5" s="17"/>
      <c r="P5" s="17"/>
      <c r="Q5" s="17"/>
      <c r="R5" s="23">
        <f>(M5/D4)/10</f>
        <v>0</v>
      </c>
      <c r="S5" s="23">
        <f>(N5/D4)/10</f>
        <v>0</v>
      </c>
      <c r="T5" s="23">
        <f t="shared" ref="T5:T25" si="12">(Q5/D4)/10</f>
        <v>0</v>
      </c>
      <c r="U5" s="174"/>
      <c r="Y5" s="196"/>
      <c r="Z5" s="2" t="s">
        <v>237</v>
      </c>
      <c r="AA5" s="167"/>
      <c r="AB5" s="228"/>
      <c r="AC5" s="31">
        <v>2232</v>
      </c>
      <c r="AD5" s="31">
        <v>1813</v>
      </c>
      <c r="AE5" s="255"/>
      <c r="AF5" s="255"/>
      <c r="AG5" s="45">
        <f t="shared" si="6"/>
        <v>4.02357877734471E-2</v>
      </c>
      <c r="AH5" s="18">
        <f t="shared" si="7"/>
        <v>4.4328334505524418E-2</v>
      </c>
      <c r="AI5" s="254"/>
      <c r="AJ5" s="254"/>
      <c r="AK5" s="17" t="e">
        <f>(AG5*#REF!)/$W$10</f>
        <v>#REF!</v>
      </c>
      <c r="AL5" s="17" t="e">
        <f>(AH5*#REF!)/$W$7</f>
        <v>#REF!</v>
      </c>
      <c r="AM5" s="254"/>
      <c r="AN5" s="254"/>
      <c r="AO5" s="17" t="e">
        <f t="shared" si="8"/>
        <v>#REF!</v>
      </c>
      <c r="AP5" s="23" t="e">
        <f>(AK5/AB4)/10</f>
        <v>#REF!</v>
      </c>
      <c r="AQ5" s="23" t="e">
        <f>(AL5/AB4)/10</f>
        <v>#REF!</v>
      </c>
      <c r="AR5" s="23" t="e">
        <f t="shared" ref="AR5" si="13">(AO5/AB4)/10</f>
        <v>#REF!</v>
      </c>
      <c r="AS5" s="174"/>
    </row>
    <row r="6" spans="1:45">
      <c r="A6" s="196" t="s">
        <v>22</v>
      </c>
      <c r="B6" s="2" t="s">
        <v>236</v>
      </c>
      <c r="C6" s="166">
        <v>0.30409999999999998</v>
      </c>
      <c r="D6" s="227">
        <f>C6*('Análisis sólidos'!F8/100)</f>
        <v>0.28268371186335761</v>
      </c>
      <c r="E6" s="17">
        <v>14927</v>
      </c>
      <c r="F6" s="17">
        <v>19122</v>
      </c>
      <c r="G6" s="17"/>
      <c r="H6" s="17">
        <v>2027</v>
      </c>
      <c r="I6" s="45">
        <f t="shared" si="0"/>
        <v>9.5956669826889995E-2</v>
      </c>
      <c r="J6" s="18">
        <f t="shared" si="1"/>
        <v>0.12286816253374776</v>
      </c>
      <c r="K6" s="17"/>
      <c r="L6" s="17"/>
      <c r="M6" s="17"/>
      <c r="N6" s="17"/>
      <c r="O6" s="17"/>
      <c r="P6" s="17"/>
      <c r="Q6" s="17"/>
      <c r="R6" s="23">
        <f t="shared" si="2"/>
        <v>0</v>
      </c>
      <c r="S6" s="23">
        <f t="shared" si="3"/>
        <v>0</v>
      </c>
      <c r="T6" s="23">
        <f>(Q6/D6)/10</f>
        <v>0</v>
      </c>
      <c r="U6" s="174"/>
      <c r="W6" s="16" t="s">
        <v>323</v>
      </c>
      <c r="Y6" s="196" t="s">
        <v>22</v>
      </c>
      <c r="Z6" s="2" t="s">
        <v>236</v>
      </c>
      <c r="AA6" s="166">
        <f t="shared" ref="AA6:AB6" si="14">C6</f>
        <v>0.30409999999999998</v>
      </c>
      <c r="AB6" s="227">
        <f t="shared" si="14"/>
        <v>0.28268371186335761</v>
      </c>
      <c r="AC6" s="31">
        <v>3890</v>
      </c>
      <c r="AD6" s="31">
        <v>1883</v>
      </c>
      <c r="AE6" s="255"/>
      <c r="AF6" s="255"/>
      <c r="AG6" s="45">
        <f t="shared" si="6"/>
        <v>4.7513079813195691E-2</v>
      </c>
      <c r="AH6" s="18">
        <f t="shared" si="7"/>
        <v>4.4645960478253963E-2</v>
      </c>
      <c r="AI6" s="254"/>
      <c r="AJ6" s="254"/>
      <c r="AK6" s="17" t="e">
        <f>(AG6*#REF!)/$W$10</f>
        <v>#REF!</v>
      </c>
      <c r="AL6" s="17" t="e">
        <f>(AH6*#REF!)/$W$7</f>
        <v>#REF!</v>
      </c>
      <c r="AM6" s="254"/>
      <c r="AN6" s="254"/>
      <c r="AO6" s="17" t="e">
        <f t="shared" si="8"/>
        <v>#REF!</v>
      </c>
      <c r="AP6" s="23" t="e">
        <f t="shared" si="9"/>
        <v>#REF!</v>
      </c>
      <c r="AQ6" s="23" t="e">
        <f t="shared" si="10"/>
        <v>#REF!</v>
      </c>
      <c r="AR6" s="23" t="e">
        <f>(AO6/AB6)/10</f>
        <v>#REF!</v>
      </c>
      <c r="AS6" s="174"/>
    </row>
    <row r="7" spans="1:45">
      <c r="A7" s="196"/>
      <c r="B7" s="2" t="s">
        <v>237</v>
      </c>
      <c r="C7" s="167"/>
      <c r="D7" s="228"/>
      <c r="E7" s="17">
        <v>17162</v>
      </c>
      <c r="F7" s="17">
        <v>19782</v>
      </c>
      <c r="G7" s="17"/>
      <c r="H7" s="17">
        <v>2130</v>
      </c>
      <c r="I7" s="45">
        <f t="shared" si="0"/>
        <v>0.10576652972365602</v>
      </c>
      <c r="J7" s="18">
        <f t="shared" si="1"/>
        <v>0.12586292170519772</v>
      </c>
      <c r="K7" s="17"/>
      <c r="L7" s="17"/>
      <c r="M7" s="17"/>
      <c r="N7" s="17"/>
      <c r="O7" s="17"/>
      <c r="P7" s="17"/>
      <c r="Q7" s="17"/>
      <c r="R7" s="23">
        <f>(M7/D6)/10</f>
        <v>0</v>
      </c>
      <c r="S7" s="23">
        <f>(N7/D6)/10</f>
        <v>0</v>
      </c>
      <c r="T7" s="23">
        <f t="shared" si="12"/>
        <v>0</v>
      </c>
      <c r="U7" s="174"/>
      <c r="W7" s="17">
        <f>'Análisis carbohidratos'!W12</f>
        <v>1.0431150518304013</v>
      </c>
      <c r="Y7" s="196"/>
      <c r="Z7" s="2" t="s">
        <v>237</v>
      </c>
      <c r="AA7" s="167"/>
      <c r="AB7" s="228"/>
      <c r="AC7" s="31">
        <v>3827</v>
      </c>
      <c r="AD7" s="31">
        <v>1967</v>
      </c>
      <c r="AE7" s="255"/>
      <c r="AF7" s="255"/>
      <c r="AG7" s="45">
        <f t="shared" si="6"/>
        <v>4.7236560272481479E-2</v>
      </c>
      <c r="AH7" s="18">
        <f t="shared" si="7"/>
        <v>4.5027111645529409E-2</v>
      </c>
      <c r="AI7" s="254"/>
      <c r="AJ7" s="254"/>
      <c r="AK7" s="17" t="e">
        <f>(AG7*#REF!)/$W$10</f>
        <v>#REF!</v>
      </c>
      <c r="AL7" s="17" t="e">
        <f>(AH7*#REF!)/$W$7</f>
        <v>#REF!</v>
      </c>
      <c r="AM7" s="254"/>
      <c r="AN7" s="254"/>
      <c r="AO7" s="17" t="e">
        <f t="shared" si="8"/>
        <v>#REF!</v>
      </c>
      <c r="AP7" s="23" t="e">
        <f>(AK7/AB6)/10</f>
        <v>#REF!</v>
      </c>
      <c r="AQ7" s="23" t="e">
        <f>(AL7/AB6)/10</f>
        <v>#REF!</v>
      </c>
      <c r="AR7" s="23" t="e">
        <f t="shared" ref="AR7" si="15">(AO7/AB6)/10</f>
        <v>#REF!</v>
      </c>
      <c r="AS7" s="174"/>
    </row>
    <row r="8" spans="1:45">
      <c r="A8" s="196" t="s">
        <v>25</v>
      </c>
      <c r="B8" s="2" t="s">
        <v>236</v>
      </c>
      <c r="C8" s="166">
        <v>0.31490000000000001</v>
      </c>
      <c r="D8" s="227">
        <f>C8*('Análisis sólidos'!F9/100)</f>
        <v>0.28972569101123558</v>
      </c>
      <c r="E8" s="17">
        <v>19160</v>
      </c>
      <c r="F8" s="17">
        <v>19621</v>
      </c>
      <c r="G8" s="17"/>
      <c r="H8" s="17">
        <v>1778</v>
      </c>
      <c r="I8" s="45">
        <f t="shared" si="0"/>
        <v>0.11453614944344956</v>
      </c>
      <c r="J8" s="18">
        <f t="shared" si="1"/>
        <v>0.12513238196791979</v>
      </c>
      <c r="K8" s="17"/>
      <c r="L8" s="17"/>
      <c r="M8" s="17"/>
      <c r="N8" s="17"/>
      <c r="O8" s="17"/>
      <c r="P8" s="17"/>
      <c r="Q8" s="17"/>
      <c r="R8" s="23">
        <f t="shared" si="2"/>
        <v>0</v>
      </c>
      <c r="S8" s="23">
        <f t="shared" si="3"/>
        <v>0</v>
      </c>
      <c r="T8" s="23">
        <f>(Q8/D8)/10</f>
        <v>0</v>
      </c>
      <c r="U8" s="174">
        <f>STDEV(T8:T10)</f>
        <v>0</v>
      </c>
      <c r="Y8" s="196" t="s">
        <v>25</v>
      </c>
      <c r="Z8" s="2" t="s">
        <v>236</v>
      </c>
      <c r="AA8" s="166">
        <f t="shared" ref="AA8:AB8" si="16">C8</f>
        <v>0.31490000000000001</v>
      </c>
      <c r="AB8" s="227">
        <f t="shared" si="16"/>
        <v>0.28972569101123558</v>
      </c>
      <c r="AC8" s="31">
        <v>3156</v>
      </c>
      <c r="AD8" s="31">
        <v>2433</v>
      </c>
      <c r="AE8" s="255"/>
      <c r="AF8" s="255"/>
      <c r="AG8" s="45">
        <f t="shared" si="6"/>
        <v>4.4291407703922189E-2</v>
      </c>
      <c r="AH8" s="18">
        <f t="shared" si="7"/>
        <v>4.7141593121128929E-2</v>
      </c>
      <c r="AI8" s="254"/>
      <c r="AJ8" s="254"/>
      <c r="AK8" s="17" t="e">
        <f>(AG8*#REF!)/$W$10</f>
        <v>#REF!</v>
      </c>
      <c r="AL8" s="17" t="e">
        <f>(AH8*#REF!)/$W$7</f>
        <v>#REF!</v>
      </c>
      <c r="AM8" s="254"/>
      <c r="AN8" s="254"/>
      <c r="AO8" s="17" t="e">
        <f t="shared" si="8"/>
        <v>#REF!</v>
      </c>
      <c r="AP8" s="23" t="e">
        <f t="shared" si="9"/>
        <v>#REF!</v>
      </c>
      <c r="AQ8" s="23" t="e">
        <f t="shared" si="10"/>
        <v>#REF!</v>
      </c>
      <c r="AR8" s="23" t="e">
        <f>(AO8/AB8)/10</f>
        <v>#REF!</v>
      </c>
      <c r="AS8" s="174" t="e">
        <f>STDEV(AR8:AR10)</f>
        <v>#REF!</v>
      </c>
    </row>
    <row r="9" spans="1:45">
      <c r="A9" s="196"/>
      <c r="B9" s="2" t="s">
        <v>237</v>
      </c>
      <c r="C9" s="167"/>
      <c r="D9" s="228"/>
      <c r="E9" s="17">
        <v>19194</v>
      </c>
      <c r="F9" s="17">
        <v>18759</v>
      </c>
      <c r="G9" s="17"/>
      <c r="H9" s="17">
        <v>1799</v>
      </c>
      <c r="I9" s="45">
        <f t="shared" si="0"/>
        <v>0.11468538221145405</v>
      </c>
      <c r="J9" s="18">
        <f t="shared" si="1"/>
        <v>0.12122104498945027</v>
      </c>
      <c r="K9" s="17"/>
      <c r="L9" s="17"/>
      <c r="M9" s="17"/>
      <c r="N9" s="17"/>
      <c r="O9" s="17"/>
      <c r="P9" s="17"/>
      <c r="Q9" s="17"/>
      <c r="R9" s="23">
        <f>(M9/D8)/10</f>
        <v>0</v>
      </c>
      <c r="S9" s="23">
        <f>(N9/D8)/10</f>
        <v>0</v>
      </c>
      <c r="T9" s="23">
        <f t="shared" si="12"/>
        <v>0</v>
      </c>
      <c r="U9" s="174"/>
      <c r="W9" s="16" t="s">
        <v>324</v>
      </c>
      <c r="Y9" s="196"/>
      <c r="Z9" s="2" t="s">
        <v>237</v>
      </c>
      <c r="AA9" s="167"/>
      <c r="AB9" s="228"/>
      <c r="AC9" s="31">
        <v>3351</v>
      </c>
      <c r="AD9" s="31">
        <v>2223</v>
      </c>
      <c r="AE9" s="255"/>
      <c r="AF9" s="255"/>
      <c r="AG9" s="45">
        <f t="shared" si="6"/>
        <v>4.5147301520418556E-2</v>
      </c>
      <c r="AH9" s="18">
        <f t="shared" si="7"/>
        <v>4.6188715202940309E-2</v>
      </c>
      <c r="AI9" s="254"/>
      <c r="AJ9" s="254"/>
      <c r="AK9" s="17" t="e">
        <f>(AG9*#REF!)/$W$10</f>
        <v>#REF!</v>
      </c>
      <c r="AL9" s="17" t="e">
        <f>(AH9*#REF!)/$W$7</f>
        <v>#REF!</v>
      </c>
      <c r="AM9" s="254"/>
      <c r="AN9" s="254"/>
      <c r="AO9" s="17" t="e">
        <f t="shared" si="8"/>
        <v>#REF!</v>
      </c>
      <c r="AP9" s="23" t="e">
        <f>(AK9/AB8)/10</f>
        <v>#REF!</v>
      </c>
      <c r="AQ9" s="23" t="e">
        <f>(AL9/AB8)/10</f>
        <v>#REF!</v>
      </c>
      <c r="AR9" s="23" t="e">
        <f t="shared" ref="AR9" si="17">(AO9/AB8)/10</f>
        <v>#REF!</v>
      </c>
      <c r="AS9" s="174"/>
    </row>
    <row r="10" spans="1:45">
      <c r="A10" s="196" t="s">
        <v>27</v>
      </c>
      <c r="B10" s="2" t="s">
        <v>236</v>
      </c>
      <c r="C10" s="166">
        <v>0.30980000000000002</v>
      </c>
      <c r="D10" s="227">
        <f>C10*('Análisis sólidos'!F10/100)</f>
        <v>0.28256359940469744</v>
      </c>
      <c r="E10" s="17">
        <v>18425</v>
      </c>
      <c r="F10" s="17">
        <v>22422</v>
      </c>
      <c r="G10" s="17"/>
      <c r="H10" s="17">
        <v>1444</v>
      </c>
      <c r="I10" s="45">
        <f t="shared" si="0"/>
        <v>0.1113100881351171</v>
      </c>
      <c r="J10" s="18">
        <f t="shared" si="1"/>
        <v>0.13784195839099758</v>
      </c>
      <c r="K10" s="17"/>
      <c r="L10" s="17"/>
      <c r="M10" s="17"/>
      <c r="N10" s="17"/>
      <c r="O10" s="17"/>
      <c r="P10" s="17"/>
      <c r="Q10" s="17"/>
      <c r="R10" s="23">
        <f t="shared" si="2"/>
        <v>0</v>
      </c>
      <c r="S10" s="23">
        <f t="shared" si="3"/>
        <v>0</v>
      </c>
      <c r="T10" s="23">
        <f>(Q10/D10)/10</f>
        <v>0</v>
      </c>
      <c r="U10" s="174"/>
      <c r="W10" s="17">
        <f>'Análisis carbohidratos'!W15</f>
        <v>0.95144482983140133</v>
      </c>
      <c r="Y10" s="196" t="s">
        <v>27</v>
      </c>
      <c r="Z10" s="2" t="s">
        <v>236</v>
      </c>
      <c r="AA10" s="166">
        <f t="shared" ref="AA10:AB10" si="18">C10</f>
        <v>0.30980000000000002</v>
      </c>
      <c r="AB10" s="227">
        <f t="shared" si="18"/>
        <v>0.28256359940469744</v>
      </c>
      <c r="AC10" s="31">
        <v>4447</v>
      </c>
      <c r="AD10" s="31">
        <v>1516</v>
      </c>
      <c r="AE10" s="255"/>
      <c r="AF10" s="255"/>
      <c r="AG10" s="45">
        <f t="shared" si="6"/>
        <v>4.9957863689034022E-2</v>
      </c>
      <c r="AH10" s="18">
        <f t="shared" si="7"/>
        <v>4.2980692878371939E-2</v>
      </c>
      <c r="AI10" s="254"/>
      <c r="AJ10" s="254"/>
      <c r="AK10" s="17" t="e">
        <f>(AG10*#REF!)/$W$10</f>
        <v>#REF!</v>
      </c>
      <c r="AL10" s="17" t="e">
        <f>(AH10*#REF!)/$W$7</f>
        <v>#REF!</v>
      </c>
      <c r="AM10" s="254"/>
      <c r="AN10" s="254"/>
      <c r="AO10" s="17" t="e">
        <f t="shared" si="8"/>
        <v>#REF!</v>
      </c>
      <c r="AP10" s="23" t="e">
        <f t="shared" si="9"/>
        <v>#REF!</v>
      </c>
      <c r="AQ10" s="23" t="e">
        <f t="shared" si="10"/>
        <v>#REF!</v>
      </c>
      <c r="AR10" s="23" t="e">
        <f>(AO10/AB10)/10</f>
        <v>#REF!</v>
      </c>
      <c r="AS10" s="174"/>
    </row>
    <row r="11" spans="1:45">
      <c r="A11" s="196"/>
      <c r="B11" s="58" t="s">
        <v>237</v>
      </c>
      <c r="C11" s="167"/>
      <c r="D11" s="228"/>
      <c r="E11" s="59">
        <v>18106</v>
      </c>
      <c r="F11" s="59">
        <v>21569</v>
      </c>
      <c r="G11" s="59"/>
      <c r="H11" s="59">
        <v>1279</v>
      </c>
      <c r="I11" s="52">
        <f t="shared" si="0"/>
        <v>0.10990993363531022</v>
      </c>
      <c r="J11" s="53">
        <f t="shared" si="1"/>
        <v>0.1339714590375933</v>
      </c>
      <c r="K11" s="59"/>
      <c r="L11" s="59"/>
      <c r="M11" s="59"/>
      <c r="N11" s="59"/>
      <c r="O11" s="59"/>
      <c r="P11" s="59"/>
      <c r="Q11" s="59"/>
      <c r="R11" s="54">
        <f>(M11/D10)/10</f>
        <v>0</v>
      </c>
      <c r="S11" s="54">
        <f>(N11/D10)/10</f>
        <v>0</v>
      </c>
      <c r="T11" s="54">
        <f t="shared" si="12"/>
        <v>0</v>
      </c>
      <c r="U11" s="174"/>
      <c r="Y11" s="196"/>
      <c r="Z11" s="58" t="s">
        <v>237</v>
      </c>
      <c r="AA11" s="167"/>
      <c r="AB11" s="228"/>
      <c r="AC11" s="31">
        <v>4406</v>
      </c>
      <c r="AD11" s="31">
        <v>1675</v>
      </c>
      <c r="AE11" s="255"/>
      <c r="AF11" s="255"/>
      <c r="AG11" s="52">
        <f t="shared" si="6"/>
        <v>4.9777906527616843E-2</v>
      </c>
      <c r="AH11" s="53">
        <f t="shared" si="7"/>
        <v>4.3702157587857608E-2</v>
      </c>
      <c r="AI11" s="254"/>
      <c r="AJ11" s="254"/>
      <c r="AK11" s="59" t="e">
        <f>(AG11*#REF!)/$W$10</f>
        <v>#REF!</v>
      </c>
      <c r="AL11" s="59" t="e">
        <f>(AH11*#REF!)/$W$7</f>
        <v>#REF!</v>
      </c>
      <c r="AM11" s="254"/>
      <c r="AN11" s="254"/>
      <c r="AO11" s="59" t="e">
        <f t="shared" si="8"/>
        <v>#REF!</v>
      </c>
      <c r="AP11" s="54" t="e">
        <f>(AK11/AB10)/10</f>
        <v>#REF!</v>
      </c>
      <c r="AQ11" s="54" t="e">
        <f>(AL11/AB10)/10</f>
        <v>#REF!</v>
      </c>
      <c r="AR11" s="54" t="e">
        <f t="shared" ref="AR11" si="19">(AO11/AB10)/10</f>
        <v>#REF!</v>
      </c>
      <c r="AS11" s="174"/>
    </row>
    <row r="12" spans="1:45">
      <c r="A12" s="196" t="s">
        <v>29</v>
      </c>
      <c r="B12" s="60" t="s">
        <v>236</v>
      </c>
      <c r="C12" s="231">
        <v>0.32319999999999999</v>
      </c>
      <c r="D12" s="227">
        <f>C12*('Análisis sólidos'!F11/100)</f>
        <v>0.28415390327308271</v>
      </c>
      <c r="E12" s="61">
        <v>29105</v>
      </c>
      <c r="F12" s="61"/>
      <c r="G12" s="61"/>
      <c r="H12" s="61">
        <v>4948</v>
      </c>
      <c r="I12" s="55">
        <f t="shared" si="0"/>
        <v>0.15818673408476422</v>
      </c>
      <c r="J12" s="56">
        <f t="shared" si="1"/>
        <v>3.6101821811829297E-2</v>
      </c>
      <c r="K12" s="61"/>
      <c r="L12" s="61"/>
      <c r="M12" s="61"/>
      <c r="N12" s="61"/>
      <c r="O12" s="61"/>
      <c r="P12" s="61"/>
      <c r="Q12" s="61"/>
      <c r="R12" s="57">
        <f t="shared" si="2"/>
        <v>0</v>
      </c>
      <c r="S12" s="57">
        <f t="shared" si="3"/>
        <v>0</v>
      </c>
      <c r="T12" s="54">
        <f>(Q12/D12)/10</f>
        <v>0</v>
      </c>
      <c r="U12" s="173">
        <f>STDEV(T14:T15)</f>
        <v>0</v>
      </c>
      <c r="W12" s="16" t="s">
        <v>325</v>
      </c>
      <c r="Y12" s="196" t="s">
        <v>29</v>
      </c>
      <c r="Z12" s="60" t="s">
        <v>236</v>
      </c>
      <c r="AA12" s="166">
        <f t="shared" ref="AA12:AB12" si="20">C12</f>
        <v>0.32319999999999999</v>
      </c>
      <c r="AB12" s="227">
        <f t="shared" si="20"/>
        <v>0.28415390327308271</v>
      </c>
      <c r="AC12" s="31">
        <v>4832</v>
      </c>
      <c r="AD12" s="31">
        <v>958</v>
      </c>
      <c r="AE12" s="255"/>
      <c r="AF12" s="255"/>
      <c r="AG12" s="55">
        <f t="shared" si="6"/>
        <v>5.1647705326731977E-2</v>
      </c>
      <c r="AH12" s="56">
        <f t="shared" si="7"/>
        <v>4.0448760124327875E-2</v>
      </c>
      <c r="AI12" s="254"/>
      <c r="AJ12" s="254"/>
      <c r="AK12" s="61" t="e">
        <f>(AG12*#REF!)/$W$10</f>
        <v>#REF!</v>
      </c>
      <c r="AL12" s="61" t="e">
        <f>(AH12*#REF!)/$W$7</f>
        <v>#REF!</v>
      </c>
      <c r="AM12" s="254"/>
      <c r="AN12" s="254"/>
      <c r="AO12" s="61" t="e">
        <f t="shared" si="8"/>
        <v>#REF!</v>
      </c>
      <c r="AP12" s="57" t="e">
        <f t="shared" si="9"/>
        <v>#REF!</v>
      </c>
      <c r="AQ12" s="57" t="e">
        <f t="shared" si="10"/>
        <v>#REF!</v>
      </c>
      <c r="AR12" s="57" t="e">
        <f>(AO12/AB12)/10</f>
        <v>#REF!</v>
      </c>
      <c r="AS12" s="174" t="e">
        <f>STDEV(AR12:AR13,AR15)</f>
        <v>#REF!</v>
      </c>
    </row>
    <row r="13" spans="1:45">
      <c r="A13" s="196"/>
      <c r="B13" s="60" t="s">
        <v>237</v>
      </c>
      <c r="C13" s="232"/>
      <c r="D13" s="228"/>
      <c r="E13" s="61">
        <v>29786</v>
      </c>
      <c r="F13" s="61"/>
      <c r="G13" s="61"/>
      <c r="H13" s="61">
        <v>4538</v>
      </c>
      <c r="I13" s="55">
        <f t="shared" si="0"/>
        <v>0.16117577864391305</v>
      </c>
      <c r="J13" s="56">
        <f t="shared" si="1"/>
        <v>3.6101821811829297E-2</v>
      </c>
      <c r="K13" s="61"/>
      <c r="L13" s="61"/>
      <c r="M13" s="61"/>
      <c r="N13" s="61"/>
      <c r="O13" s="61"/>
      <c r="P13" s="61"/>
      <c r="Q13" s="61"/>
      <c r="R13" s="57">
        <f>(M13/D12)/10</f>
        <v>0</v>
      </c>
      <c r="S13" s="57">
        <f>(N13/D12)/10</f>
        <v>0</v>
      </c>
      <c r="T13" s="54">
        <f t="shared" si="12"/>
        <v>0</v>
      </c>
      <c r="U13" s="173"/>
      <c r="W13" s="17">
        <f>'Análisis carbohidratos'!W18</f>
        <v>0.46912991810840182</v>
      </c>
      <c r="Y13" s="196"/>
      <c r="Z13" s="60" t="s">
        <v>237</v>
      </c>
      <c r="AA13" s="167"/>
      <c r="AB13" s="228"/>
      <c r="AC13" s="31">
        <v>4912</v>
      </c>
      <c r="AD13" s="31">
        <v>1015</v>
      </c>
      <c r="AE13" s="255"/>
      <c r="AF13" s="255"/>
      <c r="AG13" s="55">
        <f t="shared" si="6"/>
        <v>5.1998841251448435E-2</v>
      </c>
      <c r="AH13" s="56">
        <f t="shared" si="7"/>
        <v>4.070739841640765E-2</v>
      </c>
      <c r="AI13" s="254"/>
      <c r="AJ13" s="254"/>
      <c r="AK13" s="61" t="e">
        <f>(AG13*#REF!)/$W$10</f>
        <v>#REF!</v>
      </c>
      <c r="AL13" s="61" t="e">
        <f>(AH13*#REF!)/$W$7</f>
        <v>#REF!</v>
      </c>
      <c r="AM13" s="254"/>
      <c r="AN13" s="254"/>
      <c r="AO13" s="61" t="e">
        <f t="shared" si="8"/>
        <v>#REF!</v>
      </c>
      <c r="AP13" s="57" t="e">
        <f>(AK13/AB12)/10</f>
        <v>#REF!</v>
      </c>
      <c r="AQ13" s="57" t="e">
        <f>(AL13/AB12)/10</f>
        <v>#REF!</v>
      </c>
      <c r="AR13" s="57" t="e">
        <f t="shared" ref="AR13" si="21">(AO13/AB12)/10</f>
        <v>#REF!</v>
      </c>
      <c r="AS13" s="174"/>
    </row>
    <row r="14" spans="1:45">
      <c r="A14" s="196" t="s">
        <v>33</v>
      </c>
      <c r="B14" s="58" t="s">
        <v>236</v>
      </c>
      <c r="C14" s="233">
        <v>0.31940000000000002</v>
      </c>
      <c r="D14" s="227">
        <f>C14*('Análisis sólidos'!F12/100)</f>
        <v>0.26152228095267716</v>
      </c>
      <c r="E14" s="59">
        <v>31394</v>
      </c>
      <c r="F14" s="59"/>
      <c r="G14" s="59"/>
      <c r="H14" s="59">
        <v>4212</v>
      </c>
      <c r="I14" s="52">
        <f t="shared" si="0"/>
        <v>0.16823361073071386</v>
      </c>
      <c r="J14" s="53">
        <f t="shared" si="1"/>
        <v>3.6101821811829297E-2</v>
      </c>
      <c r="K14" s="59"/>
      <c r="L14" s="59"/>
      <c r="M14" s="59"/>
      <c r="N14" s="59"/>
      <c r="O14" s="59"/>
      <c r="P14" s="59"/>
      <c r="Q14" s="59"/>
      <c r="R14" s="54">
        <f t="shared" si="2"/>
        <v>0</v>
      </c>
      <c r="S14" s="54">
        <f t="shared" si="3"/>
        <v>0</v>
      </c>
      <c r="T14" s="54">
        <f>(Q14/D14)/10</f>
        <v>0</v>
      </c>
      <c r="U14" s="173"/>
      <c r="Y14" s="196" t="s">
        <v>33</v>
      </c>
      <c r="Z14" s="58" t="s">
        <v>236</v>
      </c>
      <c r="AA14" s="166">
        <f t="shared" ref="AA14:AB14" si="22">C14</f>
        <v>0.31940000000000002</v>
      </c>
      <c r="AB14" s="227">
        <f t="shared" si="22"/>
        <v>0.26152228095267716</v>
      </c>
      <c r="AC14" s="31">
        <v>7733</v>
      </c>
      <c r="AD14" s="31">
        <v>959</v>
      </c>
      <c r="AE14" s="255"/>
      <c r="AF14" s="255"/>
      <c r="AG14" s="52">
        <f t="shared" si="6"/>
        <v>6.438077179676252E-2</v>
      </c>
      <c r="AH14" s="53">
        <f t="shared" si="7"/>
        <v>4.0453297638224014E-2</v>
      </c>
      <c r="AI14" s="254"/>
      <c r="AJ14" s="254"/>
      <c r="AK14" s="59" t="e">
        <f>(AG14*#REF!)/$W$10</f>
        <v>#REF!</v>
      </c>
      <c r="AL14" s="59" t="e">
        <f>(AH14*#REF!)/$W$7</f>
        <v>#REF!</v>
      </c>
      <c r="AM14" s="254"/>
      <c r="AN14" s="254"/>
      <c r="AO14" s="59" t="e">
        <f t="shared" si="8"/>
        <v>#REF!</v>
      </c>
      <c r="AP14" s="54" t="e">
        <f t="shared" si="9"/>
        <v>#REF!</v>
      </c>
      <c r="AQ14" s="54" t="e">
        <f t="shared" si="10"/>
        <v>#REF!</v>
      </c>
      <c r="AR14" s="54" t="e">
        <f>(AO14/AB14)/10</f>
        <v>#REF!</v>
      </c>
      <c r="AS14" s="174"/>
    </row>
    <row r="15" spans="1:45">
      <c r="A15" s="196"/>
      <c r="B15" s="2" t="s">
        <v>237</v>
      </c>
      <c r="C15" s="234"/>
      <c r="D15" s="228"/>
      <c r="E15" s="17">
        <v>33805</v>
      </c>
      <c r="F15" s="17"/>
      <c r="G15" s="17"/>
      <c r="H15" s="17">
        <v>4297</v>
      </c>
      <c r="I15" s="45">
        <f t="shared" si="0"/>
        <v>0.17881596966185612</v>
      </c>
      <c r="J15" s="18">
        <f t="shared" si="1"/>
        <v>3.6101821811829297E-2</v>
      </c>
      <c r="K15" s="17"/>
      <c r="L15" s="17"/>
      <c r="M15" s="17"/>
      <c r="N15" s="17"/>
      <c r="O15" s="17"/>
      <c r="P15" s="17"/>
      <c r="Q15" s="17"/>
      <c r="R15" s="23">
        <f>(M15/D14)/10</f>
        <v>0</v>
      </c>
      <c r="S15" s="23">
        <f>(N15/D14)/10</f>
        <v>0</v>
      </c>
      <c r="T15" s="57">
        <f t="shared" si="12"/>
        <v>0</v>
      </c>
      <c r="U15" s="173"/>
      <c r="Y15" s="196"/>
      <c r="Z15" s="2" t="s">
        <v>237</v>
      </c>
      <c r="AA15" s="167"/>
      <c r="AB15" s="228"/>
      <c r="AC15" s="31">
        <v>7647</v>
      </c>
      <c r="AD15" s="31">
        <v>1075</v>
      </c>
      <c r="AE15" s="255"/>
      <c r="AF15" s="255"/>
      <c r="AG15" s="45">
        <f t="shared" si="6"/>
        <v>6.4003300677692332E-2</v>
      </c>
      <c r="AH15" s="18">
        <f t="shared" si="7"/>
        <v>4.0979649250175824E-2</v>
      </c>
      <c r="AI15" s="254"/>
      <c r="AJ15" s="254"/>
      <c r="AK15" s="17" t="e">
        <f>(AG15*#REF!)/$W$10</f>
        <v>#REF!</v>
      </c>
      <c r="AL15" s="17" t="e">
        <f>(AH15*#REF!)/$W$7</f>
        <v>#REF!</v>
      </c>
      <c r="AM15" s="254"/>
      <c r="AN15" s="254"/>
      <c r="AO15" s="17" t="e">
        <f t="shared" si="8"/>
        <v>#REF!</v>
      </c>
      <c r="AP15" s="23" t="e">
        <f>(AK15/AB14)/10</f>
        <v>#REF!</v>
      </c>
      <c r="AQ15" s="23" t="e">
        <f>(AL15/AB14)/10</f>
        <v>#REF!</v>
      </c>
      <c r="AR15" s="23" t="e">
        <f t="shared" ref="AR15" si="23">(AO15/AB14)/10</f>
        <v>#REF!</v>
      </c>
      <c r="AS15" s="174"/>
    </row>
    <row r="16" spans="1:45">
      <c r="A16" s="196" t="s">
        <v>35</v>
      </c>
      <c r="B16" s="2" t="s">
        <v>236</v>
      </c>
      <c r="C16" s="166">
        <v>0.31540000000000001</v>
      </c>
      <c r="D16" s="227">
        <f>C16*('Análisis sólidos'!F13/100)</f>
        <v>0.29115328377965588</v>
      </c>
      <c r="E16" s="17">
        <v>28605</v>
      </c>
      <c r="F16" s="17"/>
      <c r="G16" s="17"/>
      <c r="H16" s="17">
        <v>6380</v>
      </c>
      <c r="I16" s="45">
        <f t="shared" si="0"/>
        <v>0.15599213455528635</v>
      </c>
      <c r="J16" s="18">
        <f t="shared" si="1"/>
        <v>3.6101821811829297E-2</v>
      </c>
      <c r="K16" s="17"/>
      <c r="L16" s="17"/>
      <c r="M16" s="17"/>
      <c r="N16" s="17"/>
      <c r="O16" s="17"/>
      <c r="P16" s="17"/>
      <c r="Q16" s="17"/>
      <c r="R16" s="23">
        <f t="shared" si="2"/>
        <v>0</v>
      </c>
      <c r="S16" s="23">
        <f t="shared" si="3"/>
        <v>0</v>
      </c>
      <c r="T16" s="57">
        <f>(Q16/D16)/10</f>
        <v>0</v>
      </c>
      <c r="U16" s="174">
        <f t="shared" ref="U16" si="24">STDEV(T16:T19)</f>
        <v>0</v>
      </c>
      <c r="Y16" s="196" t="s">
        <v>35</v>
      </c>
      <c r="Z16" s="2" t="s">
        <v>236</v>
      </c>
      <c r="AA16" s="166">
        <f t="shared" ref="AA16:AB16" si="25">C16</f>
        <v>0.31540000000000001</v>
      </c>
      <c r="AB16" s="227">
        <f t="shared" si="25"/>
        <v>0.29115328377965588</v>
      </c>
      <c r="AC16" s="31">
        <v>1154</v>
      </c>
      <c r="AD16" s="31">
        <v>707</v>
      </c>
      <c r="AE16" s="255"/>
      <c r="AF16" s="255"/>
      <c r="AG16" s="45">
        <f t="shared" si="6"/>
        <v>3.550423118789283E-2</v>
      </c>
      <c r="AH16" s="18">
        <f t="shared" si="7"/>
        <v>3.9309844136397668E-2</v>
      </c>
      <c r="AI16" s="254"/>
      <c r="AJ16" s="254"/>
      <c r="AK16" s="17" t="e">
        <f>(AG16*#REF!)/$W$10</f>
        <v>#REF!</v>
      </c>
      <c r="AL16" s="17" t="e">
        <f>(AH16*#REF!)/$W$7</f>
        <v>#REF!</v>
      </c>
      <c r="AM16" s="254"/>
      <c r="AN16" s="254"/>
      <c r="AO16" s="17" t="e">
        <f t="shared" si="8"/>
        <v>#REF!</v>
      </c>
      <c r="AP16" s="23" t="e">
        <f t="shared" si="9"/>
        <v>#REF!</v>
      </c>
      <c r="AQ16" s="23" t="e">
        <f t="shared" si="10"/>
        <v>#REF!</v>
      </c>
      <c r="AR16" s="23" t="e">
        <f>(AO16/AB16)/10</f>
        <v>#REF!</v>
      </c>
      <c r="AS16" s="174" t="e">
        <f t="shared" ref="AS16" si="26">STDEV(AR16:AR19)</f>
        <v>#REF!</v>
      </c>
    </row>
    <row r="17" spans="1:45">
      <c r="A17" s="196"/>
      <c r="B17" s="2" t="s">
        <v>237</v>
      </c>
      <c r="C17" s="167"/>
      <c r="D17" s="228"/>
      <c r="E17" s="17">
        <v>29812</v>
      </c>
      <c r="F17" s="17"/>
      <c r="G17" s="17"/>
      <c r="H17" s="17">
        <v>6221</v>
      </c>
      <c r="I17" s="45">
        <f t="shared" si="0"/>
        <v>0.16128989781944592</v>
      </c>
      <c r="J17" s="18">
        <f t="shared" si="1"/>
        <v>3.6101821811829297E-2</v>
      </c>
      <c r="K17" s="17"/>
      <c r="L17" s="17"/>
      <c r="M17" s="17"/>
      <c r="N17" s="17"/>
      <c r="O17" s="17"/>
      <c r="P17" s="17"/>
      <c r="Q17" s="17"/>
      <c r="R17" s="23">
        <f>(M17/D16)/10</f>
        <v>0</v>
      </c>
      <c r="S17" s="23">
        <f>(N17/D16)/10</f>
        <v>0</v>
      </c>
      <c r="T17" s="57">
        <f t="shared" si="12"/>
        <v>0</v>
      </c>
      <c r="U17" s="174"/>
      <c r="Y17" s="196"/>
      <c r="Z17" s="2" t="s">
        <v>237</v>
      </c>
      <c r="AA17" s="167"/>
      <c r="AB17" s="228"/>
      <c r="AC17" s="31">
        <v>988</v>
      </c>
      <c r="AD17" s="31">
        <v>777</v>
      </c>
      <c r="AE17" s="255"/>
      <c r="AF17" s="255"/>
      <c r="AG17" s="45">
        <f t="shared" si="6"/>
        <v>3.4775624144106183E-2</v>
      </c>
      <c r="AH17" s="18">
        <f t="shared" si="7"/>
        <v>3.9627470109127205E-2</v>
      </c>
      <c r="AI17" s="254"/>
      <c r="AJ17" s="254"/>
      <c r="AK17" s="17" t="e">
        <f>(AG17*#REF!)/$W$10</f>
        <v>#REF!</v>
      </c>
      <c r="AL17" s="17" t="e">
        <f>(AH17*#REF!)/$W$7</f>
        <v>#REF!</v>
      </c>
      <c r="AM17" s="254"/>
      <c r="AN17" s="254"/>
      <c r="AO17" s="17" t="e">
        <f t="shared" si="8"/>
        <v>#REF!</v>
      </c>
      <c r="AP17" s="23" t="e">
        <f>(AK17/AB16)/10</f>
        <v>#REF!</v>
      </c>
      <c r="AQ17" s="23" t="e">
        <f>(AL17/AB16)/10</f>
        <v>#REF!</v>
      </c>
      <c r="AR17" s="23" t="e">
        <f t="shared" ref="AR17" si="27">(AO17/AB16)/10</f>
        <v>#REF!</v>
      </c>
      <c r="AS17" s="174"/>
    </row>
    <row r="18" spans="1:45">
      <c r="A18" s="196" t="s">
        <v>36</v>
      </c>
      <c r="B18" s="2" t="s">
        <v>236</v>
      </c>
      <c r="C18" s="166">
        <v>0.31090000000000001</v>
      </c>
      <c r="D18" s="227">
        <f>C18*('Análisis sólidos'!F14/100)</f>
        <v>0.29406762251230473</v>
      </c>
      <c r="E18" s="17">
        <v>28782</v>
      </c>
      <c r="F18" s="17"/>
      <c r="G18" s="17"/>
      <c r="H18" s="17">
        <v>6762</v>
      </c>
      <c r="I18" s="45">
        <f t="shared" si="0"/>
        <v>0.15676902278872151</v>
      </c>
      <c r="J18" s="18">
        <f t="shared" si="1"/>
        <v>3.6101821811829297E-2</v>
      </c>
      <c r="K18" s="17"/>
      <c r="L18" s="17"/>
      <c r="M18" s="17"/>
      <c r="N18" s="17"/>
      <c r="O18" s="17"/>
      <c r="P18" s="17"/>
      <c r="Q18" s="17"/>
      <c r="R18" s="23">
        <f t="shared" si="2"/>
        <v>0</v>
      </c>
      <c r="S18" s="23">
        <f t="shared" si="3"/>
        <v>0</v>
      </c>
      <c r="T18" s="54">
        <f>(Q18/D18)/10</f>
        <v>0</v>
      </c>
      <c r="U18" s="174"/>
      <c r="Y18" s="196" t="s">
        <v>36</v>
      </c>
      <c r="Z18" s="2" t="s">
        <v>236</v>
      </c>
      <c r="AA18" s="166">
        <f t="shared" ref="AA18:AB18" si="28">C18</f>
        <v>0.31090000000000001</v>
      </c>
      <c r="AB18" s="227">
        <f t="shared" si="28"/>
        <v>0.29406762251230473</v>
      </c>
      <c r="AC18" s="31">
        <v>1547</v>
      </c>
      <c r="AD18" s="226"/>
      <c r="AE18" s="255"/>
      <c r="AF18" s="255"/>
      <c r="AG18" s="45">
        <f t="shared" si="6"/>
        <v>3.7229186418062429E-2</v>
      </c>
      <c r="AH18" s="226"/>
      <c r="AI18" s="254"/>
      <c r="AJ18" s="254"/>
      <c r="AK18" s="17" t="e">
        <f>(AG18*#REF!)/$W$10</f>
        <v>#REF!</v>
      </c>
      <c r="AL18" s="226"/>
      <c r="AM18" s="254"/>
      <c r="AN18" s="254"/>
      <c r="AO18" s="17" t="e">
        <f t="shared" si="8"/>
        <v>#REF!</v>
      </c>
      <c r="AP18" s="23" t="e">
        <f t="shared" si="9"/>
        <v>#REF!</v>
      </c>
      <c r="AQ18" s="226"/>
      <c r="AR18" s="23" t="e">
        <f>(AO18/AB18)/10</f>
        <v>#REF!</v>
      </c>
      <c r="AS18" s="174"/>
    </row>
    <row r="19" spans="1:45">
      <c r="A19" s="196"/>
      <c r="B19" s="2" t="s">
        <v>237</v>
      </c>
      <c r="C19" s="167"/>
      <c r="D19" s="228"/>
      <c r="E19" s="17">
        <v>31944</v>
      </c>
      <c r="F19" s="17"/>
      <c r="G19" s="17"/>
      <c r="H19" s="17">
        <v>8096</v>
      </c>
      <c r="I19" s="45">
        <f t="shared" si="0"/>
        <v>0.17064767021313951</v>
      </c>
      <c r="J19" s="18">
        <f t="shared" si="1"/>
        <v>3.6101821811829297E-2</v>
      </c>
      <c r="K19" s="17"/>
      <c r="L19" s="17"/>
      <c r="M19" s="17"/>
      <c r="N19" s="17"/>
      <c r="O19" s="17"/>
      <c r="P19" s="17"/>
      <c r="Q19" s="17"/>
      <c r="R19" s="23">
        <f>(M19/D18)/10</f>
        <v>0</v>
      </c>
      <c r="S19" s="23">
        <f>(N19/D18)/10</f>
        <v>0</v>
      </c>
      <c r="T19" s="54">
        <f t="shared" si="12"/>
        <v>0</v>
      </c>
      <c r="U19" s="174"/>
      <c r="Y19" s="196"/>
      <c r="Z19" s="2" t="s">
        <v>237</v>
      </c>
      <c r="AA19" s="167"/>
      <c r="AB19" s="228"/>
      <c r="AC19" s="31">
        <v>1287</v>
      </c>
      <c r="AD19" s="226"/>
      <c r="AE19" s="255"/>
      <c r="AF19" s="255"/>
      <c r="AG19" s="45">
        <f t="shared" si="6"/>
        <v>3.6087994662733942E-2</v>
      </c>
      <c r="AH19" s="226"/>
      <c r="AI19" s="254"/>
      <c r="AJ19" s="254"/>
      <c r="AK19" s="17" t="e">
        <f>(AG19*#REF!)/$W$10</f>
        <v>#REF!</v>
      </c>
      <c r="AL19" s="226"/>
      <c r="AM19" s="254"/>
      <c r="AN19" s="254"/>
      <c r="AO19" s="17" t="e">
        <f t="shared" si="8"/>
        <v>#REF!</v>
      </c>
      <c r="AP19" s="23" t="e">
        <f>(AK19/AB18)/10</f>
        <v>#REF!</v>
      </c>
      <c r="AQ19" s="226"/>
      <c r="AR19" s="23" t="e">
        <f t="shared" ref="AR19" si="29">(AO19/AB18)/10</f>
        <v>#REF!</v>
      </c>
      <c r="AS19" s="174"/>
    </row>
    <row r="20" spans="1:45">
      <c r="A20" s="196" t="s">
        <v>39</v>
      </c>
      <c r="B20" s="2" t="s">
        <v>236</v>
      </c>
      <c r="C20" s="166">
        <v>0.31630000000000003</v>
      </c>
      <c r="D20" s="227">
        <f>C20*('Análisis sólidos'!F15/100)</f>
        <v>0.29610214538112095</v>
      </c>
      <c r="E20" s="17">
        <v>21087</v>
      </c>
      <c r="F20" s="17"/>
      <c r="G20" s="17"/>
      <c r="H20" s="17">
        <v>3576</v>
      </c>
      <c r="I20" s="45">
        <f t="shared" si="0"/>
        <v>0.12299413603005724</v>
      </c>
      <c r="J20" s="18">
        <f t="shared" si="1"/>
        <v>3.6101821811829297E-2</v>
      </c>
      <c r="K20" s="17"/>
      <c r="L20" s="17"/>
      <c r="M20" s="17"/>
      <c r="N20" s="17"/>
      <c r="O20" s="17"/>
      <c r="P20" s="17"/>
      <c r="Q20" s="17"/>
      <c r="R20" s="23">
        <f t="shared" si="2"/>
        <v>0</v>
      </c>
      <c r="S20" s="23">
        <f t="shared" si="3"/>
        <v>0</v>
      </c>
      <c r="T20" s="23">
        <f>(Q20/D20)/10</f>
        <v>0</v>
      </c>
      <c r="U20" s="174">
        <f t="shared" ref="U20" si="30">STDEV(T20:T23)</f>
        <v>0</v>
      </c>
      <c r="Y20" s="196" t="s">
        <v>39</v>
      </c>
      <c r="Z20" s="2" t="s">
        <v>236</v>
      </c>
      <c r="AA20" s="166">
        <f t="shared" ref="AA20:AB20" si="31">C20</f>
        <v>0.31630000000000003</v>
      </c>
      <c r="AB20" s="227">
        <f t="shared" si="31"/>
        <v>0.29610214538112095</v>
      </c>
      <c r="AC20" s="31">
        <v>1535</v>
      </c>
      <c r="AD20" s="31">
        <v>1311</v>
      </c>
      <c r="AE20" s="255"/>
      <c r="AF20" s="255"/>
      <c r="AG20" s="45">
        <f t="shared" si="6"/>
        <v>3.7176516029354963E-2</v>
      </c>
      <c r="AH20" s="18">
        <f t="shared" ref="AH20:AH27" si="32">(AD20-$J$32)/$I$32</f>
        <v>4.2050502529663997E-2</v>
      </c>
      <c r="AI20" s="254"/>
      <c r="AJ20" s="254"/>
      <c r="AK20" s="17" t="e">
        <f>(AG20*#REF!)/$W$10</f>
        <v>#REF!</v>
      </c>
      <c r="AL20" s="17" t="e">
        <f>(AH20*#REF!)/$W$7</f>
        <v>#REF!</v>
      </c>
      <c r="AM20" s="254"/>
      <c r="AN20" s="254"/>
      <c r="AO20" s="17" t="e">
        <f t="shared" si="8"/>
        <v>#REF!</v>
      </c>
      <c r="AP20" s="23" t="e">
        <f t="shared" si="9"/>
        <v>#REF!</v>
      </c>
      <c r="AQ20" s="23" t="e">
        <f t="shared" si="10"/>
        <v>#REF!</v>
      </c>
      <c r="AR20" s="23" t="e">
        <f>(AO20/AB20)/10</f>
        <v>#REF!</v>
      </c>
      <c r="AS20" s="174" t="e">
        <f t="shared" ref="AS20" si="33">STDEV(AR20:AR23)</f>
        <v>#REF!</v>
      </c>
    </row>
    <row r="21" spans="1:45">
      <c r="A21" s="196"/>
      <c r="B21" s="2" t="s">
        <v>237</v>
      </c>
      <c r="C21" s="167"/>
      <c r="D21" s="228"/>
      <c r="E21" s="17">
        <v>21878</v>
      </c>
      <c r="F21" s="17"/>
      <c r="G21" s="17"/>
      <c r="H21" s="17">
        <v>3789</v>
      </c>
      <c r="I21" s="45">
        <f t="shared" si="0"/>
        <v>0.12646599248569121</v>
      </c>
      <c r="J21" s="18">
        <f t="shared" si="1"/>
        <v>3.6101821811829297E-2</v>
      </c>
      <c r="K21" s="17"/>
      <c r="L21" s="17"/>
      <c r="M21" s="17"/>
      <c r="N21" s="17"/>
      <c r="O21" s="17"/>
      <c r="P21" s="17"/>
      <c r="Q21" s="17"/>
      <c r="R21" s="23">
        <f>(M21/D20)/10</f>
        <v>0</v>
      </c>
      <c r="S21" s="23">
        <f>(N21/D20)/10</f>
        <v>0</v>
      </c>
      <c r="T21" s="23">
        <f t="shared" si="12"/>
        <v>0</v>
      </c>
      <c r="U21" s="174"/>
      <c r="Y21" s="196"/>
      <c r="Z21" s="2" t="s">
        <v>237</v>
      </c>
      <c r="AA21" s="167"/>
      <c r="AB21" s="228"/>
      <c r="AC21" s="31">
        <v>1400</v>
      </c>
      <c r="AD21" s="31">
        <v>1341</v>
      </c>
      <c r="AE21" s="255"/>
      <c r="AF21" s="255"/>
      <c r="AG21" s="45">
        <f t="shared" si="6"/>
        <v>3.6583974156395943E-2</v>
      </c>
      <c r="AH21" s="18">
        <f t="shared" si="32"/>
        <v>4.218662794654808E-2</v>
      </c>
      <c r="AI21" s="254"/>
      <c r="AJ21" s="254"/>
      <c r="AK21" s="17" t="e">
        <f>(AG21*#REF!)/$W$10</f>
        <v>#REF!</v>
      </c>
      <c r="AL21" s="17" t="e">
        <f>(AH21*#REF!)/$W$7</f>
        <v>#REF!</v>
      </c>
      <c r="AM21" s="254"/>
      <c r="AN21" s="254"/>
      <c r="AO21" s="17" t="e">
        <f t="shared" si="8"/>
        <v>#REF!</v>
      </c>
      <c r="AP21" s="23" t="e">
        <f>(AK21/AB20)/10</f>
        <v>#REF!</v>
      </c>
      <c r="AQ21" s="23" t="e">
        <f>(AL21/AB20)/10</f>
        <v>#REF!</v>
      </c>
      <c r="AR21" s="23" t="e">
        <f t="shared" ref="AR21" si="34">(AO21/AB20)/10</f>
        <v>#REF!</v>
      </c>
      <c r="AS21" s="174"/>
    </row>
    <row r="22" spans="1:45">
      <c r="A22" s="196" t="s">
        <v>42</v>
      </c>
      <c r="B22" s="2" t="s">
        <v>236</v>
      </c>
      <c r="C22" s="166">
        <v>0.31019999999999998</v>
      </c>
      <c r="D22" s="227">
        <f>C22*('Análisis sólidos'!F16/100)</f>
        <v>0.28114246398477838</v>
      </c>
      <c r="E22" s="17">
        <v>19337</v>
      </c>
      <c r="F22" s="17"/>
      <c r="G22" s="17"/>
      <c r="H22" s="17">
        <v>4508</v>
      </c>
      <c r="I22" s="45">
        <f t="shared" si="0"/>
        <v>0.11531303767688472</v>
      </c>
      <c r="J22" s="18">
        <f t="shared" si="1"/>
        <v>3.6101821811829297E-2</v>
      </c>
      <c r="K22" s="17"/>
      <c r="L22" s="17"/>
      <c r="M22" s="17"/>
      <c r="N22" s="17"/>
      <c r="O22" s="17"/>
      <c r="P22" s="17"/>
      <c r="Q22" s="17"/>
      <c r="R22" s="23">
        <f t="shared" si="2"/>
        <v>0</v>
      </c>
      <c r="S22" s="23">
        <f t="shared" si="3"/>
        <v>0</v>
      </c>
      <c r="T22" s="23">
        <f>(Q22/D22)/10</f>
        <v>0</v>
      </c>
      <c r="U22" s="174"/>
      <c r="Y22" s="196" t="s">
        <v>42</v>
      </c>
      <c r="Z22" s="2" t="s">
        <v>236</v>
      </c>
      <c r="AA22" s="166">
        <f t="shared" ref="AA22:AB22" si="35">C22</f>
        <v>0.31019999999999998</v>
      </c>
      <c r="AB22" s="227">
        <f t="shared" si="35"/>
        <v>0.28114246398477838</v>
      </c>
      <c r="AC22" s="31">
        <v>1525</v>
      </c>
      <c r="AD22" s="31">
        <v>1322</v>
      </c>
      <c r="AE22" s="255"/>
      <c r="AF22" s="255"/>
      <c r="AG22" s="45">
        <f t="shared" si="6"/>
        <v>3.7132624038765404E-2</v>
      </c>
      <c r="AH22" s="18">
        <f t="shared" si="32"/>
        <v>4.2100415182521493E-2</v>
      </c>
      <c r="AI22" s="254"/>
      <c r="AJ22" s="254"/>
      <c r="AK22" s="17" t="e">
        <f>(AG22*#REF!)/$W$10</f>
        <v>#REF!</v>
      </c>
      <c r="AL22" s="17" t="e">
        <f>(AH22*#REF!)/$W$7</f>
        <v>#REF!</v>
      </c>
      <c r="AM22" s="254"/>
      <c r="AN22" s="254"/>
      <c r="AO22" s="17" t="e">
        <f t="shared" si="8"/>
        <v>#REF!</v>
      </c>
      <c r="AP22" s="23" t="e">
        <f t="shared" si="9"/>
        <v>#REF!</v>
      </c>
      <c r="AQ22" s="23" t="e">
        <f t="shared" si="10"/>
        <v>#REF!</v>
      </c>
      <c r="AR22" s="23" t="e">
        <f>(AO22/AB22)/10</f>
        <v>#REF!</v>
      </c>
      <c r="AS22" s="174"/>
    </row>
    <row r="23" spans="1:45">
      <c r="A23" s="196"/>
      <c r="B23" s="2" t="s">
        <v>237</v>
      </c>
      <c r="C23" s="167"/>
      <c r="D23" s="228"/>
      <c r="E23" s="17">
        <v>19622</v>
      </c>
      <c r="F23" s="17"/>
      <c r="G23" s="17"/>
      <c r="H23" s="17">
        <v>5055</v>
      </c>
      <c r="I23" s="45">
        <f t="shared" si="0"/>
        <v>0.11656395940868711</v>
      </c>
      <c r="J23" s="18">
        <f t="shared" si="1"/>
        <v>3.6101821811829297E-2</v>
      </c>
      <c r="K23" s="17"/>
      <c r="L23" s="17"/>
      <c r="M23" s="17"/>
      <c r="N23" s="17"/>
      <c r="O23" s="17"/>
      <c r="P23" s="17"/>
      <c r="Q23" s="17"/>
      <c r="R23" s="23">
        <f>(M23/D22)/10</f>
        <v>0</v>
      </c>
      <c r="S23" s="23">
        <f>(N23/D22)/10</f>
        <v>0</v>
      </c>
      <c r="T23" s="23">
        <f t="shared" si="12"/>
        <v>0</v>
      </c>
      <c r="U23" s="174"/>
      <c r="Y23" s="196"/>
      <c r="Z23" s="2" t="s">
        <v>237</v>
      </c>
      <c r="AA23" s="167"/>
      <c r="AB23" s="228"/>
      <c r="AC23" s="31"/>
      <c r="AD23" s="31"/>
      <c r="AE23" s="255"/>
      <c r="AF23" s="255"/>
      <c r="AG23" s="45">
        <f t="shared" si="6"/>
        <v>3.0439095473857931E-2</v>
      </c>
      <c r="AH23" s="18">
        <f t="shared" si="32"/>
        <v>3.6101821811829297E-2</v>
      </c>
      <c r="AI23" s="254"/>
      <c r="AJ23" s="254"/>
      <c r="AK23" s="17" t="e">
        <f>(AG23*#REF!)/$W$10</f>
        <v>#REF!</v>
      </c>
      <c r="AL23" s="17" t="e">
        <f>(AH23*#REF!)/$W$7</f>
        <v>#REF!</v>
      </c>
      <c r="AM23" s="254"/>
      <c r="AN23" s="254"/>
      <c r="AO23" s="17" t="e">
        <f t="shared" si="8"/>
        <v>#REF!</v>
      </c>
      <c r="AP23" s="23" t="e">
        <f>(AK23/AB22)/10</f>
        <v>#REF!</v>
      </c>
      <c r="AQ23" s="23" t="e">
        <f>(AL23/AB22)/10</f>
        <v>#REF!</v>
      </c>
      <c r="AR23" s="23" t="e">
        <f t="shared" ref="AR23" si="36">(AO23/AB22)/10</f>
        <v>#REF!</v>
      </c>
      <c r="AS23" s="174"/>
    </row>
    <row r="24" spans="1:45">
      <c r="A24" s="196" t="s">
        <v>50</v>
      </c>
      <c r="B24" s="2" t="s">
        <v>236</v>
      </c>
      <c r="C24" s="166">
        <v>0.30330000000000001</v>
      </c>
      <c r="D24" s="227">
        <f>C24*('Análisis sólidos'!F17/100)</f>
        <v>0.29983216186311201</v>
      </c>
      <c r="E24" s="17">
        <v>30473</v>
      </c>
      <c r="F24" s="17">
        <v>2750</v>
      </c>
      <c r="G24" s="17">
        <v>13237</v>
      </c>
      <c r="H24" s="17">
        <v>2022</v>
      </c>
      <c r="I24" s="45">
        <f t="shared" si="0"/>
        <v>0.16419115839741563</v>
      </c>
      <c r="J24" s="18">
        <f t="shared" si="1"/>
        <v>4.8579985026204142E-2</v>
      </c>
      <c r="K24" s="17"/>
      <c r="L24" s="17"/>
      <c r="M24" s="17"/>
      <c r="N24" s="17"/>
      <c r="O24" s="17"/>
      <c r="P24" s="17"/>
      <c r="Q24" s="17"/>
      <c r="R24" s="23">
        <f t="shared" si="2"/>
        <v>0</v>
      </c>
      <c r="S24" s="23">
        <f t="shared" si="3"/>
        <v>0</v>
      </c>
      <c r="T24" s="23">
        <f>(Q24/D24)/10</f>
        <v>0</v>
      </c>
      <c r="U24" s="174">
        <f t="shared" ref="U24" si="37">STDEV(T24:T27)</f>
        <v>0</v>
      </c>
      <c r="Y24" s="196" t="s">
        <v>50</v>
      </c>
      <c r="Z24" s="2" t="s">
        <v>236</v>
      </c>
      <c r="AA24" s="166">
        <f t="shared" ref="AA24:AB24" si="38">C24</f>
        <v>0.30330000000000001</v>
      </c>
      <c r="AB24" s="227">
        <f t="shared" si="38"/>
        <v>0.29983216186311201</v>
      </c>
      <c r="AC24" s="31">
        <v>2551</v>
      </c>
      <c r="AD24" s="31">
        <v>2958</v>
      </c>
      <c r="AE24" s="255"/>
      <c r="AF24" s="255"/>
      <c r="AG24" s="45">
        <f t="shared" si="6"/>
        <v>4.1635942273253977E-2</v>
      </c>
      <c r="AH24" s="18">
        <f t="shared" si="32"/>
        <v>4.952378791660049E-2</v>
      </c>
      <c r="AI24" s="254"/>
      <c r="AJ24" s="254"/>
      <c r="AK24" s="17" t="e">
        <f>(AG24*#REF!)/$W$10</f>
        <v>#REF!</v>
      </c>
      <c r="AL24" s="17" t="e">
        <f>(AH24*#REF!)/$W$7</f>
        <v>#REF!</v>
      </c>
      <c r="AM24" s="254"/>
      <c r="AN24" s="254"/>
      <c r="AO24" s="17" t="e">
        <f t="shared" si="8"/>
        <v>#REF!</v>
      </c>
      <c r="AP24" s="23" t="e">
        <f t="shared" si="9"/>
        <v>#REF!</v>
      </c>
      <c r="AQ24" s="23" t="e">
        <f t="shared" si="10"/>
        <v>#REF!</v>
      </c>
      <c r="AR24" s="23" t="e">
        <f>(AO24/AB24)/10</f>
        <v>#REF!</v>
      </c>
      <c r="AS24" s="174" t="e">
        <f t="shared" ref="AS24" si="39">STDEV(AR24:AR27)</f>
        <v>#REF!</v>
      </c>
    </row>
    <row r="25" spans="1:45">
      <c r="A25" s="196"/>
      <c r="B25" s="2" t="s">
        <v>237</v>
      </c>
      <c r="C25" s="167"/>
      <c r="D25" s="228"/>
      <c r="E25" s="17">
        <v>31150</v>
      </c>
      <c r="F25" s="17">
        <v>2711</v>
      </c>
      <c r="G25" s="17">
        <v>13718</v>
      </c>
      <c r="H25" s="17">
        <v>159</v>
      </c>
      <c r="I25" s="45">
        <f t="shared" si="0"/>
        <v>0.16716264616032867</v>
      </c>
      <c r="J25" s="18">
        <f t="shared" si="1"/>
        <v>4.8403021984254821E-2</v>
      </c>
      <c r="K25" s="17"/>
      <c r="L25" s="17"/>
      <c r="M25" s="17"/>
      <c r="N25" s="17"/>
      <c r="O25" s="17"/>
      <c r="P25" s="17"/>
      <c r="Q25" s="17"/>
      <c r="R25" s="23">
        <f>(M25/D24)/10</f>
        <v>0</v>
      </c>
      <c r="S25" s="23">
        <f>(N25/D24)/10</f>
        <v>0</v>
      </c>
      <c r="T25" s="23">
        <f t="shared" si="12"/>
        <v>0</v>
      </c>
      <c r="U25" s="174"/>
      <c r="Y25" s="196"/>
      <c r="Z25" s="2" t="s">
        <v>237</v>
      </c>
      <c r="AA25" s="167"/>
      <c r="AB25" s="228"/>
      <c r="AC25" s="31">
        <v>2094</v>
      </c>
      <c r="AD25" s="31">
        <v>3091</v>
      </c>
      <c r="AE25" s="255"/>
      <c r="AF25" s="255"/>
      <c r="AG25" s="45">
        <f t="shared" si="6"/>
        <v>3.9630078303311209E-2</v>
      </c>
      <c r="AH25" s="18">
        <f t="shared" si="32"/>
        <v>5.0127277264786621E-2</v>
      </c>
      <c r="AI25" s="254"/>
      <c r="AJ25" s="254"/>
      <c r="AK25" s="17" t="e">
        <f>(AG25*#REF!)/$W$10</f>
        <v>#REF!</v>
      </c>
      <c r="AL25" s="17" t="e">
        <f>(AH25*#REF!)/$W$7</f>
        <v>#REF!</v>
      </c>
      <c r="AM25" s="254"/>
      <c r="AN25" s="254"/>
      <c r="AO25" s="17" t="e">
        <f t="shared" si="8"/>
        <v>#REF!</v>
      </c>
      <c r="AP25" s="23" t="e">
        <f>(AK25/AB24)/10</f>
        <v>#REF!</v>
      </c>
      <c r="AQ25" s="23" t="e">
        <f>(AL25/AB24)/10</f>
        <v>#REF!</v>
      </c>
      <c r="AR25" s="23" t="e">
        <f t="shared" ref="AR25" si="40">(AO25/AB24)/10</f>
        <v>#REF!</v>
      </c>
      <c r="AS25" s="174"/>
    </row>
    <row r="26" spans="1:45">
      <c r="A26" s="196" t="s">
        <v>53</v>
      </c>
      <c r="B26" s="2" t="s">
        <v>236</v>
      </c>
      <c r="C26" s="166">
        <v>0.30320000000000003</v>
      </c>
      <c r="D26" s="227">
        <f>C26*('Análisis sólidos'!F18/100)</f>
        <v>0.30067007665694329</v>
      </c>
      <c r="E26" s="17">
        <v>35690</v>
      </c>
      <c r="F26" s="17">
        <v>3325</v>
      </c>
      <c r="G26" s="17"/>
      <c r="H26" s="17"/>
      <c r="I26" s="45">
        <f t="shared" si="0"/>
        <v>0.18708960988798765</v>
      </c>
      <c r="J26" s="18">
        <f t="shared" si="1"/>
        <v>5.1189055516482514E-2</v>
      </c>
      <c r="K26" s="17"/>
      <c r="L26" s="17"/>
      <c r="M26" s="17"/>
      <c r="N26" s="17"/>
      <c r="O26" s="17"/>
      <c r="P26" s="17"/>
      <c r="Q26" s="17"/>
      <c r="R26" s="23">
        <f t="shared" si="2"/>
        <v>0</v>
      </c>
      <c r="S26" s="23">
        <f t="shared" si="3"/>
        <v>0</v>
      </c>
      <c r="T26" s="23">
        <f>(Q26/D26)/10</f>
        <v>0</v>
      </c>
      <c r="U26" s="174"/>
      <c r="Y26" s="196" t="s">
        <v>53</v>
      </c>
      <c r="Z26" s="2" t="s">
        <v>236</v>
      </c>
      <c r="AA26" s="166">
        <f t="shared" ref="AA26:AB26" si="41">C26</f>
        <v>0.30320000000000003</v>
      </c>
      <c r="AB26" s="227">
        <f t="shared" si="41"/>
        <v>0.30067007665694329</v>
      </c>
      <c r="AC26" s="31">
        <v>405</v>
      </c>
      <c r="AD26" s="31">
        <v>468</v>
      </c>
      <c r="AE26" s="255"/>
      <c r="AF26" s="255"/>
      <c r="AG26" s="45">
        <f t="shared" si="6"/>
        <v>3.2216721092734997E-2</v>
      </c>
      <c r="AH26" s="18">
        <f t="shared" si="32"/>
        <v>3.822537831522109E-2</v>
      </c>
      <c r="AI26" s="254"/>
      <c r="AJ26" s="254"/>
      <c r="AK26" s="17" t="e">
        <f>(AG26*#REF!)/$W$10</f>
        <v>#REF!</v>
      </c>
      <c r="AL26" s="17" t="e">
        <f>(AH26*#REF!)/$W$7</f>
        <v>#REF!</v>
      </c>
      <c r="AM26" s="254"/>
      <c r="AN26" s="254"/>
      <c r="AO26" s="17" t="e">
        <f t="shared" si="8"/>
        <v>#REF!</v>
      </c>
      <c r="AP26" s="23" t="e">
        <f t="shared" si="9"/>
        <v>#REF!</v>
      </c>
      <c r="AQ26" s="23" t="e">
        <f t="shared" si="10"/>
        <v>#REF!</v>
      </c>
      <c r="AR26" s="23" t="e">
        <f>(AO26/AB26)/10</f>
        <v>#REF!</v>
      </c>
      <c r="AS26" s="174"/>
    </row>
    <row r="27" spans="1:45">
      <c r="A27" s="196"/>
      <c r="B27" s="2" t="s">
        <v>237</v>
      </c>
      <c r="C27" s="167"/>
      <c r="D27" s="228"/>
      <c r="E27" s="17">
        <v>35784</v>
      </c>
      <c r="F27" s="17">
        <v>3932</v>
      </c>
      <c r="G27" s="17"/>
      <c r="H27" s="17"/>
      <c r="I27" s="45">
        <f t="shared" si="0"/>
        <v>0.18750219459952946</v>
      </c>
      <c r="J27" s="18">
        <f t="shared" si="1"/>
        <v>5.3943326451437255E-2</v>
      </c>
      <c r="K27" s="17"/>
      <c r="L27" s="17"/>
      <c r="M27" s="17"/>
      <c r="N27" s="17"/>
      <c r="O27" s="17"/>
      <c r="P27" s="17"/>
      <c r="Q27" s="17"/>
      <c r="R27" s="23">
        <f>(M27/D26)/10</f>
        <v>0</v>
      </c>
      <c r="S27" s="23">
        <f>(N27/D26)/10</f>
        <v>0</v>
      </c>
      <c r="T27" s="23">
        <f>(Q27/D26)/10</f>
        <v>0</v>
      </c>
      <c r="U27" s="174"/>
      <c r="Y27" s="196"/>
      <c r="Z27" s="2" t="s">
        <v>237</v>
      </c>
      <c r="AA27" s="167"/>
      <c r="AB27" s="228"/>
      <c r="AC27" s="31">
        <v>875</v>
      </c>
      <c r="AD27" s="31">
        <v>646</v>
      </c>
      <c r="AE27" s="255"/>
      <c r="AF27" s="255"/>
      <c r="AG27" s="45">
        <f t="shared" si="6"/>
        <v>3.427964465044419E-2</v>
      </c>
      <c r="AH27" s="18">
        <f t="shared" si="32"/>
        <v>3.9033055788733347E-2</v>
      </c>
      <c r="AI27" s="254"/>
      <c r="AJ27" s="254"/>
      <c r="AK27" s="17" t="e">
        <f>(AG27*#REF!)/$W$10</f>
        <v>#REF!</v>
      </c>
      <c r="AL27" s="17" t="e">
        <f>(AH27*#REF!)/$W$7</f>
        <v>#REF!</v>
      </c>
      <c r="AM27" s="254"/>
      <c r="AN27" s="254"/>
      <c r="AO27" s="17" t="e">
        <f t="shared" si="8"/>
        <v>#REF!</v>
      </c>
      <c r="AP27" s="23" t="e">
        <f>(AK27/AB26)/10</f>
        <v>#REF!</v>
      </c>
      <c r="AQ27" s="23" t="e">
        <f>(AL27/AB26)/10</f>
        <v>#REF!</v>
      </c>
      <c r="AR27" s="23" t="e">
        <f>(AO27/AB26)/10</f>
        <v>#REF!</v>
      </c>
      <c r="AS27" s="174"/>
    </row>
    <row r="30" spans="1:45">
      <c r="C30" s="193" t="s">
        <v>143</v>
      </c>
      <c r="D30" s="193"/>
      <c r="F30" s="193" t="s">
        <v>183</v>
      </c>
      <c r="G30" s="193"/>
      <c r="I30" s="193" t="s">
        <v>145</v>
      </c>
      <c r="J30" s="193"/>
      <c r="L30" s="194" t="s">
        <v>185</v>
      </c>
      <c r="M30" s="195"/>
    </row>
    <row r="31" spans="1:45">
      <c r="C31" s="19" t="s">
        <v>181</v>
      </c>
      <c r="D31" s="19" t="s">
        <v>182</v>
      </c>
      <c r="F31" s="19" t="s">
        <v>181</v>
      </c>
      <c r="G31" s="19" t="s">
        <v>182</v>
      </c>
      <c r="I31" s="19" t="s">
        <v>181</v>
      </c>
      <c r="J31" s="19" t="s">
        <v>182</v>
      </c>
      <c r="L31" s="19" t="s">
        <v>181</v>
      </c>
      <c r="M31" s="19" t="s">
        <v>182</v>
      </c>
    </row>
    <row r="32" spans="1:45">
      <c r="C32" s="2">
        <f>'Calibrado HPLC'!G5</f>
        <v>227832</v>
      </c>
      <c r="D32" s="2">
        <f>'Calibrado HPLC'!H5</f>
        <v>-6935</v>
      </c>
      <c r="F32" s="2">
        <f>'Calibrado HPLC'!G9</f>
        <v>223945</v>
      </c>
      <c r="G32" s="2">
        <f>'Calibrado HPLC'!H9</f>
        <v>-5248.5</v>
      </c>
      <c r="I32" s="2">
        <f>'Calibrado HPLC'!G13</f>
        <v>220385</v>
      </c>
      <c r="J32" s="2">
        <f>'Calibrado HPLC'!H13</f>
        <v>-7956.3</v>
      </c>
      <c r="L32" s="2">
        <f>'Calibrado HPLC'!G17</f>
        <v>241573</v>
      </c>
      <c r="M32" s="2">
        <f>'Calibrado HPLC'!H17</f>
        <v>-9195.7000000000007</v>
      </c>
    </row>
  </sheetData>
  <mergeCells count="100">
    <mergeCell ref="B2:U2"/>
    <mergeCell ref="Z2:AS2"/>
    <mergeCell ref="AS4:AS7"/>
    <mergeCell ref="A6:A7"/>
    <mergeCell ref="C6:C7"/>
    <mergeCell ref="D6:D7"/>
    <mergeCell ref="Y6:Y7"/>
    <mergeCell ref="AA6:AA7"/>
    <mergeCell ref="AB6:AB7"/>
    <mergeCell ref="A4:A5"/>
    <mergeCell ref="C4:C5"/>
    <mergeCell ref="D4:D5"/>
    <mergeCell ref="U4:U7"/>
    <mergeCell ref="Y4:Y5"/>
    <mergeCell ref="AA4:AA5"/>
    <mergeCell ref="AI4:AI27"/>
    <mergeCell ref="AA8:AA9"/>
    <mergeCell ref="AB4:AB5"/>
    <mergeCell ref="AB8:AB9"/>
    <mergeCell ref="AS16:AS19"/>
    <mergeCell ref="AS12:AS15"/>
    <mergeCell ref="AJ4:AJ27"/>
    <mergeCell ref="AM4:AM27"/>
    <mergeCell ref="AS8:AS11"/>
    <mergeCell ref="AA10:AA11"/>
    <mergeCell ref="AD18:AD19"/>
    <mergeCell ref="AH18:AH19"/>
    <mergeCell ref="AL18:AL19"/>
    <mergeCell ref="AQ18:AQ19"/>
    <mergeCell ref="AA26:AA27"/>
    <mergeCell ref="AS20:AS23"/>
    <mergeCell ref="AS24:AS27"/>
    <mergeCell ref="A8:A9"/>
    <mergeCell ref="C8:C9"/>
    <mergeCell ref="D8:D9"/>
    <mergeCell ref="U8:U11"/>
    <mergeCell ref="Y8:Y9"/>
    <mergeCell ref="A10:A11"/>
    <mergeCell ref="C10:C11"/>
    <mergeCell ref="D10:D11"/>
    <mergeCell ref="Y10:Y11"/>
    <mergeCell ref="AA18:AA19"/>
    <mergeCell ref="AA14:AA15"/>
    <mergeCell ref="AB10:AB11"/>
    <mergeCell ref="D14:D15"/>
    <mergeCell ref="Y14:Y15"/>
    <mergeCell ref="AA16:AA17"/>
    <mergeCell ref="AB16:AB17"/>
    <mergeCell ref="AB18:AB19"/>
    <mergeCell ref="U16:U19"/>
    <mergeCell ref="Y16:Y17"/>
    <mergeCell ref="Y18:Y19"/>
    <mergeCell ref="A12:A13"/>
    <mergeCell ref="C12:C13"/>
    <mergeCell ref="D12:D13"/>
    <mergeCell ref="AB14:AB15"/>
    <mergeCell ref="U12:U15"/>
    <mergeCell ref="Y12:Y13"/>
    <mergeCell ref="AA12:AA13"/>
    <mergeCell ref="AB12:AB13"/>
    <mergeCell ref="A14:A15"/>
    <mergeCell ref="C14:C15"/>
    <mergeCell ref="A16:A17"/>
    <mergeCell ref="C16:C17"/>
    <mergeCell ref="D16:D17"/>
    <mergeCell ref="A18:A19"/>
    <mergeCell ref="C18:C19"/>
    <mergeCell ref="D18:D19"/>
    <mergeCell ref="A22:A23"/>
    <mergeCell ref="C22:C23"/>
    <mergeCell ref="D22:D23"/>
    <mergeCell ref="Y22:Y23"/>
    <mergeCell ref="AA22:AA23"/>
    <mergeCell ref="U20:U23"/>
    <mergeCell ref="Y20:Y21"/>
    <mergeCell ref="AA20:AA21"/>
    <mergeCell ref="A20:A21"/>
    <mergeCell ref="C20:C21"/>
    <mergeCell ref="D20:D21"/>
    <mergeCell ref="A24:A25"/>
    <mergeCell ref="C24:C25"/>
    <mergeCell ref="D24:D25"/>
    <mergeCell ref="U24:U27"/>
    <mergeCell ref="Y24:Y25"/>
    <mergeCell ref="A26:A27"/>
    <mergeCell ref="C26:C27"/>
    <mergeCell ref="D26:D27"/>
    <mergeCell ref="Y26:Y27"/>
    <mergeCell ref="C30:D30"/>
    <mergeCell ref="F30:G30"/>
    <mergeCell ref="I30:J30"/>
    <mergeCell ref="L30:M30"/>
    <mergeCell ref="AB24:AB25"/>
    <mergeCell ref="AB26:AB27"/>
    <mergeCell ref="AA24:AA25"/>
    <mergeCell ref="AB22:AB23"/>
    <mergeCell ref="AB20:AB21"/>
    <mergeCell ref="AN4:AN27"/>
    <mergeCell ref="AE4:AE27"/>
    <mergeCell ref="AF4:AF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6F7F-2A1A-49E1-9F2A-FD114BB93312}">
  <dimension ref="B2:T24"/>
  <sheetViews>
    <sheetView topLeftCell="I4" workbookViewId="0">
      <selection activeCell="O16" sqref="O16:O17"/>
    </sheetView>
  </sheetViews>
  <sheetFormatPr defaultColWidth="11.42578125" defaultRowHeight="15"/>
  <cols>
    <col min="2" max="2" width="11.42578125" bestFit="1" customWidth="1"/>
    <col min="3" max="3" width="12.42578125" bestFit="1" customWidth="1"/>
    <col min="4" max="4" width="15.140625" bestFit="1" customWidth="1"/>
    <col min="5" max="5" width="14.7109375" bestFit="1" customWidth="1"/>
    <col min="6" max="6" width="14.42578125" bestFit="1" customWidth="1"/>
    <col min="7" max="7" width="14.5703125" bestFit="1" customWidth="1"/>
    <col min="8" max="8" width="14.42578125" bestFit="1" customWidth="1"/>
    <col min="9" max="9" width="16.5703125" bestFit="1" customWidth="1"/>
    <col min="10" max="10" width="16.140625" bestFit="1" customWidth="1"/>
    <col min="11" max="11" width="16.5703125" bestFit="1" customWidth="1"/>
    <col min="12" max="12" width="16.140625" bestFit="1" customWidth="1"/>
    <col min="13" max="13" width="13.5703125" bestFit="1" customWidth="1"/>
    <col min="14" max="14" width="13.140625" bestFit="1" customWidth="1"/>
    <col min="15" max="15" width="13.5703125" bestFit="1" customWidth="1"/>
    <col min="16" max="16" width="13.140625" bestFit="1" customWidth="1"/>
  </cols>
  <sheetData>
    <row r="2" spans="2:15">
      <c r="B2" t="s">
        <v>341</v>
      </c>
    </row>
    <row r="4" spans="2:15">
      <c r="B4" s="7" t="s">
        <v>228</v>
      </c>
      <c r="C4" s="7" t="s">
        <v>229</v>
      </c>
      <c r="D4" s="7" t="s">
        <v>230</v>
      </c>
      <c r="E4" s="7" t="s">
        <v>239</v>
      </c>
      <c r="F4" s="7" t="s">
        <v>240</v>
      </c>
      <c r="G4" s="7" t="s">
        <v>241</v>
      </c>
      <c r="H4" s="7" t="s">
        <v>242</v>
      </c>
    </row>
    <row r="5" spans="2:15">
      <c r="B5" s="2" t="s">
        <v>236</v>
      </c>
      <c r="C5" s="2">
        <v>5.1499999999999997E-2</v>
      </c>
      <c r="D5" s="18">
        <f>C5*($F$11/100)</f>
        <v>5.0603047895500936E-2</v>
      </c>
      <c r="E5" s="2">
        <v>3.49</v>
      </c>
      <c r="F5" s="2">
        <v>0.1</v>
      </c>
      <c r="G5" s="23">
        <f>((E5*F5)*1.4)/D5</f>
        <v>9.6555448796087422</v>
      </c>
      <c r="H5" s="23">
        <f>G5*4.34</f>
        <v>41.905064777501941</v>
      </c>
    </row>
    <row r="6" spans="2:15">
      <c r="B6" s="2" t="s">
        <v>237</v>
      </c>
      <c r="C6" s="2">
        <v>5.1499999999999997E-2</v>
      </c>
      <c r="D6" s="18">
        <f>C6*($F$11/100)</f>
        <v>5.0603047895500936E-2</v>
      </c>
      <c r="E6" s="2">
        <v>3.57</v>
      </c>
      <c r="F6" s="2">
        <v>0.1</v>
      </c>
      <c r="G6" s="23">
        <f>((E6*F6)*1.4)/D6</f>
        <v>9.8768754212616638</v>
      </c>
      <c r="H6" s="23">
        <f>G6*4.34</f>
        <v>42.86563932827562</v>
      </c>
    </row>
    <row r="8" spans="2:15">
      <c r="B8" t="s">
        <v>342</v>
      </c>
    </row>
    <row r="10" spans="2:15">
      <c r="B10" s="7" t="s">
        <v>228</v>
      </c>
      <c r="C10" s="4" t="s">
        <v>146</v>
      </c>
      <c r="D10" s="4" t="s">
        <v>147</v>
      </c>
      <c r="E10" s="4" t="s">
        <v>148</v>
      </c>
      <c r="F10" s="4" t="s">
        <v>189</v>
      </c>
      <c r="G10" s="4" t="s">
        <v>343</v>
      </c>
      <c r="H10" s="4" t="s">
        <v>190</v>
      </c>
      <c r="I10" s="4" t="s">
        <v>191</v>
      </c>
    </row>
    <row r="11" spans="2:15">
      <c r="B11" s="2" t="s">
        <v>236</v>
      </c>
      <c r="C11" s="2">
        <v>66.390100000000004</v>
      </c>
      <c r="D11" s="2">
        <v>68.732699999999994</v>
      </c>
      <c r="E11" s="2">
        <v>68.691900000000004</v>
      </c>
      <c r="F11" s="23">
        <f>((E11-C11)/(D11-C11))*100</f>
        <v>98.258345428157156</v>
      </c>
      <c r="G11" s="2"/>
      <c r="H11" s="2"/>
      <c r="I11" s="3"/>
    </row>
    <row r="13" spans="2:15">
      <c r="B13" t="s">
        <v>344</v>
      </c>
    </row>
    <row r="15" spans="2:15">
      <c r="B15" s="158" t="s">
        <v>228</v>
      </c>
      <c r="C15" s="49" t="s">
        <v>306</v>
      </c>
      <c r="D15" s="49" t="s">
        <v>307</v>
      </c>
      <c r="E15" s="49" t="s">
        <v>308</v>
      </c>
      <c r="F15" s="49" t="s">
        <v>309</v>
      </c>
      <c r="G15" s="49" t="s">
        <v>310</v>
      </c>
      <c r="H15" s="49" t="s">
        <v>311</v>
      </c>
      <c r="I15" s="49" t="s">
        <v>312</v>
      </c>
      <c r="J15" s="49" t="s">
        <v>313</v>
      </c>
      <c r="K15" s="49" t="s">
        <v>314</v>
      </c>
      <c r="L15" s="49" t="s">
        <v>315</v>
      </c>
      <c r="M15" s="49" t="s">
        <v>316</v>
      </c>
      <c r="N15" s="49" t="s">
        <v>317</v>
      </c>
      <c r="O15" s="49" t="s">
        <v>320</v>
      </c>
    </row>
    <row r="16" spans="2:15">
      <c r="B16" s="2" t="s">
        <v>345</v>
      </c>
      <c r="C16" s="2">
        <v>378122</v>
      </c>
      <c r="D16" s="2">
        <v>23123</v>
      </c>
      <c r="E16" s="2">
        <v>226079</v>
      </c>
      <c r="F16" s="2">
        <v>80120</v>
      </c>
      <c r="G16" s="2">
        <v>1.347</v>
      </c>
      <c r="H16" s="2">
        <v>8.2000000000000003E-2</v>
      </c>
      <c r="I16" s="2">
        <v>0.82499999999999996</v>
      </c>
      <c r="J16" s="2">
        <v>0.27300000000000002</v>
      </c>
      <c r="K16" s="23">
        <f>G16*$C$24</f>
        <v>280.35111000000001</v>
      </c>
      <c r="L16" s="23">
        <f t="shared" ref="L16:N16" si="0">H16*$C$24</f>
        <v>17.066659999999999</v>
      </c>
      <c r="M16" s="23">
        <f t="shared" si="0"/>
        <v>171.70724999999999</v>
      </c>
      <c r="N16" s="23">
        <f t="shared" si="0"/>
        <v>56.819490000000002</v>
      </c>
      <c r="O16" s="23">
        <f>SUM(K16:N16)/1000</f>
        <v>0.52594451000000009</v>
      </c>
    </row>
    <row r="17" spans="2:20">
      <c r="B17" s="2" t="s">
        <v>346</v>
      </c>
      <c r="C17" s="2">
        <v>392783</v>
      </c>
      <c r="D17" s="2">
        <v>22169</v>
      </c>
      <c r="E17" s="2">
        <v>225226</v>
      </c>
      <c r="F17" s="2">
        <v>81584</v>
      </c>
      <c r="G17" s="2">
        <v>1.343</v>
      </c>
      <c r="H17" s="2">
        <v>7.9000000000000001E-2</v>
      </c>
      <c r="I17" s="2">
        <v>0.82199999999999995</v>
      </c>
      <c r="J17" s="2">
        <v>0.27800000000000002</v>
      </c>
      <c r="K17" s="23">
        <f>G17*$C$24</f>
        <v>279.51858999999996</v>
      </c>
      <c r="L17" s="23">
        <f t="shared" ref="L17" si="1">H17*$C$24</f>
        <v>16.442270000000001</v>
      </c>
      <c r="M17" s="23">
        <f t="shared" ref="M17" si="2">I17*$C$24</f>
        <v>171.08285999999998</v>
      </c>
      <c r="N17" s="23">
        <f t="shared" ref="N17" si="3">J17*$C$24</f>
        <v>57.860140000000001</v>
      </c>
      <c r="O17" s="23">
        <f>SUM(K17:N17)/1000</f>
        <v>0.52490385999999989</v>
      </c>
    </row>
    <row r="19" spans="2:20">
      <c r="B19" s="158" t="s">
        <v>228</v>
      </c>
      <c r="C19" s="41" t="s">
        <v>229</v>
      </c>
      <c r="D19" s="41" t="s">
        <v>230</v>
      </c>
      <c r="E19" s="41" t="s">
        <v>306</v>
      </c>
      <c r="F19" s="41" t="s">
        <v>307</v>
      </c>
      <c r="G19" s="41" t="s">
        <v>308</v>
      </c>
      <c r="H19" s="41" t="s">
        <v>309</v>
      </c>
      <c r="I19" s="41" t="s">
        <v>310</v>
      </c>
      <c r="J19" s="41" t="s">
        <v>311</v>
      </c>
      <c r="K19" s="41" t="s">
        <v>312</v>
      </c>
      <c r="L19" s="41" t="s">
        <v>313</v>
      </c>
      <c r="M19" s="41" t="s">
        <v>314</v>
      </c>
      <c r="N19" s="41" t="s">
        <v>315</v>
      </c>
      <c r="O19" s="41" t="s">
        <v>316</v>
      </c>
      <c r="P19" s="41" t="s">
        <v>317</v>
      </c>
      <c r="Q19" s="41" t="s">
        <v>318</v>
      </c>
      <c r="R19" s="41" t="s">
        <v>141</v>
      </c>
      <c r="S19" s="41" t="s">
        <v>142</v>
      </c>
      <c r="T19" s="41" t="s">
        <v>319</v>
      </c>
    </row>
    <row r="20" spans="2:20">
      <c r="B20" s="2" t="s">
        <v>347</v>
      </c>
      <c r="C20" s="2">
        <v>0.31119999999999998</v>
      </c>
      <c r="D20" s="18">
        <f>C20*($F$11/100)</f>
        <v>0.30577997097242504</v>
      </c>
      <c r="E20" s="2">
        <v>85517</v>
      </c>
      <c r="F20" s="2">
        <v>55893</v>
      </c>
      <c r="G20" s="2" t="s">
        <v>348</v>
      </c>
      <c r="H20" s="2" t="s">
        <v>348</v>
      </c>
      <c r="I20" s="2">
        <v>0.30199999999999999</v>
      </c>
      <c r="J20" s="2">
        <v>0.20399999999999999</v>
      </c>
      <c r="K20" s="2" t="s">
        <v>348</v>
      </c>
      <c r="L20" s="2" t="s">
        <v>348</v>
      </c>
      <c r="M20" s="2">
        <f>I20*87</f>
        <v>26.274000000000001</v>
      </c>
      <c r="N20" s="2">
        <f>J20*87</f>
        <v>17.747999999999998</v>
      </c>
      <c r="O20" s="2" t="s">
        <v>348</v>
      </c>
      <c r="P20" s="2" t="s">
        <v>348</v>
      </c>
      <c r="Q20" s="2">
        <f>M20+N20</f>
        <v>44.021999999999998</v>
      </c>
      <c r="R20" s="23">
        <f>(M20/D20)/10</f>
        <v>8.5924529054158896</v>
      </c>
      <c r="S20" s="23">
        <f>(N20/D20)/10</f>
        <v>5.8041734857776195</v>
      </c>
      <c r="T20" s="23">
        <f>R20+S20</f>
        <v>14.396626391193509</v>
      </c>
    </row>
    <row r="21" spans="2:20">
      <c r="B21" s="2" t="s">
        <v>349</v>
      </c>
      <c r="C21" s="2">
        <v>0.31119999999999998</v>
      </c>
      <c r="D21" s="18">
        <f>C21*($F$11/100)</f>
        <v>0.30577997097242504</v>
      </c>
      <c r="E21" s="2">
        <v>84972</v>
      </c>
      <c r="F21" s="2">
        <v>55755</v>
      </c>
      <c r="G21" s="2" t="s">
        <v>348</v>
      </c>
      <c r="H21" s="2" t="s">
        <v>348</v>
      </c>
      <c r="I21" s="2">
        <v>0.3</v>
      </c>
      <c r="J21" s="2">
        <v>0.20399999999999999</v>
      </c>
      <c r="K21" s="2" t="s">
        <v>348</v>
      </c>
      <c r="L21" s="2" t="s">
        <v>348</v>
      </c>
      <c r="M21" s="2">
        <f>I21*87</f>
        <v>26.099999999999998</v>
      </c>
      <c r="N21" s="2">
        <f>J21*87</f>
        <v>17.747999999999998</v>
      </c>
      <c r="O21" s="2" t="s">
        <v>348</v>
      </c>
      <c r="P21" s="2" t="s">
        <v>348</v>
      </c>
      <c r="Q21" s="2">
        <f>M21+N21</f>
        <v>43.847999999999999</v>
      </c>
      <c r="R21" s="23">
        <f>(M21/D21)/10</f>
        <v>8.5355492437906175</v>
      </c>
      <c r="S21" s="23">
        <f>(N21/D21)/10</f>
        <v>5.8041734857776195</v>
      </c>
      <c r="T21" s="23">
        <f>R21+S21</f>
        <v>14.339722729568237</v>
      </c>
    </row>
    <row r="24" spans="2:20">
      <c r="B24" t="s">
        <v>270</v>
      </c>
      <c r="C24">
        <f>Experimentos!R63</f>
        <v>208.13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34"/>
  <sheetViews>
    <sheetView topLeftCell="G9" zoomScale="80" zoomScaleNormal="80" workbookViewId="0">
      <selection activeCell="Q34" sqref="Q34:W34"/>
    </sheetView>
  </sheetViews>
  <sheetFormatPr defaultColWidth="11.42578125" defaultRowHeight="15"/>
  <cols>
    <col min="1" max="1" width="12.42578125" bestFit="1" customWidth="1"/>
    <col min="2" max="2" width="11.5703125" bestFit="1" customWidth="1"/>
    <col min="3" max="3" width="13.5703125" bestFit="1" customWidth="1"/>
    <col min="4" max="4" width="11.5703125" bestFit="1" customWidth="1"/>
    <col min="5" max="5" width="13.28515625" bestFit="1" customWidth="1"/>
    <col min="6" max="6" width="11.5703125" bestFit="1" customWidth="1"/>
    <col min="7" max="8" width="11.5703125" customWidth="1"/>
    <col min="9" max="9" width="11.5703125" hidden="1" customWidth="1"/>
    <col min="11" max="11" width="13.42578125" bestFit="1" customWidth="1"/>
    <col min="16" max="16" width="12.42578125" bestFit="1" customWidth="1"/>
    <col min="18" max="18" width="13.42578125" bestFit="1" customWidth="1"/>
    <col min="25" max="25" width="12.42578125" bestFit="1" customWidth="1"/>
  </cols>
  <sheetData>
    <row r="1" spans="1:30" ht="20.25" thickBot="1">
      <c r="B1" s="261" t="s">
        <v>350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Q1" s="261" t="s">
        <v>351</v>
      </c>
      <c r="R1" s="261"/>
      <c r="S1" s="261"/>
      <c r="T1" s="261"/>
      <c r="U1" s="261"/>
      <c r="V1" s="261"/>
      <c r="W1" s="144"/>
      <c r="Z1" s="261" t="s">
        <v>352</v>
      </c>
      <c r="AA1" s="261"/>
    </row>
    <row r="2" spans="1:30" ht="15.75" thickTop="1">
      <c r="B2" s="256" t="s">
        <v>353</v>
      </c>
      <c r="C2" s="257"/>
      <c r="D2" s="257"/>
      <c r="E2" s="257"/>
      <c r="F2" s="257"/>
      <c r="G2" s="257"/>
      <c r="H2" s="258"/>
      <c r="I2" s="151"/>
      <c r="J2" s="259" t="s">
        <v>354</v>
      </c>
      <c r="K2" s="260"/>
      <c r="L2" s="260"/>
      <c r="M2" s="260"/>
      <c r="N2" s="260"/>
      <c r="Q2" s="264" t="s">
        <v>355</v>
      </c>
      <c r="R2" s="265"/>
      <c r="S2" s="265"/>
      <c r="T2" s="265"/>
      <c r="U2" s="265"/>
      <c r="V2" s="265"/>
      <c r="W2" s="145"/>
      <c r="Z2" s="262" t="s">
        <v>355</v>
      </c>
      <c r="AA2" s="263"/>
    </row>
    <row r="3" spans="1:30">
      <c r="A3" s="4" t="s">
        <v>0</v>
      </c>
      <c r="B3" s="4" t="s">
        <v>129</v>
      </c>
      <c r="C3" s="4" t="s">
        <v>105</v>
      </c>
      <c r="D3" s="4" t="s">
        <v>104</v>
      </c>
      <c r="E3" s="4" t="s">
        <v>356</v>
      </c>
      <c r="F3" s="4" t="s">
        <v>357</v>
      </c>
      <c r="G3" s="4" t="s">
        <v>143</v>
      </c>
      <c r="H3" s="4" t="s">
        <v>145</v>
      </c>
      <c r="I3" s="4" t="s">
        <v>185</v>
      </c>
      <c r="J3" s="4" t="s">
        <v>129</v>
      </c>
      <c r="K3" s="4" t="s">
        <v>105</v>
      </c>
      <c r="L3" s="4" t="s">
        <v>104</v>
      </c>
      <c r="M3" s="4" t="s">
        <v>143</v>
      </c>
      <c r="N3" s="4" t="s">
        <v>145</v>
      </c>
      <c r="P3" s="4" t="s">
        <v>0</v>
      </c>
      <c r="Q3" s="4" t="s">
        <v>129</v>
      </c>
      <c r="R3" s="4" t="s">
        <v>105</v>
      </c>
      <c r="S3" s="4" t="s">
        <v>104</v>
      </c>
      <c r="T3" s="4" t="s">
        <v>143</v>
      </c>
      <c r="U3" s="4" t="s">
        <v>145</v>
      </c>
      <c r="V3" s="4" t="s">
        <v>185</v>
      </c>
      <c r="W3" s="4" t="s">
        <v>183</v>
      </c>
      <c r="Y3" s="9" t="s">
        <v>0</v>
      </c>
      <c r="Z3" s="4" t="s">
        <v>111</v>
      </c>
      <c r="AA3" s="4" t="s">
        <v>358</v>
      </c>
    </row>
    <row r="4" spans="1:30">
      <c r="A4" s="8" t="s">
        <v>13</v>
      </c>
      <c r="B4" s="23">
        <f>('Análisis proteínas'!H6+'Análisis proteínas'!H6)/2</f>
        <v>26.190217782464821</v>
      </c>
      <c r="C4" s="23">
        <f>(('Análisis carbohidratos BIS'!U5+'Análisis carbohidratos BIS'!U6))/2+(('Análisis carbohidratos BIS'!AS5+'Análisis carbohidratos BIS'!AS6)/2)</f>
        <v>7.52688097895666</v>
      </c>
      <c r="D4" s="23">
        <f>('Análisis lípidos'!H5+'Análisis lípidos'!H6)/2</f>
        <v>33.454066939483198</v>
      </c>
      <c r="E4" s="32">
        <f>'Análisis sólidos'!G5</f>
        <v>5.9481322864621209</v>
      </c>
      <c r="F4" s="32">
        <f>'Análisis sólidos'!F5</f>
        <v>92.039855469177965</v>
      </c>
      <c r="G4" s="29">
        <f>(('Análisis carbohidratos BIS'!R5+'Análisis carbohidratos BIS'!R6)/2)+(('Análisis carbohidratos BIS'!AQ5+'Análisis carbohidratos BIS'!AQ6)/2)</f>
        <v>4.8789049336966883</v>
      </c>
      <c r="H4" s="29">
        <f>(('Análisis carbohidratos BIS'!S5+'Análisis carbohidratos BIS'!S6)/2)+(('Análisis carbohidratos BIS'!AR5+'Análisis carbohidratos BIS'!AR6)/2)</f>
        <v>2.6479760452599725</v>
      </c>
      <c r="I4" s="29">
        <f>('Análisis carbohidratos BIS'!T5+'Análisis carbohidratos BIS'!T6)/2</f>
        <v>8.365617220736149E-2</v>
      </c>
      <c r="J4" s="23">
        <f>B4/((100-$E4)/100)</f>
        <v>27.8465685149759</v>
      </c>
      <c r="K4" s="23">
        <f t="shared" ref="K4:L4" si="0">C4/((100-$E4)/100)</f>
        <v>8.0029043143321186</v>
      </c>
      <c r="L4" s="23">
        <f t="shared" si="0"/>
        <v>35.569806057841639</v>
      </c>
      <c r="M4" s="23">
        <f>G4/((100-$E4)/100)</f>
        <v>5.1874620380286363</v>
      </c>
      <c r="N4" s="23">
        <f>H4/((100-$E4)/100)</f>
        <v>2.8154422763034845</v>
      </c>
      <c r="O4" s="48"/>
      <c r="P4" s="8" t="s">
        <v>13</v>
      </c>
      <c r="Q4" s="23">
        <f>('Análisis proteínas'!R6+'Análisis proteínas'!R6)/2</f>
        <v>3.7013937090546354</v>
      </c>
      <c r="R4" s="23">
        <f>('Análisis carbohidratos'!AM5+'Análisis carbohidratos'!AM6)/2</f>
        <v>1.4974842353192694</v>
      </c>
      <c r="S4" s="170"/>
      <c r="T4" s="29">
        <f>('Análisis carbohidratos'!AI5+'Análisis carbohidratos'!AI6)/2000</f>
        <v>0.83923541951964598</v>
      </c>
      <c r="U4" s="29">
        <f>('Análisis carbohidratos'!AJ5+'Análisis carbohidratos'!AJ6)/2000</f>
        <v>0.65824881579962347</v>
      </c>
      <c r="V4" s="29">
        <v>0</v>
      </c>
      <c r="W4" s="29">
        <v>0</v>
      </c>
      <c r="Y4" s="65" t="s">
        <v>13</v>
      </c>
      <c r="Z4" s="47">
        <f>'BCA y ninhidrina'!H4*(Experimentos!R33/1000)/1000</f>
        <v>1.4347702354812268</v>
      </c>
      <c r="AA4" s="17">
        <f>'BCA y ninhidrina'!S4*(Experimentos!R33/1000)</f>
        <v>0</v>
      </c>
      <c r="AD4" s="48">
        <f>T4+U4</f>
        <v>1.4974842353192694</v>
      </c>
    </row>
    <row r="5" spans="1:30">
      <c r="A5" s="8" t="s">
        <v>18</v>
      </c>
      <c r="B5" s="23">
        <f>('Análisis proteínas'!H7+'Análisis proteínas'!H7)/2</f>
        <v>28.310930839174208</v>
      </c>
      <c r="C5" s="23">
        <f>(('Análisis carbohidratos BIS'!U7+'Análisis carbohidratos BIS'!U8))/2+(('Análisis carbohidratos BIS'!AS7+'Análisis carbohidratos BIS'!AS8)/2)</f>
        <v>9.036099632463177</v>
      </c>
      <c r="D5" s="23">
        <f>('Análisis lípidos'!H7+'Análisis lípidos'!H8)/2</f>
        <v>33.625957150448279</v>
      </c>
      <c r="E5" s="32">
        <f>'Análisis sólidos'!G6</f>
        <v>5.9759331021825242</v>
      </c>
      <c r="F5" s="32">
        <f>'Análisis sólidos'!F6</f>
        <v>91.799288522748711</v>
      </c>
      <c r="G5" s="29">
        <f>(('Análisis carbohidratos BIS'!R7+'Análisis carbohidratos BIS'!R8)/2)+(('Análisis carbohidratos BIS'!AQ7+'Análisis carbohidratos BIS'!AQ8)/2)</f>
        <v>5.0801196135058824</v>
      </c>
      <c r="H5" s="29">
        <f>(('Análisis carbohidratos BIS'!S7+'Análisis carbohidratos BIS'!S8)/2)+(('Análisis carbohidratos BIS'!AR7+'Análisis carbohidratos BIS'!AR8)/2)</f>
        <v>3.9559800189572938</v>
      </c>
      <c r="I5" s="29">
        <f>('Análisis carbohidratos BIS'!T7+'Análisis carbohidratos BIS'!T8)/2</f>
        <v>0.12638270397609966</v>
      </c>
      <c r="J5" s="23">
        <f t="shared" ref="J5:J33" si="1">B5/((100-$E5)/100)</f>
        <v>30.1103023653951</v>
      </c>
      <c r="K5" s="23">
        <f t="shared" ref="K5:K33" si="2">C5/((100-$E5)/100)</f>
        <v>9.6104113878453461</v>
      </c>
      <c r="L5" s="23">
        <f t="shared" ref="L5:L33" si="3">D5/((100-$E5)/100)</f>
        <v>35.763138374977927</v>
      </c>
      <c r="M5" s="23">
        <f t="shared" ref="M5:M33" si="4">G5/((100-$E5)/100)</f>
        <v>5.4029992331929257</v>
      </c>
      <c r="N5" s="23">
        <f t="shared" ref="N5:N33" si="5">H5/((100-$E5)/100)</f>
        <v>4.2074121546524186</v>
      </c>
      <c r="O5" s="48"/>
      <c r="P5" s="8" t="s">
        <v>18</v>
      </c>
      <c r="Q5" s="23">
        <f>('Análisis proteínas'!R8+'Análisis proteínas'!R8)/2</f>
        <v>3.3642589523756903</v>
      </c>
      <c r="R5" s="23">
        <f>('Análisis carbohidratos'!AM7+'Análisis carbohidratos'!AM8)/2</f>
        <v>1.4632184069932721</v>
      </c>
      <c r="S5" s="171"/>
      <c r="T5" s="29">
        <f>('Análisis carbohidratos'!AI7+'Análisis carbohidratos'!AI8)/2000</f>
        <v>0.82465125765915226</v>
      </c>
      <c r="U5" s="29">
        <f>('Análisis carbohidratos'!AJ7+'Análisis carbohidratos'!AJ8)/2000</f>
        <v>0.63856714933411995</v>
      </c>
      <c r="V5" s="29">
        <v>0</v>
      </c>
      <c r="W5" s="29">
        <v>0</v>
      </c>
      <c r="Y5" s="65" t="s">
        <v>18</v>
      </c>
      <c r="Z5" s="47">
        <f>'BCA y ninhidrina'!H6*(Experimentos!R34/1000)/1000</f>
        <v>1.4647010751378617</v>
      </c>
      <c r="AA5" s="17">
        <f>'BCA y ninhidrina'!S6*(Experimentos!R34/1000)</f>
        <v>0</v>
      </c>
      <c r="AD5" s="48">
        <f t="shared" ref="AD5:AD31" si="6">T5+U5</f>
        <v>1.4632184069932723</v>
      </c>
    </row>
    <row r="6" spans="1:30">
      <c r="A6" s="8" t="s">
        <v>19</v>
      </c>
      <c r="B6" s="23">
        <f>('Análisis proteínas'!H9+'Análisis proteínas'!H9)/2</f>
        <v>42.021256493193448</v>
      </c>
      <c r="C6" s="23">
        <f>(('Análisis carbohidratos BIS'!U9+'Análisis carbohidratos BIS'!U10))/2+(('Análisis carbohidratos BIS'!AS9+'Análisis carbohidratos BIS'!AS10)/2)</f>
        <v>11.1465696007558</v>
      </c>
      <c r="D6" s="23">
        <f>('Análisis lípidos'!H9+'Análisis lípidos'!H10)/2</f>
        <v>13.363540812421649</v>
      </c>
      <c r="E6" s="32">
        <f>'Análisis sólidos'!G7</f>
        <v>2.9939239513917699</v>
      </c>
      <c r="F6" s="32">
        <f>'Análisis sólidos'!F7</f>
        <v>84.306192423679136</v>
      </c>
      <c r="G6" s="29">
        <f>(('Análisis carbohidratos BIS'!R9+'Análisis carbohidratos BIS'!R10)/2)+(('Análisis carbohidratos BIS'!AQ9+'Análisis carbohidratos BIS'!AQ10)/2)</f>
        <v>6.012563540570568</v>
      </c>
      <c r="H6" s="29">
        <f>(('Análisis carbohidratos BIS'!S9+'Análisis carbohidratos BIS'!S10)/2)+(('Análisis carbohidratos BIS'!AR9+'Análisis carbohidratos BIS'!AR10)/2)</f>
        <v>5.1340060601852322</v>
      </c>
      <c r="I6" s="29">
        <f>('Análisis carbohidratos BIS'!T9+'Análisis carbohidratos BIS'!T10)/2</f>
        <v>0.60018197539810614</v>
      </c>
      <c r="J6" s="23">
        <f t="shared" si="1"/>
        <v>43.318169546552163</v>
      </c>
      <c r="K6" s="23">
        <f t="shared" si="2"/>
        <v>11.490589099975992</v>
      </c>
      <c r="L6" s="23">
        <f t="shared" si="3"/>
        <v>13.775983275238746</v>
      </c>
      <c r="M6" s="23">
        <f t="shared" si="4"/>
        <v>6.1981308650787668</v>
      </c>
      <c r="N6" s="23">
        <f t="shared" si="5"/>
        <v>5.292458234897226</v>
      </c>
      <c r="O6" s="48"/>
      <c r="P6" s="8" t="s">
        <v>19</v>
      </c>
      <c r="Q6" s="23">
        <f>('Análisis proteínas'!R9+'Análisis proteínas'!R10)/2</f>
        <v>0.81503194139042368</v>
      </c>
      <c r="R6" s="23">
        <f>('Análisis carbohidratos'!AM9+'Análisis carbohidratos'!AM10)/2</f>
        <v>0.4853919069314232</v>
      </c>
      <c r="S6" s="171"/>
      <c r="T6" s="29">
        <f>('Análisis carbohidratos'!AI9+'Análisis carbohidratos'!AI10)/2000</f>
        <v>0.48539190693142314</v>
      </c>
      <c r="U6" s="29">
        <f>('Análisis carbohidratos'!AJ9+'Análisis carbohidratos'!AJ10)/2000</f>
        <v>0</v>
      </c>
      <c r="V6" s="29">
        <v>0</v>
      </c>
      <c r="W6" s="29">
        <v>0</v>
      </c>
      <c r="Y6" s="65" t="s">
        <v>19</v>
      </c>
      <c r="Z6" s="17">
        <f>'BCA y ninhidrina'!H8*(Experimentos!R35/1000)/1000</f>
        <v>0.36849750832658645</v>
      </c>
      <c r="AA6" s="17">
        <f>'BCA y ninhidrina'!S8*(Experimentos!R35/1000)</f>
        <v>0</v>
      </c>
      <c r="AD6" s="48">
        <f t="shared" si="6"/>
        <v>0.48539190693142314</v>
      </c>
    </row>
    <row r="7" spans="1:30">
      <c r="A7" s="8" t="s">
        <v>22</v>
      </c>
      <c r="B7" s="23">
        <f>('Análisis proteínas'!H11+'Análisis proteínas'!H11)/2</f>
        <v>41.608914092862321</v>
      </c>
      <c r="C7" s="23">
        <f>(('Análisis carbohidratos BIS'!U11+'Análisis carbohidratos BIS'!U12))/2+(('Análisis carbohidratos BIS'!AS11+'Análisis carbohidratos BIS'!AS12)/2)</f>
        <v>9.496781512812035</v>
      </c>
      <c r="D7" s="23">
        <f>('Análisis lípidos'!H11+'Análisis lípidos'!H12)/2</f>
        <v>12.616163635515994</v>
      </c>
      <c r="E7" s="32">
        <f>'Análisis sólidos'!G8</f>
        <v>3.1622395313227796</v>
      </c>
      <c r="F7" s="32">
        <f>'Análisis sólidos'!F8</f>
        <v>92.957484992883138</v>
      </c>
      <c r="G7" s="29">
        <f>(('Análisis carbohidratos BIS'!R11+'Análisis carbohidratos BIS'!R12)/2)+(('Análisis carbohidratos BIS'!AQ11+'Análisis carbohidratos BIS'!AQ12)/2)</f>
        <v>4.6527230501403469</v>
      </c>
      <c r="H7" s="29">
        <f>(('Análisis carbohidratos BIS'!S11+'Análisis carbohidratos BIS'!S12)/2)+(('Análisis carbohidratos BIS'!AR11+'Análisis carbohidratos BIS'!AR12)/2)</f>
        <v>4.8440584626716872</v>
      </c>
      <c r="I7" s="29">
        <f>('Análisis carbohidratos BIS'!T11+'Análisis carbohidratos BIS'!T12)/2</f>
        <v>0.54770209372605028</v>
      </c>
      <c r="J7" s="23">
        <f t="shared" si="1"/>
        <v>42.967654240951788</v>
      </c>
      <c r="K7" s="23">
        <f t="shared" si="2"/>
        <v>9.8068991546782307</v>
      </c>
      <c r="L7" s="23">
        <f t="shared" si="3"/>
        <v>13.028144779945393</v>
      </c>
      <c r="M7" s="23">
        <f t="shared" si="4"/>
        <v>4.8046578396918829</v>
      </c>
      <c r="N7" s="23">
        <f t="shared" si="5"/>
        <v>5.0022413149863461</v>
      </c>
      <c r="O7" s="48"/>
      <c r="P7" s="8" t="s">
        <v>22</v>
      </c>
      <c r="Q7" s="23">
        <f>('Análisis proteínas'!R11+'Análisis proteínas'!R12)/2</f>
        <v>0.97453366353898097</v>
      </c>
      <c r="R7" s="23">
        <f>('Análisis carbohidratos'!AM11+'Análisis carbohidratos'!AM12)/2</f>
        <v>0.49155148317620001</v>
      </c>
      <c r="S7" s="171"/>
      <c r="T7" s="29">
        <f>('Análisis carbohidratos'!AI11+'Análisis carbohidratos'!AI12)/2000</f>
        <v>0.49155148317620001</v>
      </c>
      <c r="U7" s="29">
        <f>('Análisis carbohidratos'!AJ11+'Análisis carbohidratos'!AJ12)/2000</f>
        <v>0</v>
      </c>
      <c r="V7" s="29">
        <v>0</v>
      </c>
      <c r="W7" s="29">
        <v>0</v>
      </c>
      <c r="Y7" s="65" t="s">
        <v>22</v>
      </c>
      <c r="Z7" s="17">
        <f>'BCA y ninhidrina'!H10*(Experimentos!R36/1000)/1000</f>
        <v>0.38832605730981928</v>
      </c>
      <c r="AA7" s="17">
        <f>'BCA y ninhidrina'!S10*(Experimentos!R36/1000)</f>
        <v>0</v>
      </c>
      <c r="AD7" s="48">
        <f t="shared" si="6"/>
        <v>0.49155148317620001</v>
      </c>
    </row>
    <row r="8" spans="1:30">
      <c r="A8" s="8" t="s">
        <v>25</v>
      </c>
      <c r="B8" s="23">
        <f>('Análisis proteínas'!H14+'Análisis proteínas'!H14)/2</f>
        <v>38.481558032446429</v>
      </c>
      <c r="C8" s="23">
        <f>(('Análisis carbohidratos BIS'!U13+'Análisis carbohidratos BIS'!U14))/2+(('Análisis carbohidratos BIS'!AS13+'Análisis carbohidratos BIS'!AS14)/2)</f>
        <v>10.38622515482205</v>
      </c>
      <c r="D8" s="23">
        <f>('Análisis lípidos'!H13+'Análisis lípidos'!H14)/2</f>
        <v>14.301272179596907</v>
      </c>
      <c r="E8" s="32">
        <f>'Análisis sólidos'!G9</f>
        <v>3.8041155278744894</v>
      </c>
      <c r="F8" s="32">
        <f>'Análisis sólidos'!F9</f>
        <v>92.005617977527962</v>
      </c>
      <c r="G8" s="29">
        <f>(('Análisis carbohidratos BIS'!R13+'Análisis carbohidratos BIS'!R14)/2)+(('Análisis carbohidratos BIS'!AQ13+'Análisis carbohidratos BIS'!AQ14)/2)</f>
        <v>5.2660593780395324</v>
      </c>
      <c r="H8" s="29">
        <f>(('Análisis carbohidratos BIS'!S13+'Análisis carbohidratos BIS'!S14)/2)+(('Análisis carbohidratos BIS'!AR13+'Análisis carbohidratos BIS'!AR14)/2)</f>
        <v>5.1201657767825166</v>
      </c>
      <c r="I8" s="29">
        <f>('Análisis carbohidratos BIS'!T13+'Análisis carbohidratos BIS'!T14)/2</f>
        <v>0.49627100190897189</v>
      </c>
      <c r="J8" s="23">
        <f t="shared" si="1"/>
        <v>40.003330957050615</v>
      </c>
      <c r="K8" s="23">
        <f t="shared" si="2"/>
        <v>10.796953748922226</v>
      </c>
      <c r="L8" s="23">
        <f t="shared" si="3"/>
        <v>14.866823313777999</v>
      </c>
      <c r="M8" s="23">
        <f t="shared" si="4"/>
        <v>5.4743083936875365</v>
      </c>
      <c r="N8" s="23">
        <f t="shared" si="5"/>
        <v>5.3226453552346893</v>
      </c>
      <c r="O8" s="48"/>
      <c r="P8" s="8" t="s">
        <v>25</v>
      </c>
      <c r="Q8" s="23">
        <f>('Análisis proteínas'!R13+'Análisis proteínas'!R14)/2</f>
        <v>0.68021537119705355</v>
      </c>
      <c r="R8" s="23">
        <f>('Análisis carbohidratos'!AM13+'Análisis carbohidratos'!AM14)/2</f>
        <v>0.43745630675234382</v>
      </c>
      <c r="S8" s="171"/>
      <c r="T8" s="29">
        <f>('Análisis carbohidratos'!AI13+'Análisis carbohidratos'!AI14)/2000</f>
        <v>0.43745630675234382</v>
      </c>
      <c r="U8" s="29">
        <f>('Análisis carbohidratos'!AJ13+'Análisis carbohidratos'!AJ14)/2000</f>
        <v>0</v>
      </c>
      <c r="V8" s="29">
        <v>0</v>
      </c>
      <c r="W8" s="29">
        <v>0</v>
      </c>
      <c r="Y8" s="65" t="s">
        <v>25</v>
      </c>
      <c r="Z8" s="17">
        <f>'BCA y ninhidrina'!H12*(Experimentos!R37/1000)/1000</f>
        <v>0.28138712544969063</v>
      </c>
      <c r="AA8" s="17">
        <f>'BCA y ninhidrina'!S12*(Experimentos!R37/1000)</f>
        <v>0</v>
      </c>
      <c r="AD8" s="48">
        <f t="shared" si="6"/>
        <v>0.43745630675234382</v>
      </c>
    </row>
    <row r="9" spans="1:30">
      <c r="A9" s="8" t="s">
        <v>27</v>
      </c>
      <c r="B9" s="23">
        <f>('Análisis proteínas'!H16+'Análisis proteínas'!H16)/2</f>
        <v>40.194828787572007</v>
      </c>
      <c r="C9" s="23">
        <f>(('Análisis carbohidratos BIS'!U15+'Análisis carbohidratos BIS'!U16))/2+(('Análisis carbohidratos BIS'!AS15+'Análisis carbohidratos BIS'!AS16)/2)</f>
        <v>9.9143995415020463</v>
      </c>
      <c r="D9" s="23">
        <f>('Análisis lípidos'!H15+'Análisis lípidos'!H16)/2</f>
        <v>17.247837027927634</v>
      </c>
      <c r="E9" s="32">
        <f>'Análisis sólidos'!G10</f>
        <v>4.0872368368687919</v>
      </c>
      <c r="F9" s="32">
        <f>'Análisis sólidos'!F10</f>
        <v>91.208392319140557</v>
      </c>
      <c r="G9" s="29">
        <f>(('Análisis carbohidratos BIS'!R15+'Análisis carbohidratos BIS'!R16)/2)+(('Análisis carbohidratos BIS'!AQ15+'Análisis carbohidratos BIS'!AQ16)/2)</f>
        <v>4.9110252837585371</v>
      </c>
      <c r="H9" s="29">
        <f>(('Análisis carbohidratos BIS'!S15+'Análisis carbohidratos BIS'!S16)/2)+(('Análisis carbohidratos BIS'!AR15+'Análisis carbohidratos BIS'!AR16)/2)</f>
        <v>5.0033742577435092</v>
      </c>
      <c r="I9" s="29">
        <f>('Análisis carbohidratos BIS'!T15+'Análisis carbohidratos BIS'!T16)/2</f>
        <v>0.34979748405393973</v>
      </c>
      <c r="J9" s="23">
        <f t="shared" si="1"/>
        <v>41.907695557897213</v>
      </c>
      <c r="K9" s="23">
        <f t="shared" si="2"/>
        <v>10.336892833166894</v>
      </c>
      <c r="L9" s="23">
        <f t="shared" si="3"/>
        <v>17.98283821579826</v>
      </c>
      <c r="M9" s="23">
        <f t="shared" si="4"/>
        <v>5.1203042450207832</v>
      </c>
      <c r="N9" s="23">
        <f t="shared" si="5"/>
        <v>5.2165885881461111</v>
      </c>
      <c r="O9" s="48"/>
      <c r="P9" s="8" t="s">
        <v>27</v>
      </c>
      <c r="Q9" s="23">
        <f>('Análisis proteínas'!R15+'Análisis proteínas'!R16)/2</f>
        <v>0.7585332301074279</v>
      </c>
      <c r="R9" s="23">
        <f>('Análisis carbohidratos'!AM15+'Análisis carbohidratos'!AM16)/2</f>
        <v>0.44500803341936168</v>
      </c>
      <c r="S9" s="171"/>
      <c r="T9" s="29">
        <f>('Análisis carbohidratos'!AI15+'Análisis carbohidratos'!AI16)/2000</f>
        <v>0.44500803341936163</v>
      </c>
      <c r="U9" s="29">
        <f>('Análisis carbohidratos'!AJ15+'Análisis carbohidratos'!AJ16)/2000</f>
        <v>0</v>
      </c>
      <c r="V9" s="29">
        <v>0</v>
      </c>
      <c r="W9" s="29">
        <v>0</v>
      </c>
      <c r="Y9" s="65" t="s">
        <v>27</v>
      </c>
      <c r="Z9" s="17">
        <f>'BCA y ninhidrina'!H14*(Experimentos!R38/1000)/1000</f>
        <v>0.27810542245584408</v>
      </c>
      <c r="AA9" s="17">
        <f>'BCA y ninhidrina'!S14*(Experimentos!R38/1000)</f>
        <v>0</v>
      </c>
      <c r="AD9" s="48">
        <f t="shared" si="6"/>
        <v>0.44500803341936163</v>
      </c>
    </row>
    <row r="10" spans="1:30">
      <c r="A10" s="8" t="s">
        <v>29</v>
      </c>
      <c r="B10" s="23">
        <f>('Análisis proteínas'!H17+'Análisis proteínas'!H18)/2</f>
        <v>12.252812194671087</v>
      </c>
      <c r="C10" s="23">
        <f>('Análisis carbohidratos BIS'!U17+'Análisis carbohidratos BIS'!U18)/2+('Análisis carbohidratos BIS'!AS17+'Análisis carbohidratos BIS'!AS18)/2</f>
        <v>8.205369524016529</v>
      </c>
      <c r="D10" s="23">
        <f>('Análisis lípidos'!H17+'Análisis lípidos'!H18)/2</f>
        <v>5.8860088138579911</v>
      </c>
      <c r="E10" s="32">
        <f>'Análisis sólidos'!G11</f>
        <v>73.651164082902739</v>
      </c>
      <c r="F10" s="32">
        <f>'Análisis sólidos'!F11</f>
        <v>87.918905715681532</v>
      </c>
      <c r="G10" s="29">
        <f>('Análisis carbohidratos BIS'!R17+'Análisis carbohidratos BIS'!R18)/2+('Análisis carbohidratos BIS'!AQ17+'Análisis carbohidratos BIS'!AQ18)/2</f>
        <v>6.9833287436417759</v>
      </c>
      <c r="H10" s="29">
        <f>('Análisis carbohidratos BIS'!S17+'Análisis carbohidratos BIS'!S18)/2+('Análisis carbohidratos BIS'!AR17+'Análisis carbohidratos BIS'!AR18)/2</f>
        <v>1.2220407803747533</v>
      </c>
      <c r="I10" s="29">
        <f>('Análisis carbohidratos BIS'!T17+'Análisis carbohidratos BIS'!T18)/2</f>
        <v>0</v>
      </c>
      <c r="J10" s="23">
        <f t="shared" si="1"/>
        <v>46.502290398037921</v>
      </c>
      <c r="K10" s="23">
        <f t="shared" si="2"/>
        <v>31.141298043805492</v>
      </c>
      <c r="L10" s="23">
        <f t="shared" si="3"/>
        <v>22.338781236398649</v>
      </c>
      <c r="M10" s="23">
        <f t="shared" si="4"/>
        <v>26.503367228874144</v>
      </c>
      <c r="N10" s="23">
        <f t="shared" si="5"/>
        <v>4.6379308149313498</v>
      </c>
      <c r="O10" s="48"/>
      <c r="P10" s="8" t="s">
        <v>29</v>
      </c>
      <c r="Q10" s="23">
        <f>('Análisis proteínas'!R18+'Análisis proteínas'!R18)/2</f>
        <v>3.9127353286678952</v>
      </c>
      <c r="R10" s="23">
        <f>('Análisis carbohidratos'!AM17+'Análisis carbohidratos'!AM18)/2-V10</f>
        <v>0.78176870663588982</v>
      </c>
      <c r="S10" s="171"/>
      <c r="T10" s="29">
        <f>('Análisis carbohidratos'!AI17+'Análisis carbohidratos'!AI18)/2000</f>
        <v>0.40998723620913652</v>
      </c>
      <c r="U10" s="29">
        <f>('Análisis carbohidratos'!AJ17+'Análisis carbohidratos'!AJ18)/2000</f>
        <v>0.37178147042675325</v>
      </c>
      <c r="V10" s="29">
        <f>('Análisis carbohidratos'!AL17+'Análisis carbohidratos'!AL18)/(2*1000)</f>
        <v>0.27420206827749793</v>
      </c>
      <c r="W10" s="29">
        <v>0</v>
      </c>
      <c r="Y10" s="65" t="s">
        <v>29</v>
      </c>
      <c r="Z10" s="47">
        <f>'BCA y ninhidrina'!H16*(Experimentos!R39/1000)/1000</f>
        <v>2.3639508867467032</v>
      </c>
      <c r="AA10" s="17">
        <f>'BCA y ninhidrina'!S16*(Experimentos!R39/1000)</f>
        <v>0</v>
      </c>
      <c r="AD10" s="48">
        <f t="shared" si="6"/>
        <v>0.78176870663588982</v>
      </c>
    </row>
    <row r="11" spans="1:30">
      <c r="A11" s="8" t="s">
        <v>33</v>
      </c>
      <c r="B11" s="23">
        <f>('Análisis proteínas'!H19+'Análisis proteínas'!H20)/2</f>
        <v>8.2333688547529942</v>
      </c>
      <c r="C11" s="23">
        <f>('Análisis carbohidratos BIS'!U19+'Análisis carbohidratos BIS'!U20)/2+('Análisis carbohidratos BIS'!AS19+'Análisis carbohidratos BIS'!AS20)/2</f>
        <v>8.8372985904987171</v>
      </c>
      <c r="D11" s="23">
        <f>('Análisis lípidos'!H19+'Análisis lípidos'!H20)/2</f>
        <v>9.3297410183827125</v>
      </c>
      <c r="E11" s="32">
        <f>'Análisis sólidos'!G12</f>
        <v>71.542492595124102</v>
      </c>
      <c r="F11" s="32">
        <f>'Análisis sólidos'!F12</f>
        <v>81.879236365897654</v>
      </c>
      <c r="G11" s="29">
        <f>('Análisis carbohidratos BIS'!R19+'Análisis carbohidratos BIS'!R20)/2+('Análisis carbohidratos BIS'!AQ19+'Análisis carbohidratos BIS'!AQ20)/2</f>
        <v>7.5395916069143105</v>
      </c>
      <c r="H11" s="29">
        <f>('Análisis carbohidratos BIS'!S19+'Análisis carbohidratos BIS'!S20)/2+('Análisis carbohidratos BIS'!AR19+'Análisis carbohidratos BIS'!AR20)/2</f>
        <v>1.2977069835844064</v>
      </c>
      <c r="I11" s="29">
        <f>('Análisis carbohidratos BIS'!T19+'Análisis carbohidratos BIS'!T20)/2</f>
        <v>0</v>
      </c>
      <c r="J11" s="23">
        <f t="shared" si="1"/>
        <v>28.93215044316317</v>
      </c>
      <c r="K11" s="23">
        <f t="shared" si="2"/>
        <v>31.054366304002219</v>
      </c>
      <c r="L11" s="23">
        <f t="shared" si="3"/>
        <v>32.784814515357581</v>
      </c>
      <c r="M11" s="23">
        <f t="shared" si="4"/>
        <v>26.494209417731646</v>
      </c>
      <c r="N11" s="23">
        <f t="shared" si="5"/>
        <v>4.5601568862705726</v>
      </c>
      <c r="O11" s="48"/>
      <c r="P11" s="8" t="s">
        <v>33</v>
      </c>
      <c r="Q11" s="23">
        <f>('Análisis proteínas'!R20+'Análisis proteínas'!R20)/2</f>
        <v>3.9150493955432784</v>
      </c>
      <c r="R11" s="23">
        <f>('Análisis carbohidratos'!AM19+'Análisis carbohidratos'!AM20)/2</f>
        <v>1.0994266053402444</v>
      </c>
      <c r="S11" s="171"/>
      <c r="T11" s="29">
        <f>('Análisis carbohidratos'!AI19+'Análisis carbohidratos'!AI20)/2000</f>
        <v>0.44039743626882966</v>
      </c>
      <c r="U11" s="29">
        <f>('Análisis carbohidratos'!AJ19+'Análisis carbohidratos'!AJ20)/2000</f>
        <v>0.38000520389318693</v>
      </c>
      <c r="V11" s="29">
        <f>('Análisis carbohidratos'!AL20+'Análisis carbohidratos'!AL19)/(2*1000)</f>
        <v>0.2790239651782277</v>
      </c>
      <c r="W11" s="29">
        <v>0</v>
      </c>
      <c r="Y11" s="65" t="s">
        <v>33</v>
      </c>
      <c r="Z11" s="47">
        <f>'BCA y ninhidrina'!H18*(Experimentos!R40/1000)/1000</f>
        <v>2.3703904459313736</v>
      </c>
      <c r="AA11" s="17">
        <f>'BCA y ninhidrina'!S18*(Experimentos!R40/1000)</f>
        <v>0</v>
      </c>
      <c r="AD11" s="48">
        <f t="shared" si="6"/>
        <v>0.82040264016201658</v>
      </c>
    </row>
    <row r="12" spans="1:30">
      <c r="A12" s="8" t="s">
        <v>35</v>
      </c>
      <c r="B12" s="23">
        <f>('Análisis proteínas'!H21+'Análisis proteínas'!H22)/2</f>
        <v>21.163338346175706</v>
      </c>
      <c r="C12" s="23">
        <f>('Análisis carbohidratos BIS'!U21+'Análisis carbohidratos BIS'!U22)/2+('Análisis carbohidratos BIS'!AS21+'Análisis carbohidratos BIS'!AS22)/2</f>
        <v>7.4357796816033073</v>
      </c>
      <c r="D12" s="23">
        <f>('Análisis lípidos'!H21+'Análisis lípidos'!H22)/2</f>
        <v>8.4690290623128384</v>
      </c>
      <c r="E12" s="32">
        <f>'Análisis sólidos'!G13</f>
        <v>58.024487094639333</v>
      </c>
      <c r="F12" s="32">
        <f>'Análisis sólidos'!F13</f>
        <v>92.312391813460962</v>
      </c>
      <c r="G12" s="29">
        <f>('Análisis carbohidratos BIS'!R21+'Análisis carbohidratos BIS'!R22)/2+('Análisis carbohidratos BIS'!AQ21+'Análisis carbohidratos BIS'!AQ22)/2</f>
        <v>6.2708061521821046</v>
      </c>
      <c r="H12" s="29">
        <f>('Análisis carbohidratos BIS'!S21+'Análisis carbohidratos BIS'!S22)/2+('Análisis carbohidratos BIS'!AR21+'Análisis carbohidratos BIS'!AR22)/2</f>
        <v>1.1649735294212027</v>
      </c>
      <c r="I12" s="29">
        <f>('Análisis carbohidratos BIS'!T21+'Análisis carbohidratos BIS'!T22)/2</f>
        <v>0</v>
      </c>
      <c r="J12" s="23">
        <f t="shared" si="1"/>
        <v>50.418296004842738</v>
      </c>
      <c r="K12" s="23">
        <f t="shared" si="2"/>
        <v>17.714565390465278</v>
      </c>
      <c r="L12" s="23">
        <f t="shared" si="3"/>
        <v>20.176118112975491</v>
      </c>
      <c r="M12" s="23">
        <f t="shared" si="4"/>
        <v>14.939200781942711</v>
      </c>
      <c r="N12" s="23">
        <f t="shared" si="5"/>
        <v>2.7753646085225672</v>
      </c>
      <c r="O12" s="48"/>
      <c r="P12" s="8" t="s">
        <v>35</v>
      </c>
      <c r="Q12" s="23">
        <f>('Análisis proteínas'!R21+'Análisis proteínas'!R22)/2</f>
        <v>2.1875708306322905</v>
      </c>
      <c r="R12" s="23">
        <f>('Análisis carbohidratos'!AM21+'Análisis carbohidratos'!AM21)/2</f>
        <v>0.60498983023336428</v>
      </c>
      <c r="S12" s="171"/>
      <c r="T12" s="29">
        <f>('Análisis carbohidratos'!AI21+'Análisis carbohidratos'!AI21)/2000</f>
        <v>0.26892181958636191</v>
      </c>
      <c r="U12" s="29">
        <f>('Análisis carbohidratos'!AJ21+'Análisis carbohidratos'!AJ22)/2000</f>
        <v>8.8158999931937279E-2</v>
      </c>
      <c r="V12" s="29">
        <f>('Análisis carbohidratos'!AL22+'Análisis carbohidratos'!AL21)/(2*1000)</f>
        <v>0.25135980759439175</v>
      </c>
      <c r="W12" s="29">
        <v>0</v>
      </c>
      <c r="Y12" s="65" t="s">
        <v>35</v>
      </c>
      <c r="Z12" s="17">
        <f>'BCA y ninhidrina'!H20*(Experimentos!R41/1000)/1000</f>
        <v>1.1670591476118939</v>
      </c>
      <c r="AA12" s="17">
        <f>'BCA y ninhidrina'!S20*(Experimentos!R41/1000)</f>
        <v>0</v>
      </c>
      <c r="AD12" s="48">
        <f t="shared" si="6"/>
        <v>0.35708081951829918</v>
      </c>
    </row>
    <row r="13" spans="1:30">
      <c r="A13" s="8" t="s">
        <v>36</v>
      </c>
      <c r="B13" s="23">
        <f>('Análisis proteínas'!H23+'Análisis proteínas'!H24)/2</f>
        <v>19.695316033800097</v>
      </c>
      <c r="C13" s="23">
        <f>('Análisis carbohidratos BIS'!U23+'Análisis carbohidratos BIS'!U24)/2+('Análisis carbohidratos BIS'!AS23+'Análisis carbohidratos BIS'!AS24)/2</f>
        <v>7.38145881313873</v>
      </c>
      <c r="D13" s="23">
        <f>('Análisis lípidos'!H23+'Análisis lípidos'!H24)/2</f>
        <v>11.157437890734366</v>
      </c>
      <c r="E13" s="32">
        <f>'Análisis sólidos'!G14</f>
        <v>55.610859728506732</v>
      </c>
      <c r="F13" s="32">
        <f>'Análisis sólidos'!F14</f>
        <v>94.585919109779582</v>
      </c>
      <c r="G13" s="29">
        <f>('Análisis carbohidratos BIS'!R23+'Análisis carbohidratos BIS'!R24)/2+('Análisis carbohidratos BIS'!AQ23+'Análisis carbohidratos BIS'!AQ24)/2</f>
        <v>6.2686891349738634</v>
      </c>
      <c r="H13" s="29">
        <f>('Análisis carbohidratos BIS'!S23+'Análisis carbohidratos BIS'!S24)/2+('Análisis carbohidratos BIS'!AR23+'Análisis carbohidratos BIS'!AR24)/2</f>
        <v>1.1127696781648662</v>
      </c>
      <c r="I13" s="29">
        <f>('Análisis carbohidratos BIS'!T23+'Análisis carbohidratos BIS'!T24)/2</f>
        <v>0</v>
      </c>
      <c r="J13" s="23">
        <f t="shared" si="1"/>
        <v>44.369672206624017</v>
      </c>
      <c r="K13" s="23">
        <f t="shared" si="2"/>
        <v>16.628974492392022</v>
      </c>
      <c r="L13" s="23">
        <f t="shared" si="3"/>
        <v>25.135512475558532</v>
      </c>
      <c r="M13" s="23">
        <f t="shared" si="4"/>
        <v>14.122123331592478</v>
      </c>
      <c r="N13" s="23">
        <f t="shared" si="5"/>
        <v>2.5068511607995427</v>
      </c>
      <c r="O13" s="48"/>
      <c r="P13" s="8" t="s">
        <v>36</v>
      </c>
      <c r="Q13" s="23">
        <f>('Análisis proteínas'!R23+'Análisis proteínas'!R24)/2</f>
        <v>2.3185586195273178</v>
      </c>
      <c r="R13" s="23">
        <f>('Análisis carbohidratos'!AM23+'Análisis carbohidratos'!AM24)/2</f>
        <v>0.63185220970180156</v>
      </c>
      <c r="S13" s="171"/>
      <c r="T13" s="29">
        <f>('Análisis carbohidratos'!AI23+'Análisis carbohidratos'!AI24)/2000</f>
        <v>0.28326384441167174</v>
      </c>
      <c r="U13" s="29">
        <f>('Análisis carbohidratos'!AJ23+'Análisis carbohidratos'!AJ24)/2000</f>
        <v>9.0733234294530035E-2</v>
      </c>
      <c r="V13" s="29">
        <f>('Análisis carbohidratos'!AL24+'Análisis carbohidratos'!AL23)/(2*1000)</f>
        <v>0.25785513099559965</v>
      </c>
      <c r="W13" s="29">
        <v>0</v>
      </c>
      <c r="Y13" s="65" t="s">
        <v>36</v>
      </c>
      <c r="Z13" s="17">
        <f>'BCA y ninhidrina'!H22*(Experimentos!R42/1000)/1000</f>
        <v>1.110844031657227</v>
      </c>
      <c r="AA13" s="17">
        <f>'BCA y ninhidrina'!S22*(Experimentos!R42/1000)</f>
        <v>0</v>
      </c>
      <c r="AD13" s="48">
        <f t="shared" si="6"/>
        <v>0.3739970787062018</v>
      </c>
    </row>
    <row r="14" spans="1:30">
      <c r="A14" s="8" t="s">
        <v>39</v>
      </c>
      <c r="B14" s="23">
        <f>('Análisis proteínas'!H25+'Análisis proteínas'!H26)/2</f>
        <v>23.365222541665055</v>
      </c>
      <c r="C14" s="23">
        <f>('Análisis carbohidratos BIS'!U25+'Análisis carbohidratos BIS'!U26)/2+('Análisis carbohidratos BIS'!AS25+'Análisis carbohidratos BIS'!AS26)/2</f>
        <v>6.1888261485396043</v>
      </c>
      <c r="D14" s="23">
        <f>('Análisis lípidos'!H25+'Análisis lípidos'!H26)/2</f>
        <v>10.112412496460529</v>
      </c>
      <c r="E14" s="32">
        <f>'Análisis sólidos'!G15</f>
        <v>58.277163655972053</v>
      </c>
      <c r="F14" s="32">
        <f>'Análisis sólidos'!F15</f>
        <v>93.614336193841581</v>
      </c>
      <c r="G14" s="29">
        <f>('Análisis carbohidratos BIS'!R25+'Análisis carbohidratos BIS'!R26)/2+('Análisis carbohidratos BIS'!AQ25+'Análisis carbohidratos BIS'!AQ26)/2</f>
        <v>5.0002044202211291</v>
      </c>
      <c r="H14" s="29">
        <f>('Análisis carbohidratos BIS'!S25+'Análisis carbohidratos BIS'!S26)/2+('Análisis carbohidratos BIS'!AR25+'Análisis carbohidratos BIS'!AR26)/2</f>
        <v>1.1886217283184752</v>
      </c>
      <c r="I14" s="29">
        <f>('Análisis carbohidratos BIS'!T25+'Análisis carbohidratos BIS'!T26)/2</f>
        <v>0</v>
      </c>
      <c r="J14" s="23">
        <f t="shared" si="1"/>
        <v>56.00104065075017</v>
      </c>
      <c r="K14" s="23">
        <f t="shared" si="2"/>
        <v>14.833186549230012</v>
      </c>
      <c r="L14" s="23">
        <f t="shared" si="3"/>
        <v>24.237116607025644</v>
      </c>
      <c r="M14" s="23">
        <f t="shared" si="4"/>
        <v>11.98433485919238</v>
      </c>
      <c r="N14" s="23">
        <f t="shared" si="5"/>
        <v>2.8488516900376313</v>
      </c>
      <c r="O14" s="48"/>
      <c r="P14" s="8" t="s">
        <v>39</v>
      </c>
      <c r="Q14" s="23">
        <f>('Análisis proteínas'!R25+'Análisis proteínas'!R26)/2</f>
        <v>1.5656354372130143</v>
      </c>
      <c r="R14" s="23">
        <f>('Análisis carbohidratos'!AM25+'Análisis carbohidratos'!AM26)/2</f>
        <v>0.53295718586797536</v>
      </c>
      <c r="S14" s="171"/>
      <c r="T14" s="29">
        <f>('Análisis carbohidratos'!AI25+'Análisis carbohidratos'!AI26)/2000</f>
        <v>0.29555055830612031</v>
      </c>
      <c r="U14" s="29">
        <f>('Análisis carbohidratos'!AJ25+'Análisis carbohidratos'!AJ26)/2000</f>
        <v>0</v>
      </c>
      <c r="V14" s="29">
        <f>('Análisis carbohidratos'!AL26+'Análisis carbohidratos'!AL25)/(2*1000)</f>
        <v>0.23740662756185504</v>
      </c>
      <c r="W14" s="29">
        <v>0</v>
      </c>
      <c r="Y14" s="65" t="s">
        <v>39</v>
      </c>
      <c r="Z14" s="17">
        <f>'BCA y ninhidrina'!H24*(Experimentos!R43/1000)/1000</f>
        <v>0.67791570523715838</v>
      </c>
      <c r="AA14" s="17">
        <f>'BCA y ninhidrina'!S24*(Experimentos!R43/1000)</f>
        <v>0</v>
      </c>
      <c r="AD14" s="48">
        <f t="shared" si="6"/>
        <v>0.29555055830612031</v>
      </c>
    </row>
    <row r="15" spans="1:30">
      <c r="A15" s="8" t="s">
        <v>42</v>
      </c>
      <c r="B15" s="23">
        <f>('Análisis proteínas'!H28+'Análisis proteínas'!H28)/2</f>
        <v>24.407109481637558</v>
      </c>
      <c r="C15" s="23">
        <f>('Análisis carbohidratos BIS'!U27+'Análisis carbohidratos BIS'!U28)/2+('Análisis carbohidratos BIS'!AS27+'Análisis carbohidratos BIS'!AS28)/2</f>
        <v>6.1501775005409014</v>
      </c>
      <c r="D15" s="23">
        <f>('Análisis lípidos'!H27+'Análisis lípidos'!H28)/2</f>
        <v>12.261275711842838</v>
      </c>
      <c r="E15" s="32">
        <f>'Análisis sólidos'!G16</f>
        <v>55.34020618556702</v>
      </c>
      <c r="F15" s="32">
        <f>'Análisis sólidos'!F16</f>
        <v>90.63264474041857</v>
      </c>
      <c r="G15" s="29">
        <f>('Análisis carbohidratos BIS'!R27+'Análisis carbohidratos BIS'!R28)/2+('Análisis carbohidratos BIS'!AQ27+'Análisis carbohidratos BIS'!AQ28)/2</f>
        <v>4.9167295448743857</v>
      </c>
      <c r="H15" s="29">
        <f>('Análisis carbohidratos BIS'!S27+'Análisis carbohidratos BIS'!S28)/2+('Análisis carbohidratos BIS'!AR27+'Análisis carbohidratos BIS'!AR28)/2</f>
        <v>1.2334479556665157</v>
      </c>
      <c r="I15" s="29">
        <f>('Análisis carbohidratos BIS'!T27+'Análisis carbohidratos BIS'!T28)/2</f>
        <v>0</v>
      </c>
      <c r="J15" s="23">
        <f t="shared" si="1"/>
        <v>54.65119159092437</v>
      </c>
      <c r="K15" s="23">
        <f t="shared" si="2"/>
        <v>13.771173073695003</v>
      </c>
      <c r="L15" s="23">
        <f t="shared" si="3"/>
        <v>27.454841737044219</v>
      </c>
      <c r="M15" s="23">
        <f t="shared" si="4"/>
        <v>11.009297457359546</v>
      </c>
      <c r="N15" s="23">
        <f t="shared" si="5"/>
        <v>2.7618756163354581</v>
      </c>
      <c r="O15" s="48"/>
      <c r="P15" s="8" t="s">
        <v>42</v>
      </c>
      <c r="Q15" s="23">
        <f>('Análisis proteínas'!R27+'Análisis proteínas'!R28)/2</f>
        <v>1.6406554926273791</v>
      </c>
      <c r="R15" s="23">
        <f>('Análisis carbohidratos'!AM28+'Análisis carbohidratos'!AM28)/2</f>
        <v>0.51916920489888696</v>
      </c>
      <c r="S15" s="171"/>
      <c r="T15" s="29">
        <f>('Análisis carbohidratos'!AI28+'Análisis carbohidratos'!AI28)/2000</f>
        <v>0.28668158467642824</v>
      </c>
      <c r="U15" s="29">
        <f>('Análisis carbohidratos'!AJ27+'Análisis carbohidratos'!AJ28)/2000</f>
        <v>0</v>
      </c>
      <c r="V15" s="29">
        <f>('Análisis carbohidratos'!AL28+'Análisis carbohidratos'!AL27)/(2*1000)</f>
        <v>0.23114992271487295</v>
      </c>
      <c r="W15" s="29">
        <v>0</v>
      </c>
      <c r="Y15" s="65" t="s">
        <v>42</v>
      </c>
      <c r="Z15" s="17">
        <f>'BCA y ninhidrina'!H26*(Experimentos!R44/1000)/1000</f>
        <v>0.65582146838227939</v>
      </c>
      <c r="AA15" s="17">
        <f>'BCA y ninhidrina'!S26*(Experimentos!R44/1000)</f>
        <v>0</v>
      </c>
      <c r="AD15" s="48">
        <f t="shared" si="6"/>
        <v>0.28668158467642824</v>
      </c>
    </row>
    <row r="16" spans="1:30">
      <c r="A16" s="8" t="s">
        <v>45</v>
      </c>
      <c r="B16" s="23">
        <f>('Análisis proteínas'!H29+'Análisis proteínas'!H29)/2</f>
        <v>32.741669244216766</v>
      </c>
      <c r="C16" s="23">
        <f>(('Análisis carbohidratos BIS'!U29+'Análisis carbohidratos BIS'!U30))/2+(('Análisis carbohidratos BIS'!AS29+'Análisis carbohidratos BIS'!AS30)/2)</f>
        <v>16.853369585311672</v>
      </c>
      <c r="D16" s="23">
        <f>('Análisis lípidos'!H29+'Análisis lípidos'!H30)/2</f>
        <v>12.184393892557878</v>
      </c>
      <c r="E16" s="32">
        <f>'Análisis sólidos'!G17</f>
        <v>15.323526276516434</v>
      </c>
      <c r="F16" s="32">
        <f>'Análisis sólidos'!F17</f>
        <v>98.856631013225183</v>
      </c>
      <c r="G16" s="29">
        <f>(('Análisis carbohidratos BIS'!R29+'Análisis carbohidratos BIS'!R30)/2)+(('Análisis carbohidratos BIS'!AQ29+'Análisis carbohidratos BIS'!AQ30)/2)</f>
        <v>10.260022523081243</v>
      </c>
      <c r="H16" s="29">
        <f>(('Análisis carbohidratos BIS'!S29+'Análisis carbohidratos BIS'!S30)/2)+(('Análisis carbohidratos BIS'!AR29+'Análisis carbohidratos BIS'!AR30)/2)</f>
        <v>6.5933470622304302</v>
      </c>
      <c r="I16" s="29">
        <f>('Análisis carbohidratos BIS'!T29+'Análisis carbohidratos BIS'!T30)/2</f>
        <v>0</v>
      </c>
      <c r="J16" s="23">
        <f t="shared" si="1"/>
        <v>38.666784059922918</v>
      </c>
      <c r="K16" s="23">
        <f t="shared" si="2"/>
        <v>19.903249207504114</v>
      </c>
      <c r="L16" s="23">
        <f t="shared" si="3"/>
        <v>14.389349670307238</v>
      </c>
      <c r="M16" s="23">
        <f t="shared" si="4"/>
        <v>12.116733340344334</v>
      </c>
      <c r="N16" s="23">
        <f t="shared" si="5"/>
        <v>7.7865158671597801</v>
      </c>
      <c r="O16" s="48"/>
      <c r="P16" s="8" t="s">
        <v>45</v>
      </c>
      <c r="Q16" s="23">
        <f>('Análisis proteínas'!R29+'Análisis proteínas'!R30)/2</f>
        <v>1.4930363732658072</v>
      </c>
      <c r="R16" s="23">
        <f>('Análisis carbohidratos'!AM29+'Análisis carbohidratos'!AM30)/2</f>
        <v>0.36485835138522027</v>
      </c>
      <c r="S16" s="171"/>
      <c r="T16" s="29">
        <f>('Análisis carbohidratos'!AI29+'Análisis carbohidratos'!AI30)/2000</f>
        <v>0.30467438353699222</v>
      </c>
      <c r="U16" s="29">
        <f>('Análisis carbohidratos'!AJ25+'Análisis carbohidratos'!AJ30)/2000</f>
        <v>0</v>
      </c>
      <c r="V16" s="29">
        <f>('Análisis carbohidratos'!AL30+'Análisis carbohidratos'!AL29)/(2*1000)</f>
        <v>6.0183967848228062E-2</v>
      </c>
      <c r="W16" s="29">
        <v>0</v>
      </c>
      <c r="Y16" s="65" t="s">
        <v>45</v>
      </c>
      <c r="Z16" s="17">
        <f>'BCA y ninhidrina'!H28*(Experimentos!R45/1000)/1000</f>
        <v>0.7900078281180567</v>
      </c>
      <c r="AA16" s="17">
        <f>'BCA y ninhidrina'!S28*(Experimentos!R45/1000)</f>
        <v>0</v>
      </c>
      <c r="AD16" s="48">
        <f t="shared" si="6"/>
        <v>0.30467438353699222</v>
      </c>
    </row>
    <row r="17" spans="1:30">
      <c r="A17" s="8" t="s">
        <v>49</v>
      </c>
      <c r="B17" s="23">
        <f>B16</f>
        <v>32.741669244216766</v>
      </c>
      <c r="C17" s="23">
        <f>(('Análisis carbohidratos BIS'!U31+'Análisis carbohidratos BIS'!U32))/2+(('Análisis carbohidratos BIS'!AS31+'Análisis carbohidratos BIS'!AS32)/2)</f>
        <v>15.352648224784087</v>
      </c>
      <c r="D17" s="23">
        <f>('Análisis lípidos'!H31+'Análisis lípidos'!H32)/2</f>
        <v>13.907093761491321</v>
      </c>
      <c r="E17" s="32">
        <f>'Análisis sólidos'!G18</f>
        <v>18.306197838281435</v>
      </c>
      <c r="F17" s="32">
        <f>'Análisis sólidos'!F18</f>
        <v>99.165592564954906</v>
      </c>
      <c r="G17" s="29">
        <f>(('Análisis carbohidratos BIS'!R31+'Análisis carbohidratos BIS'!R32)/2)+(('Análisis carbohidratos BIS'!AQ31+'Análisis carbohidratos BIS'!AQ32)/2)</f>
        <v>9.2286097502781228</v>
      </c>
      <c r="H17" s="29">
        <f>(('Análisis carbohidratos BIS'!S31+'Análisis carbohidratos BIS'!S32)/2)+(('Análisis carbohidratos BIS'!AR31+'Análisis carbohidratos BIS'!AR32)/2)</f>
        <v>6.1240384745059639</v>
      </c>
      <c r="I17" s="29">
        <f>('Análisis carbohidratos BIS'!T31+'Análisis carbohidratos BIS'!T32)/2</f>
        <v>0</v>
      </c>
      <c r="J17" s="23">
        <f t="shared" si="1"/>
        <v>40.078522945231946</v>
      </c>
      <c r="K17" s="23">
        <f t="shared" si="2"/>
        <v>18.792916743417635</v>
      </c>
      <c r="L17" s="23">
        <f t="shared" si="3"/>
        <v>17.023438000793821</v>
      </c>
      <c r="M17" s="23">
        <f t="shared" si="4"/>
        <v>11.296584937997435</v>
      </c>
      <c r="N17" s="23">
        <f t="shared" si="5"/>
        <v>7.4963318054202004</v>
      </c>
      <c r="O17" s="48"/>
      <c r="P17" s="8" t="s">
        <v>49</v>
      </c>
      <c r="Q17" s="23">
        <f>('Análisis proteínas'!R31+'Análisis proteínas'!R32)/2</f>
        <v>1.5232966402639661</v>
      </c>
      <c r="R17" s="23">
        <f>('Análisis carbohidratos'!AM31+'Análisis carbohidratos'!AM32)/2</f>
        <v>0.37164088666340422</v>
      </c>
      <c r="S17" s="171"/>
      <c r="T17" s="29">
        <f>('Análisis carbohidratos'!AI31+'Análisis carbohidratos'!AI32)/2000</f>
        <v>0.30996839530882403</v>
      </c>
      <c r="U17" s="29">
        <f>('Análisis carbohidratos'!AJ31+'Análisis carbohidratos'!AJ32)/2000</f>
        <v>0</v>
      </c>
      <c r="V17" s="29">
        <f>('Análisis carbohidratos'!AL32+'Análisis carbohidratos'!AL31)/(2*1000)</f>
        <v>6.1672491354580188E-2</v>
      </c>
      <c r="W17" s="29">
        <v>0</v>
      </c>
      <c r="Y17" s="65" t="s">
        <v>49</v>
      </c>
      <c r="Z17" s="17">
        <f>'BCA y ninhidrina'!H30*(Experimentos!R46/1000)/1000</f>
        <v>0.75848856571307566</v>
      </c>
      <c r="AA17" s="17">
        <f>'BCA y ninhidrina'!S30*(Experimentos!R46/1000)</f>
        <v>0</v>
      </c>
      <c r="AD17" s="48">
        <f t="shared" si="6"/>
        <v>0.30996839530882403</v>
      </c>
    </row>
    <row r="18" spans="1:30">
      <c r="A18" s="8" t="s">
        <v>50</v>
      </c>
      <c r="B18" s="23">
        <f>B19</f>
        <v>36.362898613015133</v>
      </c>
      <c r="C18" s="23">
        <f>(('Análisis carbohidratos BIS'!U33+'Análisis carbohidratos BIS'!U34))/2+(('Análisis carbohidratos BIS'!AS33+'Análisis carbohidratos BIS'!AS34)/2)</f>
        <v>16.797251861929308</v>
      </c>
      <c r="D18" s="23">
        <f>('Análisis lípidos'!H33+'Análisis lípidos'!H34)/2</f>
        <v>14.237791450853789</v>
      </c>
      <c r="E18" s="32">
        <f>'Análisis sólidos'!G19</f>
        <v>14.385035590134077</v>
      </c>
      <c r="F18" s="32">
        <f>'Análisis sólidos'!F19</f>
        <v>99.260598093986175</v>
      </c>
      <c r="G18" s="29">
        <f>(('Análisis carbohidratos BIS'!R33+'Análisis carbohidratos BIS'!R34)/2)+(('Análisis carbohidratos BIS'!AQ33+'Análisis carbohidratos BIS'!AQ34)/2)</f>
        <v>9.3147209478414901</v>
      </c>
      <c r="H18" s="29">
        <f>(('Análisis carbohidratos BIS'!S33+'Análisis carbohidratos BIS'!S34)/2)+(('Análisis carbohidratos BIS'!AR33+'Análisis carbohidratos BIS'!AR34)/2)</f>
        <v>7.4825309140878185</v>
      </c>
      <c r="I18" s="29">
        <f>('Análisis carbohidratos BIS'!T33+'Análisis carbohidratos BIS'!T34)/2</f>
        <v>0</v>
      </c>
      <c r="J18" s="23">
        <f t="shared" si="1"/>
        <v>42.472596775178729</v>
      </c>
      <c r="K18" s="23">
        <f t="shared" si="2"/>
        <v>19.619527938498635</v>
      </c>
      <c r="L18" s="23">
        <f t="shared" si="3"/>
        <v>16.630026712027792</v>
      </c>
      <c r="M18" s="23">
        <f t="shared" si="4"/>
        <v>10.879781370052289</v>
      </c>
      <c r="N18" s="23">
        <f t="shared" si="5"/>
        <v>8.739746568446348</v>
      </c>
      <c r="O18" s="48"/>
      <c r="P18" s="8" t="s">
        <v>50</v>
      </c>
      <c r="Q18" s="23">
        <f>('Análisis proteínas'!R33+'Análisis proteínas'!R33)/2</f>
        <v>1.2187331798281156</v>
      </c>
      <c r="R18" s="23">
        <f>('Análisis carbohidratos'!AM33+'Análisis carbohidratos'!AM34)/2</f>
        <v>0.33718706122088493</v>
      </c>
      <c r="S18" s="171"/>
      <c r="T18" s="29">
        <f>('Análisis carbohidratos'!AI33+'Análisis carbohidratos'!AI34)/2000</f>
        <v>0.28029455842462869</v>
      </c>
      <c r="U18" s="29">
        <f>('Análisis carbohidratos'!AJ33+'Análisis carbohidratos'!AJ34)/2000</f>
        <v>0</v>
      </c>
      <c r="V18" s="29">
        <f>('Análisis carbohidratos'!AL34+'Análisis carbohidratos'!AL33)/(2*1000)</f>
        <v>5.6892502796256197E-2</v>
      </c>
      <c r="W18" s="29">
        <v>0</v>
      </c>
      <c r="Y18" s="65" t="s">
        <v>50</v>
      </c>
      <c r="Z18" s="17">
        <f>'BCA y ninhidrina'!H32*(Experimentos!R47/1000)/1000</f>
        <v>0.58355738062548823</v>
      </c>
      <c r="AA18" s="17">
        <f>'BCA y ninhidrina'!S32*(Experimentos!R47/1000)</f>
        <v>0</v>
      </c>
      <c r="AD18" s="48">
        <f t="shared" si="6"/>
        <v>0.28029455842462869</v>
      </c>
    </row>
    <row r="19" spans="1:30">
      <c r="A19" s="8" t="s">
        <v>53</v>
      </c>
      <c r="B19" s="23">
        <f>('Análisis proteínas'!H35+'Análisis proteínas'!H36)/2</f>
        <v>36.362898613015133</v>
      </c>
      <c r="C19" s="23">
        <f>(('Análisis carbohidratos BIS'!U35+'Análisis carbohidratos BIS'!U36))/2+(('Análisis carbohidratos BIS'!AS35+'Análisis carbohidratos BIS'!AS36)/2)</f>
        <v>15.933714503712782</v>
      </c>
      <c r="D19" s="23">
        <f>('Análisis lípidos'!H35+'Análisis lípidos'!H36)/2</f>
        <v>10.610946508091043</v>
      </c>
      <c r="E19" s="32">
        <f>'Análisis sólidos'!G20</f>
        <v>16.754280955602958</v>
      </c>
      <c r="F19" s="32">
        <f>'Análisis sólidos'!F20</f>
        <v>97.035353535353451</v>
      </c>
      <c r="G19" s="29">
        <f>(('Análisis carbohidratos BIS'!R35+'Análisis carbohidratos BIS'!R36)/2)+(('Análisis carbohidratos BIS'!AQ35+'Análisis carbohidratos BIS'!AQ36)/2)</f>
        <v>9.7261531335839564</v>
      </c>
      <c r="H19" s="29">
        <f>('Análisis carbohidratos BIS'!S35+'Análisis carbohidratos BIS'!S36)/2+('Análisis carbohidratos BIS'!AR35+'Análisis carbohidratos BIS'!AR36)/2</f>
        <v>6.2075613701288264</v>
      </c>
      <c r="I19" s="29">
        <f>('Análisis carbohidratos BIS'!T35+'Análisis carbohidratos BIS'!T36)/2</f>
        <v>2.6001138146174698</v>
      </c>
      <c r="J19" s="23">
        <f t="shared" si="1"/>
        <v>43.681403717135147</v>
      </c>
      <c r="K19" s="23">
        <f t="shared" si="2"/>
        <v>19.140581265464149</v>
      </c>
      <c r="L19" s="23">
        <f t="shared" si="3"/>
        <v>12.746537155180265</v>
      </c>
      <c r="M19" s="23">
        <f t="shared" si="4"/>
        <v>11.683667635084937</v>
      </c>
      <c r="N19" s="23">
        <f t="shared" si="5"/>
        <v>7.4569136303792112</v>
      </c>
      <c r="O19" s="48"/>
      <c r="P19" s="8" t="s">
        <v>53</v>
      </c>
      <c r="Q19" s="23">
        <f>('Análisis proteínas'!R35+'Análisis proteínas'!R36)/2</f>
        <v>1.3951933852424805</v>
      </c>
      <c r="R19" s="23">
        <f>('Análisis carbohidratos'!AM35+'Análisis carbohidratos'!AM36)/2</f>
        <v>0.35850757336667172</v>
      </c>
      <c r="S19" s="171"/>
      <c r="T19" s="29">
        <f>('Análisis carbohidratos'!AI35+'Análisis carbohidratos'!AI36)/2000</f>
        <v>0.30047097786965832</v>
      </c>
      <c r="U19" s="29">
        <f>('Análisis carbohidratos'!AJ35+'Análisis carbohidratos'!AJ36)/2000</f>
        <v>0</v>
      </c>
      <c r="V19" s="29">
        <f>('Análisis carbohidratos'!AL36+'Análisis carbohidratos'!AL35)/(2*1000)</f>
        <v>5.8036595497013323E-2</v>
      </c>
      <c r="W19" s="29">
        <v>0</v>
      </c>
      <c r="Y19" s="65" t="s">
        <v>53</v>
      </c>
      <c r="Z19" s="17">
        <f>'BCA y ninhidrina'!H34*(Experimentos!R48/1000)/1000</f>
        <v>0.67144614464408603</v>
      </c>
      <c r="AA19" s="17">
        <f>'BCA y ninhidrina'!S34*(Experimentos!R48/1000)</f>
        <v>0</v>
      </c>
      <c r="AD19" s="48">
        <f t="shared" si="6"/>
        <v>0.30047097786965832</v>
      </c>
    </row>
    <row r="20" spans="1:30">
      <c r="A20" s="8" t="s">
        <v>54</v>
      </c>
      <c r="B20" s="23">
        <f>('Análisis proteínas'!H37+'Análisis proteínas'!H38)/2</f>
        <v>37.652740625348855</v>
      </c>
      <c r="C20" s="153">
        <f>(('Análisis carbohidratos BIS'!U37+'Análisis carbohidratos BIS'!U38))/2+(('Análisis carbohidratos BIS'!AS37+'Análisis carbohidratos BIS'!AS38)/2)</f>
        <v>15.687902158822132</v>
      </c>
      <c r="D20" s="23">
        <f>('Análisis lípidos'!H37+'Análisis lípidos'!H38)/2</f>
        <v>9.8329900026427541</v>
      </c>
      <c r="E20" s="32">
        <f>'Análisis sólidos'!G21</f>
        <v>15.860423501342193</v>
      </c>
      <c r="F20" s="32">
        <f>'Análisis sólidos'!F21</f>
        <v>99.048800661704007</v>
      </c>
      <c r="G20" s="29">
        <f>(('Análisis carbohidratos BIS'!R37+'Análisis carbohidratos BIS'!R38)/2)+(('Análisis carbohidratos BIS'!AQ37+'Análisis carbohidratos BIS'!AQ38)/2)</f>
        <v>8.8101195702734802</v>
      </c>
      <c r="H20" s="29">
        <f>(('Análisis carbohidratos BIS'!S37+'Análisis carbohidratos BIS'!S38)/2)+(('Análisis carbohidratos BIS'!AR37+'Análisis carbohidratos BIS'!AR38)/2)</f>
        <v>6.8777825885486488</v>
      </c>
      <c r="I20" s="29">
        <f>('Análisis carbohidratos BIS'!T37+'Análisis carbohidratos BIS'!T38)/2</f>
        <v>0</v>
      </c>
      <c r="J20" s="23">
        <f t="shared" si="1"/>
        <v>44.750332949381431</v>
      </c>
      <c r="K20" s="23">
        <f t="shared" si="2"/>
        <v>18.645092846494641</v>
      </c>
      <c r="L20" s="23">
        <f t="shared" si="3"/>
        <v>11.686521862633349</v>
      </c>
      <c r="M20" s="23">
        <f t="shared" si="4"/>
        <v>10.470838976012697</v>
      </c>
      <c r="N20" s="23">
        <f t="shared" si="5"/>
        <v>8.174253870481941</v>
      </c>
      <c r="O20" s="48"/>
      <c r="P20" s="8" t="s">
        <v>54</v>
      </c>
      <c r="Q20" s="23">
        <f>('Análisis proteínas'!R37+'Análisis proteínas'!R38)/2</f>
        <v>0.98702455182320459</v>
      </c>
      <c r="R20" s="23">
        <f>('Análisis carbohidratos'!AM37+'Análisis carbohidratos'!AM38)/2</f>
        <v>0.36480794976161324</v>
      </c>
      <c r="S20" s="171"/>
      <c r="T20" s="29">
        <f>('Análisis carbohidratos'!AI37+'Análisis carbohidratos'!AI38)/2000</f>
        <v>0.30402228984514906</v>
      </c>
      <c r="U20" s="29">
        <f>('Análisis carbohidratos'!AJ37+'Análisis carbohidratos'!AJ38)/2000</f>
        <v>0</v>
      </c>
      <c r="V20" s="29">
        <f>('Análisis carbohidratos'!AL38+'Análisis carbohidratos'!AL37)/(2*1000)</f>
        <v>6.0785659916464167E-2</v>
      </c>
      <c r="W20" s="29">
        <v>0</v>
      </c>
      <c r="Y20" s="65" t="s">
        <v>54</v>
      </c>
      <c r="Z20" s="17">
        <f>'BCA y ninhidrina'!H36*(Experimentos!R49/1000)/1000</f>
        <v>0.57103698928353086</v>
      </c>
      <c r="AA20" s="17">
        <f>'BCA y ninhidrina'!S36*(Experimentos!R49/1000)</f>
        <v>572.25394641600008</v>
      </c>
      <c r="AD20" s="48">
        <f t="shared" si="6"/>
        <v>0.30402228984514906</v>
      </c>
    </row>
    <row r="21" spans="1:30">
      <c r="A21" s="8" t="s">
        <v>58</v>
      </c>
      <c r="B21" s="23">
        <f>('Análisis proteínas'!H39+'Análisis proteínas'!H40)/2</f>
        <v>38.13302658695855</v>
      </c>
      <c r="C21" s="153">
        <f>(('Análisis carbohidratos BIS'!U39+'Análisis carbohidratos BIS'!U40))/2+(('Análisis carbohidratos BIS'!AS39+'Análisis carbohidratos BIS'!AS40)/2)</f>
        <v>15.861428115512712</v>
      </c>
      <c r="D21" s="23">
        <f>('Análisis lípidos'!H39+'Análisis lípidos'!H40)/2</f>
        <v>9.1027270978261399</v>
      </c>
      <c r="E21" s="29">
        <f>'Análisis sólidos'!G22</f>
        <v>16.4841284573975</v>
      </c>
      <c r="F21" s="29">
        <f>'Análisis sólidos'!F22</f>
        <v>99.14115698423393</v>
      </c>
      <c r="G21" s="29">
        <f>(('Análisis carbohidratos BIS'!R39+'Análisis carbohidratos BIS'!R40)/2)+(('Análisis carbohidratos BIS'!AQ39+'Análisis carbohidratos BIS'!AQ40)/2)</f>
        <v>9.1236898827630668</v>
      </c>
      <c r="H21" s="29">
        <f>(('Análisis carbohidratos BIS'!S39+'Análisis carbohidratos BIS'!S40)/2)+(('Análisis carbohidratos BIS'!AR39+'Análisis carbohidratos BIS'!AR40)/2)</f>
        <v>6.7377382327496464</v>
      </c>
      <c r="I21" s="29">
        <f>('Análisis carbohidratos BIS'!T39+'Análisis carbohidratos BIS'!T40)/2</f>
        <v>2.7898375502224617</v>
      </c>
      <c r="J21" s="23">
        <f t="shared" si="1"/>
        <v>45.659616408967743</v>
      </c>
      <c r="K21" s="23">
        <f t="shared" si="2"/>
        <v>18.992112304571471</v>
      </c>
      <c r="L21" s="23">
        <f t="shared" si="3"/>
        <v>10.899397838628463</v>
      </c>
      <c r="M21" s="23">
        <f t="shared" si="4"/>
        <v>10.924498199254208</v>
      </c>
      <c r="N21" s="23">
        <f t="shared" si="5"/>
        <v>8.067614105317265</v>
      </c>
      <c r="O21" s="48"/>
      <c r="P21" s="8" t="s">
        <v>58</v>
      </c>
      <c r="Q21" s="23">
        <f>('Análisis proteínas'!R39+'Análisis proteínas'!R40)/2</f>
        <v>0.85420355295273165</v>
      </c>
      <c r="R21" s="23">
        <f>('Análisis carbohidratos'!AM39+'Análisis carbohidratos'!AM40)/2</f>
        <v>0.36105574198975654</v>
      </c>
      <c r="S21" s="171"/>
      <c r="T21" s="29">
        <f>('Análisis carbohidratos'!AI39+'Análisis carbohidratos'!AI40)/2000</f>
        <v>0.30385793178745746</v>
      </c>
      <c r="U21" s="29">
        <f>('Análisis carbohidratos'!AJ39+'Análisis carbohidratos'!AJ40)/2000</f>
        <v>0</v>
      </c>
      <c r="V21" s="29">
        <f>('Análisis carbohidratos'!AL40+'Análisis carbohidratos'!AL39)/(2*1000)</f>
        <v>5.7197810202299096E-2</v>
      </c>
      <c r="W21" s="29">
        <v>0</v>
      </c>
      <c r="Y21" s="65" t="s">
        <v>58</v>
      </c>
      <c r="Z21" s="17">
        <f>'BCA y ninhidrina'!H38*(Experimentos!R50/1000)/1000</f>
        <v>0.61087673716526836</v>
      </c>
      <c r="AA21" s="17">
        <f>'BCA y ninhidrina'!S38*(Experimentos!R50/1000)</f>
        <v>568.07791300800011</v>
      </c>
      <c r="AD21" s="48">
        <f t="shared" si="6"/>
        <v>0.30385793178745746</v>
      </c>
    </row>
    <row r="22" spans="1:30">
      <c r="A22" s="8" t="s">
        <v>60</v>
      </c>
      <c r="B22" s="23">
        <f>('Análisis proteínas'!H41+'Análisis proteínas'!H41)/2</f>
        <v>32.582366378813546</v>
      </c>
      <c r="C22" s="23">
        <f>(('Análisis carbohidratos BIS'!U45+'Análisis carbohidratos BIS'!U46))/2+(('Análisis carbohidratos BIS'!AS45+'Análisis carbohidratos BIS'!AS46)/2)</f>
        <v>18.68062748801961</v>
      </c>
      <c r="D22" s="23">
        <f>('Análisis lípidos'!H42+'Análisis lípidos'!H41)/2</f>
        <v>10.019153261934648</v>
      </c>
      <c r="E22" s="29">
        <f>'Análisis sólidos'!G23</f>
        <v>14.245925314627566</v>
      </c>
      <c r="F22" s="29">
        <f>'Análisis sólidos'!F23</f>
        <v>97.643029814665709</v>
      </c>
      <c r="G22" s="29">
        <f>(('Análisis carbohidratos BIS'!R45+'Análisis carbohidratos BIS'!R46)/2)+(('Análisis carbohidratos BIS'!AQ45+'Análisis carbohidratos BIS'!AQ46)/2)</f>
        <v>10.782212095690973</v>
      </c>
      <c r="H22" s="29">
        <f>(('Análisis carbohidratos BIS'!S45+'Análisis carbohidratos BIS'!S46)/2)+(('Análisis carbohidratos BIS'!AR45+'Análisis carbohidratos BIS'!AR46)/2)</f>
        <v>7.8984153923286353</v>
      </c>
      <c r="I22" s="29">
        <f>('Análisis carbohidratos BIS'!T45+'Análisis carbohidratos BIS'!T46)/2</f>
        <v>2.7589248754012767</v>
      </c>
      <c r="J22" s="23">
        <f t="shared" si="1"/>
        <v>37.995123261905256</v>
      </c>
      <c r="K22" s="23">
        <f t="shared" si="2"/>
        <v>21.783953190047157</v>
      </c>
      <c r="L22" s="23">
        <f t="shared" si="3"/>
        <v>11.683588562636164</v>
      </c>
      <c r="M22" s="23">
        <f t="shared" si="4"/>
        <v>12.57341080904947</v>
      </c>
      <c r="N22" s="23">
        <f t="shared" si="5"/>
        <v>9.2105423809976852</v>
      </c>
      <c r="O22" s="48"/>
      <c r="P22" s="8" t="s">
        <v>60</v>
      </c>
      <c r="Q22" s="23">
        <f>('Análisis proteínas'!R42+'Análisis proteínas'!R41)/2</f>
        <v>2.2152521493799879</v>
      </c>
      <c r="R22" s="23">
        <f>('Análisis carbohidratos'!AM42+'Análisis carbohidratos'!AM41)/2</f>
        <v>0.47208431486531938</v>
      </c>
      <c r="S22" s="171"/>
      <c r="T22" s="29">
        <f>('Análisis carbohidratos'!AI42+'Análisis carbohidratos'!AI41)/2000</f>
        <v>0.32581523578777344</v>
      </c>
      <c r="U22" s="29">
        <f>('Análisis carbohidratos'!AJ42+'Análisis carbohidratos'!AJ41)/2000</f>
        <v>0</v>
      </c>
      <c r="V22" s="29">
        <f>('Análisis carbohidratos'!AL42+'Análisis carbohidratos'!AL41)/(2*1000)</f>
        <v>0.14626907907754591</v>
      </c>
      <c r="W22" s="29">
        <v>0</v>
      </c>
      <c r="Y22" s="65" t="s">
        <v>60</v>
      </c>
      <c r="Z22" s="47">
        <f>'BCA y ninhidrina'!H40*(Experimentos!R51/1000)/1000</f>
        <v>1.150883467767043</v>
      </c>
      <c r="AA22" s="47">
        <f>'BCA y ninhidrina'!S40*(Experimentos!R51/1000)</f>
        <v>964.23815247709103</v>
      </c>
      <c r="AD22" s="48">
        <f t="shared" si="6"/>
        <v>0.32581523578777344</v>
      </c>
    </row>
    <row r="23" spans="1:30">
      <c r="A23" s="8" t="s">
        <v>63</v>
      </c>
      <c r="B23" s="23">
        <f>('Análisis proteínas'!H44+'Análisis proteínas'!H44)/2</f>
        <v>30.471785724877243</v>
      </c>
      <c r="C23" s="23">
        <f>(('Análisis carbohidratos BIS'!U47+'Análisis carbohidratos BIS'!U48))/2+(('Análisis carbohidratos BIS'!AS47+'Análisis carbohidratos BIS'!AS48)/2)</f>
        <v>18.405188927986806</v>
      </c>
      <c r="D23" s="23">
        <f>('Análisis lípidos'!H43+'Análisis lípidos'!H44)/2</f>
        <v>15.076994693946395</v>
      </c>
      <c r="E23" s="29">
        <f>'Análisis sólidos'!G24</f>
        <v>20.086230495483257</v>
      </c>
      <c r="F23" s="29">
        <f>'Análisis sólidos'!F24</f>
        <v>97.889730019427802</v>
      </c>
      <c r="G23" s="29">
        <f>(('Análisis carbohidratos BIS'!R47+'Análisis carbohidratos BIS'!R48)/2)+(('Análisis carbohidratos BIS'!AQ47+'Análisis carbohidratos BIS'!AQ48)/2)</f>
        <v>10.708898007154479</v>
      </c>
      <c r="H23" s="29">
        <f>(('Análisis carbohidratos BIS'!S47+'Análisis carbohidratos BIS'!S48)/2)+(('Análisis carbohidratos BIS'!AR47+'Análisis carbohidratos BIS'!AR48)/2)</f>
        <v>7.6962909208323271</v>
      </c>
      <c r="I23" s="29">
        <f>('Análisis carbohidratos BIS'!T47+'Análisis carbohidratos BIS'!T48)/2</f>
        <v>2.819762860532844</v>
      </c>
      <c r="J23" s="23">
        <f t="shared" si="1"/>
        <v>38.130832663518603</v>
      </c>
      <c r="K23" s="23">
        <f t="shared" si="2"/>
        <v>23.031311177163953</v>
      </c>
      <c r="L23" s="23">
        <f t="shared" si="3"/>
        <v>18.866579298445231</v>
      </c>
      <c r="M23" s="23">
        <f t="shared" si="4"/>
        <v>13.400566727801783</v>
      </c>
      <c r="N23" s="23">
        <f t="shared" si="5"/>
        <v>9.6307444493621723</v>
      </c>
      <c r="O23" s="48"/>
      <c r="P23" s="8" t="s">
        <v>63</v>
      </c>
      <c r="Q23" s="23">
        <f>('Análisis proteínas'!R43+'Análisis proteínas'!R44)/2</f>
        <v>2.3684442574432172</v>
      </c>
      <c r="R23" s="23">
        <f>('Análisis carbohidratos'!AM43+'Análisis carbohidratos'!AM44)/2</f>
        <v>0.44879161552755853</v>
      </c>
      <c r="S23" s="171"/>
      <c r="T23" s="29">
        <f>('Análisis carbohidratos'!AI43+'Análisis carbohidratos'!AI44)/2000</f>
        <v>0.29556559987183539</v>
      </c>
      <c r="U23" s="29">
        <f>('Análisis carbohidratos'!AJ43+'Análisis carbohidratos'!AJ44)/2000</f>
        <v>0</v>
      </c>
      <c r="V23" s="29">
        <f>('Análisis carbohidratos'!AL44+'Análisis carbohidratos'!AL43)/(2*1000)</f>
        <v>0.15322601565572311</v>
      </c>
      <c r="W23" s="29">
        <v>0</v>
      </c>
      <c r="Y23" s="65" t="s">
        <v>63</v>
      </c>
      <c r="Z23" s="47">
        <f>'BCA y ninhidrina'!H42*(Experimentos!R52/1000)/1000</f>
        <v>1.0675127215762117</v>
      </c>
      <c r="AA23" s="47">
        <f>'BCA y ninhidrina'!S42*(Experimentos!R52/1000)</f>
        <v>960.53160529963645</v>
      </c>
      <c r="AD23" s="48">
        <f t="shared" si="6"/>
        <v>0.29556559987183539</v>
      </c>
    </row>
    <row r="24" spans="1:30">
      <c r="A24" s="8" t="s">
        <v>65</v>
      </c>
      <c r="B24" s="23">
        <f>('Análisis proteínas'!H45+'Análisis proteínas'!H45)/2</f>
        <v>32.159442746903643</v>
      </c>
      <c r="C24" s="23">
        <f>(('Análisis carbohidratos BIS'!U49+'Análisis carbohidratos BIS'!U50))/2+(('Análisis carbohidratos BIS'!AS49+'Análisis carbohidratos BIS'!AS50)/2)</f>
        <v>9.5558703661560909</v>
      </c>
      <c r="D24" s="23">
        <f>('Análisis lípidos'!H45+'Análisis lípidos'!H46)/2</f>
        <v>12.400118997539174</v>
      </c>
      <c r="E24" s="29">
        <f>'Análisis sólidos'!G25</f>
        <v>16.209753181313371</v>
      </c>
      <c r="F24" s="29">
        <f>'Análisis sólidos'!F25</f>
        <v>97.623811905953175</v>
      </c>
      <c r="G24" s="29">
        <f>(('Análisis carbohidratos BIS'!R49+'Análisis carbohidratos BIS'!R50)/2)+(('Análisis carbohidratos BIS'!AQ49+'Análisis carbohidratos BIS'!AQ50)/2)</f>
        <v>6.7665001626190566</v>
      </c>
      <c r="H24" s="29">
        <f>(('Análisis carbohidratos BIS'!S49+'Análisis carbohidratos BIS'!S50)/2)+(('Análisis carbohidratos BIS'!AR49+'Análisis carbohidratos BIS'!AR50)/2)</f>
        <v>2.7893702035370338</v>
      </c>
      <c r="I24" s="29">
        <f>('Análisis carbohidratos BIS'!T49+'Análisis carbohidratos BIS'!T50)/2</f>
        <v>2.888896581210572</v>
      </c>
      <c r="J24" s="23">
        <f t="shared" si="1"/>
        <v>38.380890339771085</v>
      </c>
      <c r="K24" s="23">
        <f t="shared" si="2"/>
        <v>11.404513924913003</v>
      </c>
      <c r="L24" s="23">
        <f t="shared" si="3"/>
        <v>14.79900044258342</v>
      </c>
      <c r="M24" s="23">
        <f t="shared" si="4"/>
        <v>8.0755224140359179</v>
      </c>
      <c r="N24" s="23">
        <f t="shared" si="5"/>
        <v>3.328991510877084</v>
      </c>
      <c r="O24" s="48"/>
      <c r="P24" s="8" t="s">
        <v>65</v>
      </c>
      <c r="Q24" s="23">
        <f>('Análisis proteínas'!R45+'Análisis proteínas'!R46)/2</f>
        <v>0.70640490963167601</v>
      </c>
      <c r="R24" s="23">
        <f>('Análisis carbohidratos'!AM45+'Análisis carbohidratos'!AM46)/2</f>
        <v>0.23649633210966636</v>
      </c>
      <c r="S24" s="171"/>
      <c r="T24" s="29">
        <f>('Análisis carbohidratos'!AI45+'Análisis carbohidratos'!AI46)/2000</f>
        <v>0.18882773675339723</v>
      </c>
      <c r="U24" s="29">
        <f>('Análisis carbohidratos'!AJ45+'Análisis carbohidratos'!AJ46)/2000</f>
        <v>0</v>
      </c>
      <c r="V24" s="29">
        <f>('Análisis carbohidratos'!AL46+'Análisis carbohidratos'!AL45)/(2*1000)</f>
        <v>4.7668595356269119E-2</v>
      </c>
      <c r="W24" s="29">
        <v>0</v>
      </c>
      <c r="Y24" s="65" t="s">
        <v>65</v>
      </c>
      <c r="Z24" s="17">
        <f>'BCA y ninhidrina'!H44*(Experimentos!R53/1000)/1000</f>
        <v>0.38435466378791155</v>
      </c>
      <c r="AA24" s="17">
        <f>'BCA y ninhidrina'!S44*(Experimentos!R53/1000)</f>
        <v>356.68990078690911</v>
      </c>
      <c r="AD24" s="48">
        <f t="shared" si="6"/>
        <v>0.18882773675339723</v>
      </c>
    </row>
    <row r="25" spans="1:30">
      <c r="A25" s="8" t="s">
        <v>67</v>
      </c>
      <c r="B25" s="23">
        <f>('Análisis proteínas'!H47+'Análisis proteínas'!H47)/2</f>
        <v>31.687177412254908</v>
      </c>
      <c r="C25" s="23">
        <f>(('Análisis carbohidratos BIS'!U51+'Análisis carbohidratos BIS'!U52))/2+(('Análisis carbohidratos BIS'!AS51+'Análisis carbohidratos BIS'!AS52)/2)</f>
        <v>8.5338181093031551</v>
      </c>
      <c r="D25" s="23">
        <f>('Análisis lípidos'!H47+'Análisis lípidos'!H48)/2</f>
        <v>10.308796125084626</v>
      </c>
      <c r="E25" s="29">
        <f>'Análisis sólidos'!G26</f>
        <v>16.062248158955047</v>
      </c>
      <c r="F25" s="29">
        <f>'Análisis sólidos'!F26</f>
        <v>98.62056365048187</v>
      </c>
      <c r="G25" s="29">
        <f>(('Análisis carbohidratos BIS'!R51+'Análisis carbohidratos BIS'!R52)/2)+(('Análisis carbohidratos BIS'!AQ51+'Análisis carbohidratos BIS'!AQ52)/2)</f>
        <v>5.9647513150919629</v>
      </c>
      <c r="H25" s="29">
        <f>(('Análisis carbohidratos BIS'!S51+'Análisis carbohidratos BIS'!S52)/2)+(('Análisis carbohidratos BIS'!AR51+'Análisis carbohidratos BIS'!AR52)/2)</f>
        <v>2.5690667942111931</v>
      </c>
      <c r="I25" s="29">
        <f>('Análisis carbohidratos BIS'!T51+'Análisis carbohidratos BIS'!T52)/2</f>
        <v>2.5060603541711624</v>
      </c>
      <c r="J25" s="23">
        <f t="shared" si="1"/>
        <v>37.750805468630752</v>
      </c>
      <c r="K25" s="23">
        <f t="shared" si="2"/>
        <v>10.166841405835912</v>
      </c>
      <c r="L25" s="23">
        <f t="shared" si="3"/>
        <v>12.281477522303259</v>
      </c>
      <c r="M25" s="23">
        <f t="shared" si="4"/>
        <v>7.1061604394498952</v>
      </c>
      <c r="N25" s="23">
        <f t="shared" si="5"/>
        <v>3.0606809663860188</v>
      </c>
      <c r="O25" s="48"/>
      <c r="P25" s="8" t="s">
        <v>67</v>
      </c>
      <c r="Q25" s="23">
        <f>('Análisis proteínas'!R47+'Análisis proteínas'!R48)/2</f>
        <v>0.684217601193984</v>
      </c>
      <c r="R25" s="23">
        <f>('Análisis carbohidratos'!AM47+'Análisis carbohidratos'!AM48)/2</f>
        <v>0.25685228556789086</v>
      </c>
      <c r="S25" s="171"/>
      <c r="T25" s="29">
        <f>('Análisis carbohidratos'!AI47+'Análisis carbohidratos'!AI48)/2000</f>
        <v>0.20617086511113453</v>
      </c>
      <c r="U25" s="29">
        <f>('Análisis carbohidratos'!AJ47+'Análisis carbohidratos'!AJ48)/2000</f>
        <v>0</v>
      </c>
      <c r="V25" s="29">
        <f>('Análisis carbohidratos'!AL48+'Análisis carbohidratos'!AL47)/(2*1000)</f>
        <v>5.0681420456756339E-2</v>
      </c>
      <c r="W25" s="29">
        <v>0</v>
      </c>
      <c r="Y25" s="65" t="s">
        <v>67</v>
      </c>
      <c r="Z25" s="17">
        <f>'BCA y ninhidrina'!H46*(Experimentos!R54/1000)/1000</f>
        <v>0.37897550625854765</v>
      </c>
      <c r="AA25" s="17">
        <f>'BCA y ninhidrina'!S46*(Experimentos!R54/1000)</f>
        <v>393.39179832763648</v>
      </c>
      <c r="AD25" s="48">
        <f t="shared" si="6"/>
        <v>0.20617086511113453</v>
      </c>
    </row>
    <row r="26" spans="1:30">
      <c r="A26" s="8" t="s">
        <v>68</v>
      </c>
      <c r="B26" s="23">
        <f>B27</f>
        <v>32.141823386315465</v>
      </c>
      <c r="C26" s="153">
        <f>(('Análisis carbohidratos BIS'!U53+'Análisis carbohidratos BIS'!U54))/2+(('Análisis carbohidratos BIS'!AS53+'Análisis carbohidratos BIS'!AS54)/2)</f>
        <v>16.062659012724119</v>
      </c>
      <c r="D26" s="23">
        <f>('Análisis lípidos'!H49+'Análisis lípidos'!H50)/2</f>
        <v>13.147096018901753</v>
      </c>
      <c r="E26" s="29">
        <f>'Análisis sólidos'!G27</f>
        <v>17.490671641791028</v>
      </c>
      <c r="F26" s="29">
        <f>'Análisis sólidos'!F27</f>
        <v>97.881665449233097</v>
      </c>
      <c r="G26" s="29">
        <f>(('Análisis carbohidratos BIS'!R53+'Análisis carbohidratos BIS'!R54)/2)+(('Análisis carbohidratos BIS'!AQ53+'Análisis carbohidratos BIS'!AQ54)/2)</f>
        <v>9.1621212759663742</v>
      </c>
      <c r="H26" s="29">
        <f>(('Análisis carbohidratos BIS'!S53+'Análisis carbohidratos BIS'!S54)/2)+(('Análisis carbohidratos BIS'!AR53+'Análisis carbohidratos BIS'!AR54)/2)</f>
        <v>6.9005377367577445</v>
      </c>
      <c r="I26" s="29">
        <f>('Análisis carbohidratos BIS'!T53+'Análisis carbohidratos BIS'!T54)/2</f>
        <v>2.7302443565152701</v>
      </c>
      <c r="J26" s="23">
        <f t="shared" si="1"/>
        <v>38.955381198564353</v>
      </c>
      <c r="K26" s="23">
        <f t="shared" si="2"/>
        <v>19.467688481221312</v>
      </c>
      <c r="L26" s="23">
        <f t="shared" si="3"/>
        <v>15.934072280681374</v>
      </c>
      <c r="M26" s="23">
        <f t="shared" si="4"/>
        <v>11.104345967027644</v>
      </c>
      <c r="N26" s="23">
        <f t="shared" si="5"/>
        <v>8.3633425141936684</v>
      </c>
      <c r="O26" s="48"/>
      <c r="P26" s="8" t="s">
        <v>68</v>
      </c>
      <c r="Q26" s="23">
        <f>('Análisis proteínas'!R50+'Análisis proteínas'!R49)/2</f>
        <v>1.4347427261510131</v>
      </c>
      <c r="R26" s="23">
        <f>('Análisis carbohidratos'!AM49+'Análisis carbohidratos'!AM50)/2</f>
        <v>0.51943505931999934</v>
      </c>
      <c r="S26" s="171"/>
      <c r="T26" s="29">
        <f>('Análisis carbohidratos'!AI49+'Análisis carbohidratos'!AI50)/2000</f>
        <v>0.32321193458337721</v>
      </c>
      <c r="U26" s="29">
        <f>('Análisis carbohidratos'!AJ49+'Análisis carbohidratos'!AJ50)/2000</f>
        <v>0</v>
      </c>
      <c r="V26" s="29">
        <f>('Análisis carbohidratos'!AL50+'Análisis carbohidratos'!AL49)/(2*1000)</f>
        <v>5.9379752853174816E-2</v>
      </c>
      <c r="W26" s="29">
        <f>('Análisis carbohidratos'!AK50+'Análisis carbohidratos'!AK49)/(2*1000)</f>
        <v>0.13684337188344725</v>
      </c>
      <c r="Y26" s="8" t="s">
        <v>68</v>
      </c>
      <c r="Z26" s="17">
        <f>'BCA y ninhidrina'!H48*(Experimentos!R55/1000)/1000</f>
        <v>0.63176549717074315</v>
      </c>
      <c r="AA26" s="17">
        <f>'BCA y ninhidrina'!S48*(Experimentos!R55/1000)</f>
        <v>555.16494579054552</v>
      </c>
      <c r="AD26" s="48">
        <f t="shared" si="6"/>
        <v>0.32321193458337721</v>
      </c>
    </row>
    <row r="27" spans="1:30">
      <c r="A27" s="8" t="s">
        <v>71</v>
      </c>
      <c r="B27" s="23">
        <f>('Análisis proteínas'!H51+'Análisis proteínas'!H52)/2</f>
        <v>32.141823386315465</v>
      </c>
      <c r="C27" s="153">
        <f>(('Análisis carbohidratos BIS'!U55+'Análisis carbohidratos BIS'!U56))/2+(('Análisis carbohidratos BIS'!AS55+'Análisis carbohidratos BIS'!AS56)/2)</f>
        <v>16.159849067910887</v>
      </c>
      <c r="D27" s="23">
        <f>('Análisis lípidos'!H51+'Análisis lípidos'!H52)/2</f>
        <v>14.870686005466402</v>
      </c>
      <c r="E27" s="29">
        <f>'Análisis sólidos'!G28</f>
        <v>14.237796804660649</v>
      </c>
      <c r="F27" s="29">
        <f>'Análisis sólidos'!F28</f>
        <v>97.78180562748156</v>
      </c>
      <c r="G27" s="29">
        <f>(('Análisis carbohidratos BIS'!R55+'Análisis carbohidratos BIS'!R56)/2)+(('Análisis carbohidratos BIS'!AQ55+'Análisis carbohidratos BIS'!AQ56)/2)</f>
        <v>9.3300022481903895</v>
      </c>
      <c r="H27" s="29">
        <f>(('Análisis carbohidratos BIS'!S55+'Análisis carbohidratos BIS'!S56)/2)+(('Análisis carbohidratos BIS'!AR55+'Análisis carbohidratos BIS'!AR56)/2)</f>
        <v>6.8298468197204958</v>
      </c>
      <c r="I27" s="29">
        <f>('Análisis carbohidratos BIS'!T55+'Análisis carbohidratos BIS'!T56)/2</f>
        <v>2.6754460933389907</v>
      </c>
      <c r="J27" s="23">
        <f t="shared" si="1"/>
        <v>37.477842439642664</v>
      </c>
      <c r="K27" s="23">
        <f t="shared" si="2"/>
        <v>18.842623516916689</v>
      </c>
      <c r="L27" s="23">
        <f t="shared" si="3"/>
        <v>17.339440279531594</v>
      </c>
      <c r="M27" s="23">
        <f t="shared" si="4"/>
        <v>10.878920900550533</v>
      </c>
      <c r="N27" s="23">
        <f t="shared" si="5"/>
        <v>7.9637026163661524</v>
      </c>
      <c r="O27" s="48"/>
      <c r="P27" s="8" t="s">
        <v>71</v>
      </c>
      <c r="Q27" s="23">
        <f>('Análisis proteínas'!R51+'Análisis proteínas'!R52)/2</f>
        <v>1.4122794489871089</v>
      </c>
      <c r="R27" s="23">
        <f>('Análisis carbohidratos'!AM51+'Análisis carbohidratos'!AM52)/2</f>
        <v>0.53002493025616659</v>
      </c>
      <c r="S27" s="171"/>
      <c r="T27" s="29">
        <f>('Análisis carbohidratos'!AI51+'Análisis carbohidratos'!AI52)/2000</f>
        <v>0.30709469854980864</v>
      </c>
      <c r="U27" s="29">
        <f>('Análisis carbohidratos'!AJ51+'Análisis carbohidratos'!AJ52)/2000</f>
        <v>0</v>
      </c>
      <c r="V27" s="29">
        <f>('Análisis carbohidratos'!AL52+'Análisis carbohidratos'!AL51)/(2*1000)</f>
        <v>7.6703554254821518E-2</v>
      </c>
      <c r="W27" s="29">
        <f>('Análisis carbohidratos'!AK52+'Análisis carbohidratos'!AK51)/(2*1000)</f>
        <v>0.14622667745153636</v>
      </c>
      <c r="Y27" s="8" t="s">
        <v>71</v>
      </c>
      <c r="Z27" s="17">
        <f>'BCA y ninhidrina'!H50*(Experimentos!R56/1000)/1000</f>
        <v>0.5991132449901867</v>
      </c>
      <c r="AA27" s="17">
        <f>'BCA y ninhidrina'!S50*(Experimentos!R56/1000)</f>
        <v>521.26983475199995</v>
      </c>
      <c r="AD27" s="48">
        <f t="shared" si="6"/>
        <v>0.30709469854980864</v>
      </c>
    </row>
    <row r="28" spans="1:30">
      <c r="A28" s="8" t="s">
        <v>72</v>
      </c>
      <c r="B28" s="23">
        <f>('Análisis proteínas'!H53+'Análisis proteínas'!H54)/2</f>
        <v>33.72628880085351</v>
      </c>
      <c r="C28" s="23">
        <f>(('Análisis carbohidratos BIS'!U57+'Análisis carbohidratos BIS'!U58))/2+(('Análisis carbohidratos BIS'!AS57+'Análisis carbohidratos BIS'!AS58)/2)</f>
        <v>18.533547659878156</v>
      </c>
      <c r="D28" s="23">
        <f>('Análisis lípidos'!H53+'Análisis lípidos'!H54)/2</f>
        <v>17.099457828255773</v>
      </c>
      <c r="E28" s="29">
        <f>'Análisis sólidos'!G29</f>
        <v>14.875254981955303</v>
      </c>
      <c r="F28" s="29">
        <f>'Análisis sólidos'!F29</f>
        <v>97.752895160671628</v>
      </c>
      <c r="G28" s="29">
        <f>(('Análisis carbohidratos BIS'!R57+'Análisis carbohidratos BIS'!R58)/2)+(('Análisis carbohidratos BIS'!AQ57+'Análisis carbohidratos BIS'!AQ58)/2)</f>
        <v>10.473643882550476</v>
      </c>
      <c r="H28" s="29">
        <f>(('Análisis carbohidratos BIS'!S57+'Análisis carbohidratos BIS'!S58)/2)+(('Análisis carbohidratos BIS'!AR57+'Análisis carbohidratos BIS'!AR58)/2)</f>
        <v>8.0599037773276798</v>
      </c>
      <c r="I28" s="29">
        <f>('Análisis carbohidratos BIS'!T57+'Análisis carbohidratos BIS'!T58)/2</f>
        <v>2.742310145228736</v>
      </c>
      <c r="J28" s="23">
        <f t="shared" si="1"/>
        <v>39.619841203288459</v>
      </c>
      <c r="K28" s="23">
        <f t="shared" si="2"/>
        <v>21.772221057401612</v>
      </c>
      <c r="L28" s="23">
        <f t="shared" si="3"/>
        <v>20.08752898423489</v>
      </c>
      <c r="M28" s="23">
        <f t="shared" si="4"/>
        <v>12.303876951796191</v>
      </c>
      <c r="N28" s="23">
        <f t="shared" si="5"/>
        <v>9.4683441056054232</v>
      </c>
      <c r="O28" s="48"/>
      <c r="P28" s="8" t="s">
        <v>72</v>
      </c>
      <c r="Q28" s="23">
        <f>('Análisis proteínas'!R53+'Análisis proteínas'!R54)/2</f>
        <v>2.0166438969014737</v>
      </c>
      <c r="R28" s="23">
        <f>('Análisis carbohidratos'!AM53+'Análisis carbohidratos'!AM54)/2</f>
        <v>0.79672937670046329</v>
      </c>
      <c r="S28" s="171"/>
      <c r="T28" s="29">
        <f>('Análisis carbohidratos'!AI53+'Análisis carbohidratos'!AI54)/2000</f>
        <v>0.42287070429088103</v>
      </c>
      <c r="U28" s="29">
        <f>('Análisis carbohidratos'!AJ53+'Análisis carbohidratos'!AJ54)/2000</f>
        <v>0</v>
      </c>
      <c r="V28" s="29">
        <f>('Análisis carbohidratos'!AL54+'Análisis carbohidratos'!AL53)/(2*1000)</f>
        <v>0.17636024891026733</v>
      </c>
      <c r="W28" s="29">
        <f>('Análisis carbohidratos'!AK54+'Análisis carbohidratos'!AK53)/(2*1000)</f>
        <v>0.19749842349931493</v>
      </c>
      <c r="Y28" s="8" t="s">
        <v>72</v>
      </c>
      <c r="Z28" s="47">
        <f>'BCA y ninhidrina'!H52*(Experimentos!R57/1000)/1000</f>
        <v>1.1490742168743098</v>
      </c>
      <c r="AA28" s="47">
        <f>'BCA y ninhidrina'!S52*(Experimentos!R57/1000)</f>
        <v>909.10441158872766</v>
      </c>
      <c r="AD28" s="48">
        <f t="shared" si="6"/>
        <v>0.42287070429088103</v>
      </c>
    </row>
    <row r="29" spans="1:30">
      <c r="A29" s="8" t="s">
        <v>73</v>
      </c>
      <c r="B29" s="23">
        <f>('Análisis proteínas'!H55+'Análisis proteínas'!H56)/2</f>
        <v>33.616740944514959</v>
      </c>
      <c r="C29" s="23">
        <f>(('Análisis carbohidratos BIS'!U59+'Análisis carbohidratos BIS'!U60))/2+(('Análisis carbohidratos BIS'!AS59+'Análisis carbohidratos BIS'!AS60)/2)</f>
        <v>17.447688938512034</v>
      </c>
      <c r="D29" s="23">
        <f>('Análisis lípidos'!H55+'Análisis lípidos'!H56)/2</f>
        <v>21.794232535378395</v>
      </c>
      <c r="E29" s="29">
        <f>'Análisis sólidos'!G30</f>
        <v>16.635650671274909</v>
      </c>
      <c r="F29" s="29">
        <f>'Análisis sólidos'!F30</f>
        <v>97.372508413150555</v>
      </c>
      <c r="G29" s="29">
        <f>(('Análisis carbohidratos BIS'!R59+'Análisis carbohidratos BIS'!R60)/2)+(('Análisis carbohidratos BIS'!AQ59+'Análisis carbohidratos BIS'!AQ60)/2)</f>
        <v>10.448569983191099</v>
      </c>
      <c r="H29" s="29">
        <f>(('Análisis carbohidratos BIS'!S59+'Análisis carbohidratos BIS'!S60)/2)+(('Análisis carbohidratos BIS'!AR59+'Análisis carbohidratos BIS'!AR60)/2)</f>
        <v>6.9991189553209354</v>
      </c>
      <c r="I29" s="29">
        <f>('Análisis carbohidratos BIS'!T59+'Análisis carbohidratos BIS'!T60)/2</f>
        <v>2.5883458276265632</v>
      </c>
      <c r="J29" s="23">
        <f t="shared" si="1"/>
        <v>40.325080463300083</v>
      </c>
      <c r="K29" s="23">
        <f t="shared" si="2"/>
        <v>20.929436958371404</v>
      </c>
      <c r="L29" s="23">
        <f t="shared" si="3"/>
        <v>26.143348698660919</v>
      </c>
      <c r="M29" s="23">
        <f t="shared" si="4"/>
        <v>12.533619067774341</v>
      </c>
      <c r="N29" s="23">
        <f t="shared" si="5"/>
        <v>8.3958178905970637</v>
      </c>
      <c r="O29" s="48"/>
      <c r="P29" s="8" t="s">
        <v>73</v>
      </c>
      <c r="Q29" s="23">
        <f>('Análisis proteínas'!R55+'Análisis proteínas'!R56)/2</f>
        <v>1.9081452809699204</v>
      </c>
      <c r="R29" s="23">
        <f>('Análisis carbohidratos'!AM55+'Análisis carbohidratos'!AM56)/2</f>
        <v>0.75089374186426872</v>
      </c>
      <c r="S29" s="171"/>
      <c r="T29" s="29">
        <f>('Análisis carbohidratos'!AI55+'Análisis carbohidratos'!AI56)/2000</f>
        <v>0.41057897266406829</v>
      </c>
      <c r="U29" s="29">
        <f>('Análisis carbohidratos'!AJ55+'Análisis carbohidratos'!AJ56)/2000</f>
        <v>0</v>
      </c>
      <c r="V29" s="29">
        <f>('Análisis carbohidratos'!AL56+'Análisis carbohidratos'!AL55)/(2*1000)</f>
        <v>0.14519423722849825</v>
      </c>
      <c r="W29" s="29">
        <f>('Análisis carbohidratos'!AK56+'Análisis carbohidratos'!AK55)/(2*1000)</f>
        <v>0.19512053197170215</v>
      </c>
      <c r="Y29" s="8" t="s">
        <v>73</v>
      </c>
      <c r="Z29" s="47">
        <f>'BCA y ninhidrina'!H54*(Experimentos!R58/1000)/1000</f>
        <v>1.0700653747644662</v>
      </c>
      <c r="AA29" s="47">
        <f>'BCA y ninhidrina'!S54*(Experimentos!R58/1000)</f>
        <v>902.52398078836427</v>
      </c>
      <c r="AD29" s="48">
        <f t="shared" si="6"/>
        <v>0.41057897266406829</v>
      </c>
    </row>
    <row r="30" spans="1:30">
      <c r="A30" s="8" t="s">
        <v>74</v>
      </c>
      <c r="B30" s="83">
        <f>('Análisis proteínas'!H58+'Análisis proteínas'!H58)/2</f>
        <v>30.278717453305447</v>
      </c>
      <c r="C30" s="23">
        <f>(('Análisis carbohidratos BIS'!U61+'Análisis carbohidratos BIS'!U62))/2+(('Análisis carbohidratos BIS'!AS61+'Análisis carbohidratos BIS'!AS62)/2)</f>
        <v>9.6342060919172923</v>
      </c>
      <c r="D30" s="23">
        <f>('Análisis lípidos'!H57+'Análisis lípidos'!H58)/2</f>
        <v>14.107872464403549</v>
      </c>
      <c r="E30" s="29">
        <f>'Análisis sólidos'!G31</f>
        <v>14.99451523078236</v>
      </c>
      <c r="F30" s="29">
        <f>'Análisis sólidos'!F31</f>
        <v>96.948625654450097</v>
      </c>
      <c r="G30" s="29">
        <f>(('Análisis carbohidratos BIS'!R61+'Análisis carbohidratos BIS'!R62)/2)+(('Análisis carbohidratos BIS'!AQ61+'Análisis carbohidratos BIS'!AQ62)/2)</f>
        <v>6.9530846900668575</v>
      </c>
      <c r="H30" s="29">
        <f>(('Análisis carbohidratos BIS'!S61+'Análisis carbohidratos BIS'!S62)/2)+(('Análisis carbohidratos BIS'!AR61+'Análisis carbohidratos BIS'!AR62)/2)</f>
        <v>2.6811214018504339</v>
      </c>
      <c r="I30" s="29">
        <f>('Análisis carbohidratos BIS'!T61+'Análisis carbohidratos BIS'!T62)/2</f>
        <v>2.8127358621148533</v>
      </c>
      <c r="J30" s="23">
        <f t="shared" si="1"/>
        <v>35.619722110296152</v>
      </c>
      <c r="K30" s="23">
        <f t="shared" si="2"/>
        <v>11.333628786511021</v>
      </c>
      <c r="L30" s="23">
        <f t="shared" si="3"/>
        <v>16.596426104392172</v>
      </c>
      <c r="M30" s="23">
        <f t="shared" si="4"/>
        <v>8.1795718346220436</v>
      </c>
      <c r="N30" s="23">
        <f t="shared" si="5"/>
        <v>3.1540569518889763</v>
      </c>
      <c r="O30" s="48"/>
      <c r="P30" s="8" t="s">
        <v>74</v>
      </c>
      <c r="Q30" s="23">
        <f>('Análisis proteínas'!R57+'Análisis proteínas'!R58)/2</f>
        <v>0.76404576996316764</v>
      </c>
      <c r="R30" s="23">
        <f>('Análisis carbohidratos'!AM57+'Análisis carbohidratos'!AM58)/2</f>
        <v>0.43247407288374157</v>
      </c>
      <c r="S30" s="171"/>
      <c r="T30" s="29">
        <f>('Análisis carbohidratos'!AI57+'Análisis carbohidratos'!AI58)/2000</f>
        <v>0.22371333489149903</v>
      </c>
      <c r="U30" s="29">
        <f>('Análisis carbohidratos'!AJ57+'Análisis carbohidratos'!AJ58)/2000</f>
        <v>0</v>
      </c>
      <c r="V30" s="29">
        <f>('Análisis carbohidratos'!AL58+'Análisis carbohidratos'!AL57)/(2*1000)</f>
        <v>5.8237014699490414E-2</v>
      </c>
      <c r="W30" s="29">
        <f>('Análisis carbohidratos'!AK58+'Análisis carbohidratos'!AK57)/(2*1000)</f>
        <v>0.1505237232927521</v>
      </c>
      <c r="Y30" s="8" t="s">
        <v>74</v>
      </c>
      <c r="Z30" s="17">
        <f>'BCA y ninhidrina'!H56*(Experimentos!R59/1000)/1000</f>
        <v>0.42709147227663657</v>
      </c>
      <c r="AA30" s="17">
        <f>'BCA y ninhidrina'!S56*(Experimentos!R59/1000)</f>
        <v>354.45875453018186</v>
      </c>
      <c r="AD30" s="48">
        <f t="shared" si="6"/>
        <v>0.22371333489149903</v>
      </c>
    </row>
    <row r="31" spans="1:30">
      <c r="A31" s="8" t="s">
        <v>75</v>
      </c>
      <c r="B31" s="83">
        <f>('Análisis proteínas'!H59+'Análisis proteínas'!H60)/2</f>
        <v>30.458861847573779</v>
      </c>
      <c r="C31" s="23">
        <f>(('Análisis carbohidratos BIS'!U63+'Análisis carbohidratos BIS'!U64))/2+(('Análisis carbohidratos BIS'!AS63+'Análisis carbohidratos BIS'!AS64)/2)</f>
        <v>9.2334680178897024</v>
      </c>
      <c r="D31" s="23">
        <f>('Análisis lípidos'!H59+'Análisis lípidos'!H60)/2</f>
        <v>24.019373093926994</v>
      </c>
      <c r="E31" s="29">
        <f>'Análisis sólidos'!G32</f>
        <v>15.774878679019524</v>
      </c>
      <c r="F31" s="29">
        <f>'Análisis sólidos'!F32</f>
        <v>98.406102704043633</v>
      </c>
      <c r="G31" s="29">
        <f>(('Análisis carbohidratos BIS'!R63+'Análisis carbohidratos BIS'!R64)/2)+(('Análisis carbohidratos BIS'!AQ63+'Análisis carbohidratos BIS'!AQ64)/2)</f>
        <v>6.3230742654061372</v>
      </c>
      <c r="H31" s="29">
        <f>(('Análisis carbohidratos BIS'!S63+'Análisis carbohidratos BIS'!S64)/2)+(('Análisis carbohidratos BIS'!AR63+'Análisis carbohidratos BIS'!AR64)/2)</f>
        <v>2.9103937524835661</v>
      </c>
      <c r="I31" s="29">
        <f>('Análisis carbohidratos BIS'!T63+'Análisis carbohidratos BIS'!T64)/2</f>
        <v>2.9738477438656563</v>
      </c>
      <c r="J31" s="23">
        <f t="shared" si="1"/>
        <v>36.163630719504198</v>
      </c>
      <c r="K31" s="23">
        <f t="shared" si="2"/>
        <v>10.962843238540572</v>
      </c>
      <c r="L31" s="23">
        <f t="shared" si="3"/>
        <v>28.518062921381354</v>
      </c>
      <c r="M31" s="23">
        <f t="shared" si="4"/>
        <v>7.5073495487278796</v>
      </c>
      <c r="N31" s="23">
        <f t="shared" si="5"/>
        <v>3.4554936898126938</v>
      </c>
      <c r="O31" s="48"/>
      <c r="P31" s="8" t="s">
        <v>75</v>
      </c>
      <c r="Q31" s="23">
        <f>('Análisis proteínas'!R59+'Análisis proteínas'!R60)/2</f>
        <v>0.90445264335174991</v>
      </c>
      <c r="R31" s="23">
        <f>('Análisis carbohidratos'!AM59+'Análisis carbohidratos'!AM60)/2</f>
        <v>0.44716148004586698</v>
      </c>
      <c r="S31" s="171"/>
      <c r="T31" s="29">
        <f>('Análisis carbohidratos'!AI59+'Análisis carbohidratos'!AI60)/2000</f>
        <v>0.23505775352013764</v>
      </c>
      <c r="U31" s="29">
        <f>('Análisis carbohidratos'!AJ59+'Análisis carbohidratos'!AJ60)/2000</f>
        <v>0</v>
      </c>
      <c r="V31" s="29">
        <f>('Análisis carbohidratos'!AL60+'Análisis carbohidratos'!AL59)/(2*1000)</f>
        <v>5.3660726712008375E-2</v>
      </c>
      <c r="W31" s="29">
        <f>('Análisis carbohidratos'!AK60+'Análisis carbohidratos'!AK59)/(2*1000)</f>
        <v>0.15844299981372093</v>
      </c>
      <c r="Y31" s="8" t="s">
        <v>75</v>
      </c>
      <c r="Z31" s="17">
        <f>'BCA y ninhidrina'!H58*(Experimentos!R60/1000)/1000</f>
        <v>0.41838756853693537</v>
      </c>
      <c r="AA31" s="17">
        <f>'BCA y ninhidrina'!S58*(Experimentos!R60/1000)</f>
        <v>383.34700310400012</v>
      </c>
      <c r="AD31" s="48">
        <f t="shared" si="6"/>
        <v>0.23505775352013764</v>
      </c>
    </row>
    <row r="32" spans="1:30">
      <c r="A32" s="8" t="s">
        <v>92</v>
      </c>
      <c r="B32" s="23">
        <f>('Análisis proteínas'!H61+'Análisis proteínas'!H62)/2</f>
        <v>32.266645870335246</v>
      </c>
      <c r="C32" s="23">
        <f>(('Análisis carbohidratos BIS'!U65+'Análisis carbohidratos BIS'!U66))/2+(('Análisis carbohidratos BIS'!AS65+'Análisis carbohidratos BIS'!AS66)/2)</f>
        <v>7.7838020094318505</v>
      </c>
      <c r="D32" s="23">
        <f>('Análisis lípidos'!H61+'Análisis lípidos'!H62)/2</f>
        <v>19.440083906695307</v>
      </c>
      <c r="E32" s="29">
        <f>'Análisis sólidos'!G33</f>
        <v>15.95106597778981</v>
      </c>
      <c r="F32" s="29">
        <f>'Análisis sólidos'!F33</f>
        <v>97.793135489865833</v>
      </c>
      <c r="G32" s="29">
        <f>(('Análisis carbohidratos BIS'!R65+'Análisis carbohidratos BIS'!R66)/2)+(('Análisis carbohidratos BIS'!AQ65+'Análisis carbohidratos BIS'!AQ66)/2)</f>
        <v>6.610740577559179</v>
      </c>
      <c r="H32" s="29">
        <f>(('Análisis carbohidratos BIS'!S65+'Análisis carbohidratos BIS'!S66)/2)+(('Análisis carbohidratos BIS'!AR65+'Análisis carbohidratos BIS'!AR66)/2)</f>
        <v>1.1730614318726704</v>
      </c>
      <c r="I32" s="29">
        <f>('Análisis carbohidratos BIS'!T65+'Análisis carbohidratos BIS'!T66)/2</f>
        <v>0</v>
      </c>
      <c r="J32" s="23">
        <f t="shared" si="1"/>
        <v>38.390309461638964</v>
      </c>
      <c r="K32" s="23">
        <f t="shared" si="2"/>
        <v>9.2610359667083433</v>
      </c>
      <c r="L32" s="23">
        <f t="shared" si="3"/>
        <v>23.129483000412836</v>
      </c>
      <c r="M32" s="23">
        <f t="shared" si="4"/>
        <v>7.8653473175665392</v>
      </c>
      <c r="N32" s="23">
        <f t="shared" si="5"/>
        <v>1.3956886491418028</v>
      </c>
      <c r="O32" s="48"/>
      <c r="P32" s="8" t="s">
        <v>92</v>
      </c>
      <c r="Q32" s="23">
        <f>('Análisis proteínas'!R61+'Análisis proteínas'!R62)/2</f>
        <v>1.8000768694505833</v>
      </c>
      <c r="R32" s="23">
        <f>('Análisis carbohidratos'!AM61+'Análisis carbohidratos'!AM62)/2</f>
        <v>0.49517242269044826</v>
      </c>
      <c r="S32" s="171"/>
      <c r="T32" s="29">
        <f>('Análisis carbohidratos'!AI61+'Análisis carbohidratos'!AI62)/2000</f>
        <v>0.36957588069279118</v>
      </c>
      <c r="U32" s="29">
        <f>('Análisis carbohidratos'!AJ61+'Análisis carbohidratos'!AJ62)/2000</f>
        <v>0</v>
      </c>
      <c r="V32" s="29">
        <f>('Análisis carbohidratos'!AL62+'Análisis carbohidratos'!AL61)/(2*1000)</f>
        <v>0.12559654199765702</v>
      </c>
      <c r="W32" s="29">
        <v>0</v>
      </c>
      <c r="Y32" s="8" t="s">
        <v>92</v>
      </c>
      <c r="Z32" s="17">
        <f>'BCA y ninhidrina'!H60*(Experimentos!R61/1000)/1000</f>
        <v>1.0371673952781011</v>
      </c>
      <c r="AA32" s="17">
        <f>'BCA y ninhidrina'!S60*(Experimentos!R61/1000)</f>
        <v>683.37305145163634</v>
      </c>
    </row>
    <row r="33" spans="1:27">
      <c r="A33" s="8" t="s">
        <v>93</v>
      </c>
      <c r="B33" s="23">
        <f>('Análisis proteínas'!H63+'Análisis proteínas'!H64)/2</f>
        <v>38.095181064640798</v>
      </c>
      <c r="C33" s="23">
        <f>(('Análisis carbohidratos BIS'!U67+'Análisis carbohidratos BIS'!U68))/2+(('Análisis carbohidratos BIS'!AS67+'Análisis carbohidratos BIS'!AS68)/2)</f>
        <v>8.5749293085424654</v>
      </c>
      <c r="D33" s="23">
        <f>('Análisis lípidos'!H63+'Análisis lípidos'!H64)/2</f>
        <v>9.5462346939597005</v>
      </c>
      <c r="E33" s="29">
        <f>'Análisis sólidos'!G34</f>
        <v>14.353655741462227</v>
      </c>
      <c r="F33" s="29">
        <f>'Análisis sólidos'!F34</f>
        <v>97.715565509518427</v>
      </c>
      <c r="G33" s="29">
        <f>(('Análisis carbohidratos BIS'!R67+'Análisis carbohidratos BIS'!R68)/2)+(('Análisis carbohidratos BIS'!AQ67+'Análisis carbohidratos BIS'!AQ68)/2)</f>
        <v>5.9877204414293814</v>
      </c>
      <c r="H33" s="29">
        <f>(('Análisis carbohidratos BIS'!S67+'Análisis carbohidratos BIS'!S68)/2)+(('Análisis carbohidratos BIS'!AR67+'Análisis carbohidratos BIS'!AR68)/2)</f>
        <v>2.587208867113084</v>
      </c>
      <c r="I33" s="29">
        <f>('Análisis carbohidratos BIS'!T68+'Análisis carbohidratos BIS'!T67)/2</f>
        <v>2.6142335543893847</v>
      </c>
      <c r="J33" s="23">
        <f t="shared" si="1"/>
        <v>44.479634705299439</v>
      </c>
      <c r="K33" s="23">
        <f t="shared" si="2"/>
        <v>10.012020224304743</v>
      </c>
      <c r="L33" s="23">
        <f t="shared" si="3"/>
        <v>11.146108776275144</v>
      </c>
      <c r="M33" s="23">
        <f t="shared" si="4"/>
        <v>6.9912154374674174</v>
      </c>
      <c r="N33" s="23">
        <f t="shared" si="5"/>
        <v>3.0208047868373256</v>
      </c>
      <c r="O33" s="48"/>
      <c r="P33" s="8" t="s">
        <v>93</v>
      </c>
      <c r="Q33" s="23">
        <f>('Análisis proteínas'!R63+'Análisis proteínas'!R64)/2</f>
        <v>0.52652159846531632</v>
      </c>
      <c r="R33" s="23">
        <f>('Análisis carbohidratos'!AM63+'Análisis carbohidratos'!AM64)/2</f>
        <v>0.16187872516168805</v>
      </c>
      <c r="S33" s="172"/>
      <c r="T33" s="29">
        <f>('Análisis carbohidratos'!AI63+'Análisis carbohidratos'!AI64)/2000</f>
        <v>8.5838332543277523E-2</v>
      </c>
      <c r="U33" s="29">
        <f>('Análisis carbohidratos'!AJ63+'Análisis carbohidratos'!AJ64)/2000</f>
        <v>2.7051460544047921E-2</v>
      </c>
      <c r="V33" s="29">
        <f>('Análisis carbohidratos'!AL64+'Análisis carbohidratos'!AL63)/(2*1000)</f>
        <v>4.8988932074362619E-2</v>
      </c>
      <c r="W33" s="29">
        <v>0</v>
      </c>
      <c r="Y33" s="8" t="s">
        <v>93</v>
      </c>
      <c r="Z33" s="17">
        <f>'BCA y ninhidrina'!H60*(Experimentos!R62/1000)/1000</f>
        <v>0.77183214480380791</v>
      </c>
      <c r="AA33" s="17">
        <f>'BCA y ninhidrina'!S62*(Experimentos!R62/1000)</f>
        <v>141.88767030981825</v>
      </c>
    </row>
    <row r="34" spans="1:27">
      <c r="A34" s="8" t="s">
        <v>359</v>
      </c>
      <c r="B34" s="23">
        <f>AVERAGE('Control P+C 1h'!H5:H6)</f>
        <v>42.385352052888777</v>
      </c>
      <c r="C34" s="23">
        <f>AVERAGE('Control P+C 1h'!T20:T21)</f>
        <v>14.368174560380872</v>
      </c>
      <c r="D34" s="23"/>
      <c r="E34" s="29"/>
      <c r="F34" s="29">
        <f>'Control P+C 1h'!F11</f>
        <v>98.258345428157156</v>
      </c>
      <c r="G34" s="29">
        <f>AVERAGE('Control P+C 1h'!R20:R21)</f>
        <v>8.5640010746032544</v>
      </c>
      <c r="H34" s="29">
        <f>AVERAGE('Control P+C 1h'!S20:S21)</f>
        <v>5.8041734857776195</v>
      </c>
      <c r="I34" s="29"/>
      <c r="J34" s="23"/>
      <c r="K34" s="23"/>
      <c r="L34" s="23"/>
      <c r="M34" s="23"/>
      <c r="N34" s="23"/>
      <c r="O34" s="48"/>
      <c r="P34" s="8" t="s">
        <v>359</v>
      </c>
      <c r="Q34" s="23"/>
      <c r="R34" s="23">
        <f>AVERAGE('Control P+C 1h'!O16:O17)</f>
        <v>0.52542418499999999</v>
      </c>
      <c r="S34" s="75"/>
      <c r="T34" s="29">
        <f>AVERAGE('Control P+C 1h'!K16:K17)/1000</f>
        <v>0.27993484999999996</v>
      </c>
      <c r="U34" s="29">
        <f>AVERAGE('Control P+C 1h'!L16:L17)/1000</f>
        <v>1.6754465E-2</v>
      </c>
      <c r="V34" s="29">
        <f>AVERAGE('Control P+C 1h'!M16:M17)/1000</f>
        <v>0.17139505499999999</v>
      </c>
      <c r="W34" s="29">
        <f>AVERAGE('Control P+C 1h'!N16:N17)/1000</f>
        <v>5.7339815000000002E-2</v>
      </c>
      <c r="Y34" s="8" t="s">
        <v>359</v>
      </c>
      <c r="Z34" s="159"/>
      <c r="AA34" s="159"/>
    </row>
  </sheetData>
  <mergeCells count="8">
    <mergeCell ref="S4:S33"/>
    <mergeCell ref="B2:H2"/>
    <mergeCell ref="J2:N2"/>
    <mergeCell ref="B1:N1"/>
    <mergeCell ref="Z2:AA2"/>
    <mergeCell ref="Z1:AA1"/>
    <mergeCell ref="Q2:V2"/>
    <mergeCell ref="Q1:V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71"/>
  <sheetViews>
    <sheetView topLeftCell="A55" workbookViewId="0">
      <selection activeCell="J3" sqref="J3"/>
    </sheetView>
  </sheetViews>
  <sheetFormatPr defaultColWidth="11.42578125" defaultRowHeight="15"/>
  <cols>
    <col min="2" max="2" width="12.42578125" bestFit="1" customWidth="1"/>
    <col min="5" max="5" width="20.140625" bestFit="1" customWidth="1"/>
    <col min="6" max="6" width="18" bestFit="1" customWidth="1"/>
    <col min="7" max="7" width="21" bestFit="1" customWidth="1"/>
    <col min="8" max="8" width="24.140625" bestFit="1" customWidth="1"/>
    <col min="9" max="9" width="24.140625" customWidth="1"/>
    <col min="11" max="11" width="12.42578125" bestFit="1" customWidth="1"/>
    <col min="14" max="14" width="20.140625" bestFit="1" customWidth="1"/>
    <col min="15" max="15" width="18.5703125" bestFit="1" customWidth="1"/>
    <col min="16" max="16" width="22.5703125" bestFit="1" customWidth="1"/>
    <col min="17" max="17" width="24.7109375" bestFit="1" customWidth="1"/>
    <col min="18" max="18" width="22.7109375" bestFit="1" customWidth="1"/>
    <col min="19" max="19" width="20.140625" bestFit="1" customWidth="1"/>
    <col min="20" max="20" width="12.140625" bestFit="1" customWidth="1"/>
  </cols>
  <sheetData>
    <row r="1" spans="2:20">
      <c r="J1">
        <f>H4/H16</f>
        <v>0.61875590002123748</v>
      </c>
    </row>
    <row r="2" spans="2:20" ht="15.75" thickBot="1">
      <c r="C2" s="266" t="s">
        <v>111</v>
      </c>
      <c r="D2" s="266"/>
      <c r="E2" s="266"/>
      <c r="F2" s="266"/>
      <c r="G2" s="266"/>
      <c r="H2" s="266"/>
      <c r="I2" s="266"/>
      <c r="J2">
        <f>H16/H4</f>
        <v>1.6161462055807096</v>
      </c>
      <c r="L2" s="267" t="s">
        <v>360</v>
      </c>
      <c r="M2" s="267"/>
      <c r="N2" s="267"/>
      <c r="O2" s="267"/>
      <c r="P2" s="267"/>
      <c r="Q2" s="267"/>
      <c r="R2" s="267"/>
    </row>
    <row r="3" spans="2:20" ht="15.75" thickTop="1">
      <c r="B3" s="7" t="s">
        <v>0</v>
      </c>
      <c r="C3" s="7" t="s">
        <v>228</v>
      </c>
      <c r="D3" s="7" t="s">
        <v>361</v>
      </c>
      <c r="E3" s="7" t="s">
        <v>362</v>
      </c>
      <c r="F3" s="7" t="s">
        <v>363</v>
      </c>
      <c r="G3" s="7" t="s">
        <v>364</v>
      </c>
      <c r="H3" s="7" t="s">
        <v>365</v>
      </c>
      <c r="I3" s="7" t="s">
        <v>366</v>
      </c>
      <c r="K3" s="7" t="s">
        <v>0</v>
      </c>
      <c r="L3" s="7" t="s">
        <v>228</v>
      </c>
      <c r="M3" s="7" t="s">
        <v>361</v>
      </c>
      <c r="N3" s="7" t="s">
        <v>367</v>
      </c>
      <c r="O3" s="7" t="s">
        <v>368</v>
      </c>
      <c r="P3" s="7" t="s">
        <v>369</v>
      </c>
      <c r="Q3" s="7" t="s">
        <v>370</v>
      </c>
      <c r="R3" s="72" t="s">
        <v>371</v>
      </c>
      <c r="S3" s="7" t="s">
        <v>372</v>
      </c>
      <c r="T3" s="72" t="s">
        <v>373</v>
      </c>
    </row>
    <row r="4" spans="2:20">
      <c r="B4" s="196" t="s">
        <v>13</v>
      </c>
      <c r="C4" s="2" t="s">
        <v>236</v>
      </c>
      <c r="D4" s="166">
        <v>10</v>
      </c>
      <c r="E4" s="2">
        <v>0.91800000000000004</v>
      </c>
      <c r="F4" s="166">
        <f>(E4+E5)/2</f>
        <v>0.93049999999999999</v>
      </c>
      <c r="G4" s="197">
        <f>(-$D$67+SQRT($D$67^2-(4*$D$66*($D$68-F4))))/(2*$D$66)</f>
        <v>669.98376627654761</v>
      </c>
      <c r="H4" s="197">
        <f>G4*D4</f>
        <v>6699.8376627654761</v>
      </c>
      <c r="I4" s="174">
        <f>'Análisis proteínas'!Q6</f>
        <v>17284.117249846535</v>
      </c>
      <c r="K4" s="196" t="s">
        <v>13</v>
      </c>
      <c r="L4" s="2" t="s">
        <v>236</v>
      </c>
      <c r="M4" s="222"/>
      <c r="N4" s="3"/>
      <c r="O4" s="23">
        <f t="shared" ref="O4:O39" si="0">(N4-$M$70)/$M$69</f>
        <v>-11.763636363636364</v>
      </c>
      <c r="P4" s="23">
        <f>O4*M4</f>
        <v>0</v>
      </c>
      <c r="Q4" s="197">
        <f>(P4+P5)/2</f>
        <v>0</v>
      </c>
      <c r="R4" s="174">
        <f>Q4/1000000</f>
        <v>0</v>
      </c>
      <c r="S4" s="174">
        <f>R4*$M$71</f>
        <v>0</v>
      </c>
    </row>
    <row r="5" spans="2:20">
      <c r="B5" s="196"/>
      <c r="C5" s="2" t="s">
        <v>237</v>
      </c>
      <c r="D5" s="167"/>
      <c r="E5" s="2">
        <v>0.94299999999999995</v>
      </c>
      <c r="F5" s="167"/>
      <c r="G5" s="199"/>
      <c r="H5" s="199"/>
      <c r="I5" s="174"/>
      <c r="K5" s="196"/>
      <c r="L5" s="2" t="s">
        <v>237</v>
      </c>
      <c r="M5" s="224"/>
      <c r="N5" s="3"/>
      <c r="O5" s="23">
        <f t="shared" si="0"/>
        <v>-11.763636363636364</v>
      </c>
      <c r="P5" s="23">
        <f t="shared" ref="P5:P38" si="1">O5*M5</f>
        <v>0</v>
      </c>
      <c r="Q5" s="199"/>
      <c r="R5" s="174"/>
      <c r="S5" s="174"/>
    </row>
    <row r="6" spans="2:20">
      <c r="B6" s="196" t="s">
        <v>18</v>
      </c>
      <c r="C6" s="2" t="s">
        <v>236</v>
      </c>
      <c r="D6" s="166">
        <v>10</v>
      </c>
      <c r="E6" s="2">
        <v>0.95099999999999996</v>
      </c>
      <c r="F6" s="166">
        <f t="shared" ref="F6" si="2">(E6+E7)/2</f>
        <v>0.95550000000000002</v>
      </c>
      <c r="G6" s="197">
        <f>(-$D$67+SQRT($D$67^2-(4*$D$66*($D$68-F6))))/(2*$D$66)</f>
        <v>690.34315649614075</v>
      </c>
      <c r="H6" s="197">
        <f>G6*D6</f>
        <v>6903.4315649614073</v>
      </c>
      <c r="I6" s="174">
        <f>'Análisis proteínas'!Q8</f>
        <v>15856.43093922652</v>
      </c>
      <c r="K6" s="196" t="s">
        <v>18</v>
      </c>
      <c r="L6" s="2" t="s">
        <v>236</v>
      </c>
      <c r="M6" s="222"/>
      <c r="N6" s="3"/>
      <c r="O6" s="23">
        <f t="shared" si="0"/>
        <v>-11.763636363636364</v>
      </c>
      <c r="P6" s="23">
        <f t="shared" si="1"/>
        <v>0</v>
      </c>
      <c r="Q6" s="197">
        <f t="shared" ref="Q6" si="3">(P6+P7)/2</f>
        <v>0</v>
      </c>
      <c r="R6" s="174">
        <f t="shared" ref="R6" si="4">Q6/1000000</f>
        <v>0</v>
      </c>
      <c r="S6" s="174">
        <f t="shared" ref="S6" si="5">R6*$M$71</f>
        <v>0</v>
      </c>
    </row>
    <row r="7" spans="2:20">
      <c r="B7" s="196"/>
      <c r="C7" s="2" t="s">
        <v>237</v>
      </c>
      <c r="D7" s="167"/>
      <c r="E7" s="2">
        <v>0.96</v>
      </c>
      <c r="F7" s="167"/>
      <c r="G7" s="199"/>
      <c r="H7" s="199"/>
      <c r="I7" s="174"/>
      <c r="K7" s="196"/>
      <c r="L7" s="2" t="s">
        <v>237</v>
      </c>
      <c r="M7" s="224"/>
      <c r="N7" s="3"/>
      <c r="O7" s="23">
        <f t="shared" si="0"/>
        <v>-11.763636363636364</v>
      </c>
      <c r="P7" s="23">
        <f t="shared" si="1"/>
        <v>0</v>
      </c>
      <c r="Q7" s="199"/>
      <c r="R7" s="174"/>
      <c r="S7" s="174"/>
    </row>
    <row r="8" spans="2:20">
      <c r="B8" s="196" t="s">
        <v>19</v>
      </c>
      <c r="C8" s="2" t="s">
        <v>236</v>
      </c>
      <c r="D8" s="166">
        <v>10</v>
      </c>
      <c r="E8" s="2">
        <v>0.26200000000000001</v>
      </c>
      <c r="F8" s="166">
        <f t="shared" ref="F8" si="6">(E8+E9)/2</f>
        <v>0.26200000000000001</v>
      </c>
      <c r="G8" s="197">
        <f>(-$D$67+SQRT($D$67^2-(4*$D$66*($D$68-F8))))/(2*$D$66)</f>
        <v>168.24065576705769</v>
      </c>
      <c r="H8" s="197">
        <f>G8*D8</f>
        <v>1682.4065576705768</v>
      </c>
      <c r="I8" s="174">
        <f>('Análisis proteínas'!Q9+'Análisis proteínas'!Q10)/2</f>
        <v>3721.0972989564152</v>
      </c>
      <c r="K8" s="196" t="s">
        <v>19</v>
      </c>
      <c r="L8" s="2" t="s">
        <v>236</v>
      </c>
      <c r="M8" s="222"/>
      <c r="N8" s="3"/>
      <c r="O8" s="23">
        <f t="shared" si="0"/>
        <v>-11.763636363636364</v>
      </c>
      <c r="P8" s="23">
        <f t="shared" si="1"/>
        <v>0</v>
      </c>
      <c r="Q8" s="197">
        <f t="shared" ref="Q8" si="7">(P8+P9)/2</f>
        <v>0</v>
      </c>
      <c r="R8" s="174">
        <f t="shared" ref="R8" si="8">Q8/1000000</f>
        <v>0</v>
      </c>
      <c r="S8" s="174">
        <f t="shared" ref="S8" si="9">R8*$M$71</f>
        <v>0</v>
      </c>
    </row>
    <row r="9" spans="2:20">
      <c r="B9" s="196"/>
      <c r="C9" s="2" t="s">
        <v>237</v>
      </c>
      <c r="D9" s="167"/>
      <c r="E9" s="2">
        <v>0.26200000000000001</v>
      </c>
      <c r="F9" s="167"/>
      <c r="G9" s="199"/>
      <c r="H9" s="199"/>
      <c r="I9" s="174"/>
      <c r="K9" s="196"/>
      <c r="L9" s="2" t="s">
        <v>237</v>
      </c>
      <c r="M9" s="224"/>
      <c r="N9" s="3"/>
      <c r="O9" s="23">
        <f t="shared" si="0"/>
        <v>-11.763636363636364</v>
      </c>
      <c r="P9" s="23">
        <f t="shared" si="1"/>
        <v>0</v>
      </c>
      <c r="Q9" s="199"/>
      <c r="R9" s="174"/>
      <c r="S9" s="174"/>
    </row>
    <row r="10" spans="2:20">
      <c r="B10" s="196" t="s">
        <v>22</v>
      </c>
      <c r="C10" s="2" t="s">
        <v>236</v>
      </c>
      <c r="D10" s="166">
        <v>10</v>
      </c>
      <c r="E10" s="2">
        <v>0.28699999999999998</v>
      </c>
      <c r="F10" s="166">
        <f t="shared" ref="F10" si="10">(E10+E11)/2</f>
        <v>0.27500000000000002</v>
      </c>
      <c r="G10" s="197">
        <f>(-$D$67+SQRT($D$67^2-(4*$D$66*($D$68-F10))))/(2*$D$66)</f>
        <v>177.32593146254132</v>
      </c>
      <c r="H10" s="197">
        <f>G10*D10</f>
        <v>1773.2593146254133</v>
      </c>
      <c r="I10" s="174">
        <f>('Análisis proteínas'!Q11+'Análisis proteínas'!Q12)/2</f>
        <v>4450.1286065070599</v>
      </c>
      <c r="K10" s="196" t="s">
        <v>22</v>
      </c>
      <c r="L10" s="2" t="s">
        <v>236</v>
      </c>
      <c r="M10" s="222"/>
      <c r="N10" s="3"/>
      <c r="O10" s="23">
        <f t="shared" si="0"/>
        <v>-11.763636363636364</v>
      </c>
      <c r="P10" s="23">
        <f t="shared" si="1"/>
        <v>0</v>
      </c>
      <c r="Q10" s="197">
        <f t="shared" ref="Q10" si="11">(P10+P11)/2</f>
        <v>0</v>
      </c>
      <c r="R10" s="174">
        <f t="shared" ref="R10" si="12">Q10/1000000</f>
        <v>0</v>
      </c>
      <c r="S10" s="174">
        <f t="shared" ref="S10" si="13">R10*$M$71</f>
        <v>0</v>
      </c>
    </row>
    <row r="11" spans="2:20">
      <c r="B11" s="196"/>
      <c r="C11" s="2" t="s">
        <v>237</v>
      </c>
      <c r="D11" s="167"/>
      <c r="E11" s="2">
        <v>0.26300000000000001</v>
      </c>
      <c r="F11" s="167"/>
      <c r="G11" s="199"/>
      <c r="H11" s="199"/>
      <c r="I11" s="174"/>
      <c r="K11" s="196"/>
      <c r="L11" s="2" t="s">
        <v>237</v>
      </c>
      <c r="M11" s="224"/>
      <c r="N11" s="3"/>
      <c r="O11" s="23">
        <f t="shared" si="0"/>
        <v>-11.763636363636364</v>
      </c>
      <c r="P11" s="23">
        <f t="shared" si="1"/>
        <v>0</v>
      </c>
      <c r="Q11" s="199"/>
      <c r="R11" s="174"/>
      <c r="S11" s="174"/>
    </row>
    <row r="12" spans="2:20">
      <c r="B12" s="196" t="s">
        <v>25</v>
      </c>
      <c r="C12" s="2" t="s">
        <v>236</v>
      </c>
      <c r="D12" s="166">
        <v>10</v>
      </c>
      <c r="E12" s="2">
        <v>0.217</v>
      </c>
      <c r="F12" s="166">
        <f t="shared" ref="F12" si="14">(E12+E13)/2</f>
        <v>0.217</v>
      </c>
      <c r="G12" s="197">
        <f>(-$D$67+SQRT($D$67^2-(4*$D$66*($D$68-F12))))/(2*$D$66)</f>
        <v>136.96803224770767</v>
      </c>
      <c r="H12" s="197">
        <f>G12*D12</f>
        <v>1369.6803224770767</v>
      </c>
      <c r="I12" s="174">
        <f>('Análisis proteínas'!Q13+'Análisis proteínas'!Q14)/2</f>
        <v>3311.0171884591778</v>
      </c>
      <c r="K12" s="196" t="s">
        <v>25</v>
      </c>
      <c r="L12" s="2" t="s">
        <v>236</v>
      </c>
      <c r="M12" s="222"/>
      <c r="N12" s="3"/>
      <c r="O12" s="23">
        <f t="shared" si="0"/>
        <v>-11.763636363636364</v>
      </c>
      <c r="P12" s="23">
        <f t="shared" si="1"/>
        <v>0</v>
      </c>
      <c r="Q12" s="197">
        <f t="shared" ref="Q12" si="15">(P12+P13)/2</f>
        <v>0</v>
      </c>
      <c r="R12" s="174">
        <f t="shared" ref="R12" si="16">Q12/1000000</f>
        <v>0</v>
      </c>
      <c r="S12" s="174">
        <f t="shared" ref="S12" si="17">R12*$M$71</f>
        <v>0</v>
      </c>
    </row>
    <row r="13" spans="2:20">
      <c r="B13" s="196"/>
      <c r="C13" s="2" t="s">
        <v>237</v>
      </c>
      <c r="D13" s="167"/>
      <c r="E13" s="2">
        <v>0.217</v>
      </c>
      <c r="F13" s="167"/>
      <c r="G13" s="199"/>
      <c r="H13" s="199"/>
      <c r="I13" s="174"/>
      <c r="K13" s="196"/>
      <c r="L13" s="2" t="s">
        <v>237</v>
      </c>
      <c r="M13" s="224"/>
      <c r="N13" s="3"/>
      <c r="O13" s="23">
        <f t="shared" si="0"/>
        <v>-11.763636363636364</v>
      </c>
      <c r="P13" s="23">
        <f t="shared" si="1"/>
        <v>0</v>
      </c>
      <c r="Q13" s="199"/>
      <c r="R13" s="174"/>
      <c r="S13" s="174"/>
    </row>
    <row r="14" spans="2:20">
      <c r="B14" s="196" t="s">
        <v>27</v>
      </c>
      <c r="C14" s="2" t="s">
        <v>236</v>
      </c>
      <c r="D14" s="166">
        <v>10</v>
      </c>
      <c r="E14" s="2">
        <v>0.192</v>
      </c>
      <c r="F14" s="166">
        <f t="shared" ref="F14" si="18">(E14+E15)/2</f>
        <v>0.21300000000000002</v>
      </c>
      <c r="G14" s="197">
        <f>(-$D$67+SQRT($D$67^2-(4*$D$66*($D$68-F14))))/(2*$D$66)</f>
        <v>134.20133303857745</v>
      </c>
      <c r="H14" s="197">
        <f>G14*D14</f>
        <v>1342.0133303857745</v>
      </c>
      <c r="I14" s="174">
        <f>('Análisis proteínas'!Q15+'Análisis proteínas'!Q16)/2</f>
        <v>3660.3446899938617</v>
      </c>
      <c r="K14" s="196" t="s">
        <v>27</v>
      </c>
      <c r="L14" s="2" t="s">
        <v>236</v>
      </c>
      <c r="M14" s="222"/>
      <c r="N14" s="3"/>
      <c r="O14" s="23">
        <f t="shared" si="0"/>
        <v>-11.763636363636364</v>
      </c>
      <c r="P14" s="23">
        <f t="shared" si="1"/>
        <v>0</v>
      </c>
      <c r="Q14" s="197">
        <f t="shared" ref="Q14" si="19">(P14+P15)/2</f>
        <v>0</v>
      </c>
      <c r="R14" s="174">
        <f t="shared" ref="R14" si="20">Q14/1000000</f>
        <v>0</v>
      </c>
      <c r="S14" s="174">
        <f t="shared" ref="S14" si="21">R14*$M$71</f>
        <v>0</v>
      </c>
    </row>
    <row r="15" spans="2:20">
      <c r="B15" s="196"/>
      <c r="C15" s="2" t="s">
        <v>237</v>
      </c>
      <c r="D15" s="167"/>
      <c r="E15" s="2">
        <v>0.23400000000000001</v>
      </c>
      <c r="F15" s="167"/>
      <c r="G15" s="199"/>
      <c r="H15" s="199"/>
      <c r="I15" s="174"/>
      <c r="K15" s="196"/>
      <c r="L15" s="2" t="s">
        <v>237</v>
      </c>
      <c r="M15" s="224"/>
      <c r="N15" s="3"/>
      <c r="O15" s="23">
        <f t="shared" si="0"/>
        <v>-11.763636363636364</v>
      </c>
      <c r="P15" s="23">
        <f t="shared" si="1"/>
        <v>0</v>
      </c>
      <c r="Q15" s="199"/>
      <c r="R15" s="174"/>
      <c r="S15" s="174"/>
    </row>
    <row r="16" spans="2:20">
      <c r="B16" s="196" t="s">
        <v>29</v>
      </c>
      <c r="C16" s="2" t="s">
        <v>236</v>
      </c>
      <c r="D16" s="166">
        <v>10</v>
      </c>
      <c r="E16" s="2">
        <v>1.381</v>
      </c>
      <c r="F16" s="166">
        <f t="shared" ref="F16" si="22">(E16+E17)/2</f>
        <v>1.405</v>
      </c>
      <c r="G16" s="197">
        <f>(-$D$67+SQRT($D$67^2-(4*$D$66*($D$68-F16))))/(2*$D$66)</f>
        <v>1082.7917216685155</v>
      </c>
      <c r="H16" s="197">
        <f>G16*D16</f>
        <v>10827.917216685155</v>
      </c>
      <c r="I16" s="174">
        <f>('Análisis proteínas'!Q18+'Análisis proteínas'!Q18)/2</f>
        <v>17922.01964395335</v>
      </c>
      <c r="K16" s="196" t="s">
        <v>29</v>
      </c>
      <c r="L16" s="2" t="s">
        <v>236</v>
      </c>
      <c r="M16" s="222"/>
      <c r="N16" s="3"/>
      <c r="O16" s="23">
        <f t="shared" si="0"/>
        <v>-11.763636363636364</v>
      </c>
      <c r="P16" s="23">
        <f t="shared" si="1"/>
        <v>0</v>
      </c>
      <c r="Q16" s="197">
        <f t="shared" ref="Q16" si="23">(P16+P17)/2</f>
        <v>0</v>
      </c>
      <c r="R16" s="174">
        <f t="shared" ref="R16" si="24">Q16/1000000</f>
        <v>0</v>
      </c>
      <c r="S16" s="174">
        <f t="shared" ref="S16" si="25">R16*$M$71</f>
        <v>0</v>
      </c>
    </row>
    <row r="17" spans="2:19">
      <c r="B17" s="196"/>
      <c r="C17" s="2" t="s">
        <v>237</v>
      </c>
      <c r="D17" s="167"/>
      <c r="E17" s="2">
        <v>1.429</v>
      </c>
      <c r="F17" s="167"/>
      <c r="G17" s="199"/>
      <c r="H17" s="199"/>
      <c r="I17" s="174"/>
      <c r="K17" s="196"/>
      <c r="L17" s="2" t="s">
        <v>237</v>
      </c>
      <c r="M17" s="224"/>
      <c r="N17" s="3"/>
      <c r="O17" s="23">
        <f t="shared" si="0"/>
        <v>-11.763636363636364</v>
      </c>
      <c r="P17" s="23">
        <f t="shared" si="1"/>
        <v>0</v>
      </c>
      <c r="Q17" s="199"/>
      <c r="R17" s="174"/>
      <c r="S17" s="174"/>
    </row>
    <row r="18" spans="2:19">
      <c r="B18" s="196" t="s">
        <v>33</v>
      </c>
      <c r="C18" s="2" t="s">
        <v>236</v>
      </c>
      <c r="D18" s="166">
        <v>10</v>
      </c>
      <c r="E18" s="2">
        <v>1.3919999999999999</v>
      </c>
      <c r="F18" s="166">
        <f t="shared" ref="F18" si="26">(E18+E19)/2</f>
        <v>1.4055</v>
      </c>
      <c r="G18" s="197">
        <f>(-$D$67+SQRT($D$67^2-(4*$D$66*($D$68-F18))))/(2*$D$66)</f>
        <v>1083.2604176635471</v>
      </c>
      <c r="H18" s="197">
        <f>G18*D18</f>
        <v>10832.60417663547</v>
      </c>
      <c r="I18" s="174">
        <f>('Análisis proteínas'!Q20+'Análisis proteínas'!Q20)/2</f>
        <v>17891.64333947207</v>
      </c>
      <c r="K18" s="196" t="s">
        <v>33</v>
      </c>
      <c r="L18" s="2" t="s">
        <v>236</v>
      </c>
      <c r="M18" s="222"/>
      <c r="N18" s="3"/>
      <c r="O18" s="23">
        <f t="shared" si="0"/>
        <v>-11.763636363636364</v>
      </c>
      <c r="P18" s="23">
        <f t="shared" si="1"/>
        <v>0</v>
      </c>
      <c r="Q18" s="197">
        <f t="shared" ref="Q18" si="27">(P18+P19)/2</f>
        <v>0</v>
      </c>
      <c r="R18" s="174">
        <f t="shared" ref="R18" si="28">Q18/1000000</f>
        <v>0</v>
      </c>
      <c r="S18" s="174">
        <f t="shared" ref="S18" si="29">R18*$M$71</f>
        <v>0</v>
      </c>
    </row>
    <row r="19" spans="2:19">
      <c r="B19" s="196"/>
      <c r="C19" s="2" t="s">
        <v>237</v>
      </c>
      <c r="D19" s="167"/>
      <c r="E19" s="2">
        <v>1.419</v>
      </c>
      <c r="F19" s="167"/>
      <c r="G19" s="199"/>
      <c r="H19" s="199"/>
      <c r="I19" s="174"/>
      <c r="K19" s="196"/>
      <c r="L19" s="2" t="s">
        <v>237</v>
      </c>
      <c r="M19" s="224"/>
      <c r="N19" s="3"/>
      <c r="O19" s="23">
        <f t="shared" si="0"/>
        <v>-11.763636363636364</v>
      </c>
      <c r="P19" s="23">
        <f t="shared" si="1"/>
        <v>0</v>
      </c>
      <c r="Q19" s="199"/>
      <c r="R19" s="174"/>
      <c r="S19" s="174"/>
    </row>
    <row r="20" spans="2:19">
      <c r="B20" s="196" t="s">
        <v>35</v>
      </c>
      <c r="C20" s="2" t="s">
        <v>236</v>
      </c>
      <c r="D20" s="166">
        <v>10</v>
      </c>
      <c r="E20" s="2">
        <v>0.747</v>
      </c>
      <c r="F20" s="166">
        <f t="shared" ref="F20" si="30">(E20+E21)/2</f>
        <v>0.75350000000000006</v>
      </c>
      <c r="G20" s="197">
        <f>(-$D$67+SQRT($D$67^2-(4*$D$66*($D$68-F20))))/(2*$D$66)</f>
        <v>529.51866951537829</v>
      </c>
      <c r="H20" s="197">
        <f>G20*D20</f>
        <v>5295.1866951537831</v>
      </c>
      <c r="I20" s="174">
        <f>('Análisis proteínas'!Q21+'Análisis proteínas'!Q22)/2</f>
        <v>9925.4574892572164</v>
      </c>
      <c r="K20" s="196" t="s">
        <v>35</v>
      </c>
      <c r="L20" s="2" t="s">
        <v>236</v>
      </c>
      <c r="M20" s="222"/>
      <c r="N20" s="3"/>
      <c r="O20" s="23">
        <f t="shared" si="0"/>
        <v>-11.763636363636364</v>
      </c>
      <c r="P20" s="23">
        <f t="shared" si="1"/>
        <v>0</v>
      </c>
      <c r="Q20" s="197">
        <f t="shared" ref="Q20" si="31">(P20+P21)/2</f>
        <v>0</v>
      </c>
      <c r="R20" s="174">
        <f t="shared" ref="R20" si="32">Q20/1000000</f>
        <v>0</v>
      </c>
      <c r="S20" s="174">
        <f t="shared" ref="S20" si="33">R20*$M$71</f>
        <v>0</v>
      </c>
    </row>
    <row r="21" spans="2:19">
      <c r="B21" s="196"/>
      <c r="C21" s="2" t="s">
        <v>237</v>
      </c>
      <c r="D21" s="167"/>
      <c r="E21" s="2">
        <v>0.76</v>
      </c>
      <c r="F21" s="167"/>
      <c r="G21" s="199"/>
      <c r="H21" s="199"/>
      <c r="I21" s="174"/>
      <c r="K21" s="196"/>
      <c r="L21" s="2" t="s">
        <v>237</v>
      </c>
      <c r="M21" s="224"/>
      <c r="N21" s="3"/>
      <c r="O21" s="23">
        <f t="shared" si="0"/>
        <v>-11.763636363636364</v>
      </c>
      <c r="P21" s="23">
        <f t="shared" si="1"/>
        <v>0</v>
      </c>
      <c r="Q21" s="199"/>
      <c r="R21" s="174"/>
      <c r="S21" s="174"/>
    </row>
    <row r="22" spans="2:19">
      <c r="B22" s="196" t="s">
        <v>36</v>
      </c>
      <c r="C22" s="2" t="s">
        <v>236</v>
      </c>
      <c r="D22" s="166">
        <v>10</v>
      </c>
      <c r="E22" s="2">
        <v>0.71399999999999997</v>
      </c>
      <c r="F22" s="166">
        <f t="shared" ref="F22" si="34">(E22+E23)/2</f>
        <v>0.71849999999999992</v>
      </c>
      <c r="G22" s="197">
        <f>(-$D$67+SQRT($D$67^2-(4*$D$66*($D$68-F22))))/(2*$D$66)</f>
        <v>502.46247134848335</v>
      </c>
      <c r="H22" s="197">
        <f>G22*D22</f>
        <v>5024.6247134848336</v>
      </c>
      <c r="I22" s="174">
        <f>('Análisis proteínas'!Q23+'Análisis proteínas'!Q24)/2</f>
        <v>10487.419122160838</v>
      </c>
      <c r="K22" s="196" t="s">
        <v>36</v>
      </c>
      <c r="L22" s="2" t="s">
        <v>236</v>
      </c>
      <c r="M22" s="222"/>
      <c r="N22" s="3"/>
      <c r="O22" s="23">
        <f t="shared" si="0"/>
        <v>-11.763636363636364</v>
      </c>
      <c r="P22" s="23">
        <f t="shared" si="1"/>
        <v>0</v>
      </c>
      <c r="Q22" s="197">
        <f t="shared" ref="Q22" si="35">(P22+P23)/2</f>
        <v>0</v>
      </c>
      <c r="R22" s="174">
        <f t="shared" ref="R22" si="36">Q22/1000000</f>
        <v>0</v>
      </c>
      <c r="S22" s="174">
        <f t="shared" ref="S22" si="37">R22*$M$71</f>
        <v>0</v>
      </c>
    </row>
    <row r="23" spans="2:19">
      <c r="B23" s="196"/>
      <c r="C23" s="2" t="s">
        <v>237</v>
      </c>
      <c r="D23" s="167"/>
      <c r="E23" s="2">
        <v>0.72299999999999998</v>
      </c>
      <c r="F23" s="167"/>
      <c r="G23" s="199"/>
      <c r="H23" s="199"/>
      <c r="I23" s="174"/>
      <c r="K23" s="196"/>
      <c r="L23" s="2" t="s">
        <v>237</v>
      </c>
      <c r="M23" s="224"/>
      <c r="N23" s="3"/>
      <c r="O23" s="23">
        <f t="shared" si="0"/>
        <v>-11.763636363636364</v>
      </c>
      <c r="P23" s="23">
        <f t="shared" si="1"/>
        <v>0</v>
      </c>
      <c r="Q23" s="199"/>
      <c r="R23" s="174"/>
      <c r="S23" s="174"/>
    </row>
    <row r="24" spans="2:19">
      <c r="B24" s="196" t="s">
        <v>39</v>
      </c>
      <c r="C24" s="2" t="s">
        <v>236</v>
      </c>
      <c r="D24" s="166">
        <v>10</v>
      </c>
      <c r="E24" s="2">
        <v>0.48499999999999999</v>
      </c>
      <c r="F24" s="166">
        <f t="shared" ref="F24" si="38">(E24+E25)/2</f>
        <v>0.495</v>
      </c>
      <c r="G24" s="197">
        <f>(-$D$67+SQRT($D$67^2-(4*$D$66*($D$68-F24))))/(2*$D$66)</f>
        <v>334.74012701815047</v>
      </c>
      <c r="H24" s="197">
        <f>G24*D24</f>
        <v>3347.4012701815045</v>
      </c>
      <c r="I24" s="174">
        <f>('Análisis proteínas'!Q25+'Análisis proteínas'!Q26)/2</f>
        <v>7730.7694904849614</v>
      </c>
      <c r="K24" s="196" t="s">
        <v>39</v>
      </c>
      <c r="L24" s="2" t="s">
        <v>236</v>
      </c>
      <c r="M24" s="222"/>
      <c r="N24" s="3"/>
      <c r="O24" s="23">
        <f t="shared" si="0"/>
        <v>-11.763636363636364</v>
      </c>
      <c r="P24" s="23">
        <f t="shared" si="1"/>
        <v>0</v>
      </c>
      <c r="Q24" s="197">
        <f t="shared" ref="Q24" si="39">(P24+P25)/2</f>
        <v>0</v>
      </c>
      <c r="R24" s="174">
        <f t="shared" ref="R24" si="40">Q24/1000000</f>
        <v>0</v>
      </c>
      <c r="S24" s="174">
        <f t="shared" ref="S24" si="41">R24*$M$71</f>
        <v>0</v>
      </c>
    </row>
    <row r="25" spans="2:19">
      <c r="B25" s="196"/>
      <c r="C25" s="2" t="s">
        <v>237</v>
      </c>
      <c r="D25" s="167"/>
      <c r="E25" s="2">
        <v>0.505</v>
      </c>
      <c r="F25" s="167"/>
      <c r="G25" s="199"/>
      <c r="H25" s="199"/>
      <c r="I25" s="174"/>
      <c r="K25" s="196"/>
      <c r="L25" s="2" t="s">
        <v>237</v>
      </c>
      <c r="M25" s="224"/>
      <c r="N25" s="3"/>
      <c r="O25" s="23">
        <f t="shared" si="0"/>
        <v>-11.763636363636364</v>
      </c>
      <c r="P25" s="23">
        <f t="shared" si="1"/>
        <v>0</v>
      </c>
      <c r="Q25" s="199"/>
      <c r="R25" s="174"/>
      <c r="S25" s="174"/>
    </row>
    <row r="26" spans="2:19">
      <c r="B26" s="196" t="s">
        <v>42</v>
      </c>
      <c r="C26" s="2" t="s">
        <v>236</v>
      </c>
      <c r="D26" s="166">
        <v>10</v>
      </c>
      <c r="E26" s="2">
        <v>0.48499999999999999</v>
      </c>
      <c r="F26" s="166">
        <f t="shared" ref="F26" si="42">(E26+E27)/2</f>
        <v>0.47849999999999998</v>
      </c>
      <c r="G26" s="197">
        <f>(-$D$67+SQRT($D$67^2-(4*$D$66*($D$68-F26))))/(2*$D$66)</f>
        <v>322.6832652933868</v>
      </c>
      <c r="H26" s="197">
        <f>G26*D26</f>
        <v>3226.8326529338678</v>
      </c>
      <c r="I26" s="174">
        <f>('Análisis proteínas'!Q27+'Análisis proteínas'!Q28)/2</f>
        <v>8072.5029158993257</v>
      </c>
      <c r="K26" s="196" t="s">
        <v>42</v>
      </c>
      <c r="L26" s="2" t="s">
        <v>236</v>
      </c>
      <c r="M26" s="222"/>
      <c r="N26" s="3"/>
      <c r="O26" s="23">
        <f t="shared" si="0"/>
        <v>-11.763636363636364</v>
      </c>
      <c r="P26" s="23">
        <f t="shared" si="1"/>
        <v>0</v>
      </c>
      <c r="Q26" s="197">
        <f t="shared" ref="Q26" si="43">(P26+P27)/2</f>
        <v>0</v>
      </c>
      <c r="R26" s="174">
        <f t="shared" ref="R26" si="44">Q26/1000000</f>
        <v>0</v>
      </c>
      <c r="S26" s="174">
        <f t="shared" ref="S26" si="45">R26*$M$71</f>
        <v>0</v>
      </c>
    </row>
    <row r="27" spans="2:19">
      <c r="B27" s="196"/>
      <c r="C27" s="2" t="s">
        <v>237</v>
      </c>
      <c r="D27" s="167"/>
      <c r="E27" s="2">
        <v>0.47199999999999998</v>
      </c>
      <c r="F27" s="167"/>
      <c r="G27" s="199"/>
      <c r="H27" s="199"/>
      <c r="I27" s="174"/>
      <c r="K27" s="196"/>
      <c r="L27" s="2" t="s">
        <v>237</v>
      </c>
      <c r="M27" s="224"/>
      <c r="N27" s="3"/>
      <c r="O27" s="23">
        <f t="shared" si="0"/>
        <v>-11.763636363636364</v>
      </c>
      <c r="P27" s="23">
        <f t="shared" si="1"/>
        <v>0</v>
      </c>
      <c r="Q27" s="199"/>
      <c r="R27" s="174"/>
      <c r="S27" s="174"/>
    </row>
    <row r="28" spans="2:19">
      <c r="B28" s="196" t="s">
        <v>45</v>
      </c>
      <c r="C28" s="2" t="s">
        <v>236</v>
      </c>
      <c r="D28" s="166">
        <v>10</v>
      </c>
      <c r="E28" s="2">
        <v>0.55200000000000005</v>
      </c>
      <c r="F28" s="166">
        <f t="shared" ref="F28" si="46">(E28+E29)/2</f>
        <v>0.54900000000000004</v>
      </c>
      <c r="G28" s="197">
        <f>(-$D$67+SQRT($D$67^2-(4*$D$66*($D$68-F28))))/(2*$D$66)</f>
        <v>374.50003703155096</v>
      </c>
      <c r="H28" s="197">
        <f>G28*D28</f>
        <v>3745.0003703155098</v>
      </c>
      <c r="I28" s="174">
        <f>('Análisis proteínas'!Q29+'Análisis proteínas'!Q30)/2</f>
        <v>7077.6789441375076</v>
      </c>
      <c r="K28" s="196" t="s">
        <v>45</v>
      </c>
      <c r="L28" s="2" t="s">
        <v>236</v>
      </c>
      <c r="M28" s="222"/>
      <c r="N28" s="3"/>
      <c r="O28" s="23">
        <f t="shared" si="0"/>
        <v>-11.763636363636364</v>
      </c>
      <c r="P28" s="23">
        <f t="shared" si="1"/>
        <v>0</v>
      </c>
      <c r="Q28" s="197">
        <f t="shared" ref="Q28" si="47">(P28+P29)/2</f>
        <v>0</v>
      </c>
      <c r="R28" s="174">
        <f t="shared" ref="R28" si="48">Q28/1000000</f>
        <v>0</v>
      </c>
      <c r="S28" s="174">
        <f t="shared" ref="S28" si="49">R28*$M$71</f>
        <v>0</v>
      </c>
    </row>
    <row r="29" spans="2:19">
      <c r="B29" s="196"/>
      <c r="C29" s="2" t="s">
        <v>237</v>
      </c>
      <c r="D29" s="167"/>
      <c r="E29" s="2">
        <v>0.54600000000000004</v>
      </c>
      <c r="F29" s="167"/>
      <c r="G29" s="199"/>
      <c r="H29" s="199"/>
      <c r="I29" s="174"/>
      <c r="K29" s="196"/>
      <c r="L29" s="2" t="s">
        <v>237</v>
      </c>
      <c r="M29" s="224"/>
      <c r="N29" s="3"/>
      <c r="O29" s="23">
        <f t="shared" si="0"/>
        <v>-11.763636363636364</v>
      </c>
      <c r="P29" s="23">
        <f t="shared" si="1"/>
        <v>0</v>
      </c>
      <c r="Q29" s="199"/>
      <c r="R29" s="174"/>
      <c r="S29" s="174"/>
    </row>
    <row r="30" spans="2:19">
      <c r="B30" s="196" t="s">
        <v>49</v>
      </c>
      <c r="C30" s="2" t="s">
        <v>236</v>
      </c>
      <c r="D30" s="166">
        <v>10</v>
      </c>
      <c r="E30" s="2">
        <v>0.504</v>
      </c>
      <c r="F30" s="166">
        <f t="shared" ref="F30" si="50">(E30+E31)/2</f>
        <v>0.51600000000000001</v>
      </c>
      <c r="G30" s="197">
        <f>(-$D$67+SQRT($D$67^2-(4*$D$66*($D$68-F30))))/(2*$D$66)</f>
        <v>350.14706200400502</v>
      </c>
      <c r="H30" s="197">
        <f>G30*D30</f>
        <v>3501.4706200400501</v>
      </c>
      <c r="I30" s="174">
        <f>('Análisis proteínas'!Q31+'Análisis proteínas'!Q32)/2</f>
        <v>7032.1144874155943</v>
      </c>
      <c r="K30" s="196" t="s">
        <v>49</v>
      </c>
      <c r="L30" s="2" t="s">
        <v>236</v>
      </c>
      <c r="M30" s="222"/>
      <c r="N30" s="3"/>
      <c r="O30" s="23">
        <f t="shared" si="0"/>
        <v>-11.763636363636364</v>
      </c>
      <c r="P30" s="23">
        <f t="shared" si="1"/>
        <v>0</v>
      </c>
      <c r="Q30" s="197">
        <f t="shared" ref="Q30" si="51">(P30+P31)/2</f>
        <v>0</v>
      </c>
      <c r="R30" s="174">
        <f t="shared" ref="R30" si="52">Q30/1000000</f>
        <v>0</v>
      </c>
      <c r="S30" s="174">
        <f t="shared" ref="S30" si="53">R30*$M$71</f>
        <v>0</v>
      </c>
    </row>
    <row r="31" spans="2:19">
      <c r="B31" s="196"/>
      <c r="C31" s="2" t="s">
        <v>237</v>
      </c>
      <c r="D31" s="167"/>
      <c r="E31" s="2">
        <v>0.52800000000000002</v>
      </c>
      <c r="F31" s="167"/>
      <c r="G31" s="199"/>
      <c r="H31" s="199"/>
      <c r="I31" s="174"/>
      <c r="K31" s="196"/>
      <c r="L31" s="2" t="s">
        <v>237</v>
      </c>
      <c r="M31" s="224"/>
      <c r="N31" s="3"/>
      <c r="O31" s="23">
        <f t="shared" si="0"/>
        <v>-11.763636363636364</v>
      </c>
      <c r="P31" s="23">
        <f t="shared" si="1"/>
        <v>0</v>
      </c>
      <c r="Q31" s="199"/>
      <c r="R31" s="174"/>
      <c r="S31" s="174"/>
    </row>
    <row r="32" spans="2:19">
      <c r="B32" s="196" t="s">
        <v>50</v>
      </c>
      <c r="C32" s="2" t="s">
        <v>236</v>
      </c>
      <c r="D32" s="166">
        <v>10</v>
      </c>
      <c r="E32" s="2">
        <v>0.52500000000000002</v>
      </c>
      <c r="F32" s="166">
        <f t="shared" ref="F32" si="54">(E32+E33)/2</f>
        <v>0.51849999999999996</v>
      </c>
      <c r="G32" s="197">
        <f>(-$D$67+SQRT($D$67^2-(4*$D$66*($D$68-F32))))/(2*$D$66)</f>
        <v>351.98587407291654</v>
      </c>
      <c r="H32" s="197">
        <f>G32*D32</f>
        <v>3519.8587407291652</v>
      </c>
      <c r="I32" s="174">
        <f>('Análisis proteínas'!Q33+'Análisis proteínas'!Q34)/2</f>
        <v>6940.9855739717623</v>
      </c>
      <c r="K32" s="196" t="s">
        <v>50</v>
      </c>
      <c r="L32" s="2" t="s">
        <v>236</v>
      </c>
      <c r="M32" s="222"/>
      <c r="N32" s="3"/>
      <c r="O32" s="23">
        <f t="shared" si="0"/>
        <v>-11.763636363636364</v>
      </c>
      <c r="P32" s="23">
        <f t="shared" si="1"/>
        <v>0</v>
      </c>
      <c r="Q32" s="197">
        <f t="shared" ref="Q32" si="55">(P32+P33)/2</f>
        <v>0</v>
      </c>
      <c r="R32" s="174">
        <f t="shared" ref="R32" si="56">Q32/1000000</f>
        <v>0</v>
      </c>
      <c r="S32" s="174">
        <f t="shared" ref="S32" si="57">R32*$M$71</f>
        <v>0</v>
      </c>
    </row>
    <row r="33" spans="2:20">
      <c r="B33" s="196"/>
      <c r="C33" s="2" t="s">
        <v>237</v>
      </c>
      <c r="D33" s="167"/>
      <c r="E33" s="2">
        <v>0.51200000000000001</v>
      </c>
      <c r="F33" s="167"/>
      <c r="G33" s="199"/>
      <c r="H33" s="199"/>
      <c r="I33" s="174"/>
      <c r="K33" s="196"/>
      <c r="L33" s="2" t="s">
        <v>237</v>
      </c>
      <c r="M33" s="224"/>
      <c r="N33" s="3"/>
      <c r="O33" s="23">
        <f t="shared" si="0"/>
        <v>-11.763636363636364</v>
      </c>
      <c r="P33" s="23">
        <f t="shared" si="1"/>
        <v>0</v>
      </c>
      <c r="Q33" s="199"/>
      <c r="R33" s="174"/>
      <c r="S33" s="174"/>
    </row>
    <row r="34" spans="2:20">
      <c r="B34" s="196" t="s">
        <v>53</v>
      </c>
      <c r="C34" s="2" t="s">
        <v>236</v>
      </c>
      <c r="D34" s="166">
        <v>10</v>
      </c>
      <c r="E34" s="2">
        <v>0.499</v>
      </c>
      <c r="F34" s="166">
        <f t="shared" ref="F34" si="58">(E34+E35)/2</f>
        <v>0.50900000000000001</v>
      </c>
      <c r="G34" s="197">
        <f>(-$D$67+SQRT($D$67^2-(4*$D$66*($D$68-F34))))/(2*$D$66)</f>
        <v>345.00367107393174</v>
      </c>
      <c r="H34" s="197">
        <f>G34*D34</f>
        <v>3450.0367107393176</v>
      </c>
      <c r="I34" s="174">
        <f>('Análisis proteínas'!Q35+'Análisis proteínas'!Q36)/2</f>
        <v>7168.8078575813397</v>
      </c>
      <c r="K34" s="196" t="s">
        <v>53</v>
      </c>
      <c r="L34" s="2" t="s">
        <v>236</v>
      </c>
      <c r="M34" s="222"/>
      <c r="N34" s="3"/>
      <c r="O34" s="23">
        <f t="shared" si="0"/>
        <v>-11.763636363636364</v>
      </c>
      <c r="P34" s="23">
        <f t="shared" si="1"/>
        <v>0</v>
      </c>
      <c r="Q34" s="197">
        <f t="shared" ref="Q34" si="59">(P34+P35)/2</f>
        <v>0</v>
      </c>
      <c r="R34" s="174">
        <f t="shared" ref="R34" si="60">Q34/1000000</f>
        <v>0</v>
      </c>
      <c r="S34" s="174">
        <f t="shared" ref="S34" si="61">R34*$M$71</f>
        <v>0</v>
      </c>
    </row>
    <row r="35" spans="2:20">
      <c r="B35" s="196"/>
      <c r="C35" s="2" t="s">
        <v>237</v>
      </c>
      <c r="D35" s="167"/>
      <c r="E35" s="2">
        <v>0.51900000000000002</v>
      </c>
      <c r="F35" s="167"/>
      <c r="G35" s="199"/>
      <c r="H35" s="199"/>
      <c r="I35" s="174"/>
      <c r="K35" s="196"/>
      <c r="L35" s="2" t="s">
        <v>237</v>
      </c>
      <c r="M35" s="223"/>
      <c r="N35" s="80"/>
      <c r="O35" s="23">
        <f t="shared" si="0"/>
        <v>-11.763636363636364</v>
      </c>
      <c r="P35" s="23">
        <f t="shared" si="1"/>
        <v>0</v>
      </c>
      <c r="Q35" s="199"/>
      <c r="R35" s="174"/>
      <c r="S35" s="174"/>
    </row>
    <row r="36" spans="2:20">
      <c r="B36" s="196" t="s">
        <v>54</v>
      </c>
      <c r="C36" s="2" t="s">
        <v>236</v>
      </c>
      <c r="D36" s="166">
        <v>10</v>
      </c>
      <c r="E36" s="2">
        <v>0.40600000000000003</v>
      </c>
      <c r="F36" s="166">
        <f t="shared" ref="F36" si="62">(E36+E37)/2</f>
        <v>0.41149999999999998</v>
      </c>
      <c r="G36" s="197">
        <f>(-$D$67+SQRT($D$67^2-(4*$D$66*($D$68-F36))))/(2*$D$66)</f>
        <v>274.15477905013722</v>
      </c>
      <c r="H36" s="197">
        <f>G36*D36</f>
        <v>2741.5477905013722</v>
      </c>
      <c r="I36" s="174">
        <f>('Análisis proteínas'!Q37+'Análisis proteínas'!Q38)/2</f>
        <v>4738.7034990791908</v>
      </c>
      <c r="K36" s="196" t="s">
        <v>54</v>
      </c>
      <c r="L36" s="30" t="s">
        <v>236</v>
      </c>
      <c r="M36" s="268">
        <v>400</v>
      </c>
      <c r="N36" s="81">
        <v>0.34499999999999997</v>
      </c>
      <c r="O36" s="79">
        <f t="shared" si="0"/>
        <v>50.963636363636368</v>
      </c>
      <c r="P36" s="23">
        <f t="shared" si="1"/>
        <v>20385.454545454548</v>
      </c>
      <c r="Q36" s="197">
        <f t="shared" ref="Q36" si="63">(P36+P37)/2</f>
        <v>20640</v>
      </c>
      <c r="R36" s="174">
        <f t="shared" ref="R36" si="64">Q36/1000000</f>
        <v>2.0639999999999999E-2</v>
      </c>
      <c r="S36" s="174">
        <f>R36*$M$71*1000</f>
        <v>2747.3904000000002</v>
      </c>
      <c r="T36" s="162">
        <f>'Análisis proteínas'!AP6*1000</f>
        <v>3770</v>
      </c>
    </row>
    <row r="37" spans="2:20">
      <c r="B37" s="196"/>
      <c r="C37" s="2" t="s">
        <v>237</v>
      </c>
      <c r="D37" s="167"/>
      <c r="E37" s="2">
        <v>0.41699999999999998</v>
      </c>
      <c r="F37" s="167"/>
      <c r="G37" s="199"/>
      <c r="H37" s="199"/>
      <c r="I37" s="174"/>
      <c r="K37" s="196"/>
      <c r="L37" s="30" t="s">
        <v>237</v>
      </c>
      <c r="M37" s="268"/>
      <c r="N37" s="81">
        <v>0.35199999999999998</v>
      </c>
      <c r="O37" s="79">
        <f t="shared" si="0"/>
        <v>52.236363636363642</v>
      </c>
      <c r="P37" s="23">
        <f>O37*M36</f>
        <v>20894.545454545456</v>
      </c>
      <c r="Q37" s="199"/>
      <c r="R37" s="174"/>
      <c r="S37" s="174"/>
      <c r="T37" s="162"/>
    </row>
    <row r="38" spans="2:20">
      <c r="B38" s="196" t="s">
        <v>58</v>
      </c>
      <c r="C38" s="2" t="s">
        <v>236</v>
      </c>
      <c r="D38" s="166">
        <v>10</v>
      </c>
      <c r="E38" s="2">
        <v>0.44500000000000001</v>
      </c>
      <c r="F38" s="166">
        <f t="shared" ref="F38:F58" si="65">(E38+E39)/2</f>
        <v>0.441</v>
      </c>
      <c r="G38" s="197">
        <f>(-$D$67+SQRT($D$67^2-(4*$D$66*($D$68-F38))))/(2*$D$66)</f>
        <v>295.43779908365252</v>
      </c>
      <c r="H38" s="197">
        <f>G38*D38</f>
        <v>2954.377990836525</v>
      </c>
      <c r="I38" s="174">
        <f>('Análisis proteínas'!Q39+'Análisis proteínas'!Q40)/2</f>
        <v>4131.1774094536522</v>
      </c>
      <c r="K38" s="196" t="s">
        <v>58</v>
      </c>
      <c r="L38" s="30" t="s">
        <v>236</v>
      </c>
      <c r="M38" s="268">
        <v>400</v>
      </c>
      <c r="N38" s="81">
        <v>0.35299999999999998</v>
      </c>
      <c r="O38" s="79">
        <f t="shared" si="0"/>
        <v>52.418181818181822</v>
      </c>
      <c r="P38" s="23">
        <f t="shared" si="1"/>
        <v>20967.272727272728</v>
      </c>
      <c r="Q38" s="197">
        <f t="shared" ref="Q38" si="66">(P38+P39)/2</f>
        <v>20640</v>
      </c>
      <c r="R38" s="174">
        <f t="shared" ref="R38" si="67">Q38/1000000</f>
        <v>2.0639999999999999E-2</v>
      </c>
      <c r="S38" s="174">
        <f t="shared" ref="S38" si="68">R38*$M$71*1000</f>
        <v>2747.3904000000002</v>
      </c>
    </row>
    <row r="39" spans="2:20">
      <c r="B39" s="196"/>
      <c r="C39" s="2" t="s">
        <v>237</v>
      </c>
      <c r="D39" s="167"/>
      <c r="E39" s="2">
        <v>0.437</v>
      </c>
      <c r="F39" s="167"/>
      <c r="G39" s="199"/>
      <c r="H39" s="199"/>
      <c r="I39" s="174"/>
      <c r="K39" s="196"/>
      <c r="L39" s="30" t="s">
        <v>237</v>
      </c>
      <c r="M39" s="268"/>
      <c r="N39" s="81">
        <v>0.34399999999999997</v>
      </c>
      <c r="O39" s="79">
        <f t="shared" si="0"/>
        <v>50.781818181818181</v>
      </c>
      <c r="P39" s="23">
        <f>O39*M38</f>
        <v>20312.727272727272</v>
      </c>
      <c r="Q39" s="199"/>
      <c r="R39" s="174"/>
      <c r="S39" s="174"/>
    </row>
    <row r="40" spans="2:20">
      <c r="B40" s="196" t="s">
        <v>60</v>
      </c>
      <c r="C40" s="36" t="s">
        <v>236</v>
      </c>
      <c r="D40" s="166">
        <v>10</v>
      </c>
      <c r="E40" s="2">
        <v>0.71399999999999997</v>
      </c>
      <c r="F40" s="166">
        <f t="shared" si="65"/>
        <v>0.75800000000000001</v>
      </c>
      <c r="G40" s="197">
        <f>(-$D$67+SQRT($D$67^2-(4*$D$66*($D$68-F40))))/(2*$D$66)</f>
        <v>533.01383279318395</v>
      </c>
      <c r="H40" s="197">
        <f t="shared" ref="H40" si="69">G40*D40</f>
        <v>5330.1383279318397</v>
      </c>
      <c r="I40" s="174">
        <f>('Análisis proteínas'!Q41+'Análisis proteínas'!Q42)/2</f>
        <v>10259.596838551261</v>
      </c>
      <c r="K40" s="196" t="s">
        <v>60</v>
      </c>
      <c r="L40" s="36" t="s">
        <v>236</v>
      </c>
      <c r="M40" s="268">
        <v>400</v>
      </c>
      <c r="N40" s="81">
        <v>0.52700000000000002</v>
      </c>
      <c r="O40" s="79">
        <f t="shared" ref="O40:O63" si="70">(N40-$M$70)/$M$69</f>
        <v>84.054545454545462</v>
      </c>
      <c r="P40" s="23">
        <f t="shared" ref="P40:P60" si="71">O40*M40</f>
        <v>33621.818181818184</v>
      </c>
      <c r="Q40" s="197">
        <f t="shared" ref="Q40" si="72">(P40+P41)/2</f>
        <v>33549.090909090912</v>
      </c>
      <c r="R40" s="174">
        <f t="shared" ref="R40" si="73">Q40/1000000</f>
        <v>3.354909090909091E-2</v>
      </c>
      <c r="S40" s="174">
        <f t="shared" ref="S40" si="74">R40*$M$71*1000</f>
        <v>4465.7194909090913</v>
      </c>
      <c r="T40" s="162">
        <f>'Análisis proteínas'!AP8*1000</f>
        <v>8049.9999999999991</v>
      </c>
    </row>
    <row r="41" spans="2:20">
      <c r="B41" s="196"/>
      <c r="C41" s="36" t="s">
        <v>237</v>
      </c>
      <c r="D41" s="167"/>
      <c r="E41" s="2">
        <v>0.80200000000000005</v>
      </c>
      <c r="F41" s="167"/>
      <c r="G41" s="199"/>
      <c r="H41" s="199"/>
      <c r="I41" s="174"/>
      <c r="K41" s="196"/>
      <c r="L41" s="36" t="s">
        <v>237</v>
      </c>
      <c r="M41" s="268"/>
      <c r="N41" s="81">
        <v>0.52500000000000002</v>
      </c>
      <c r="O41" s="79">
        <f t="shared" si="70"/>
        <v>83.690909090909102</v>
      </c>
      <c r="P41" s="23">
        <f>O41*M40</f>
        <v>33476.36363636364</v>
      </c>
      <c r="Q41" s="199"/>
      <c r="R41" s="174"/>
      <c r="S41" s="174"/>
      <c r="T41" s="162"/>
    </row>
    <row r="42" spans="2:20">
      <c r="B42" s="196" t="s">
        <v>63</v>
      </c>
      <c r="C42" s="36" t="s">
        <v>236</v>
      </c>
      <c r="D42" s="166">
        <v>10</v>
      </c>
      <c r="E42" s="2">
        <v>0.69799999999999995</v>
      </c>
      <c r="F42" s="166">
        <f t="shared" si="65"/>
        <v>0.71049999999999991</v>
      </c>
      <c r="G42" s="197">
        <f>(-$D$67+SQRT($D$67^2-(4*$D$66*($D$68-F42))))/(2*$D$66)</f>
        <v>496.30978733377276</v>
      </c>
      <c r="H42" s="197">
        <f t="shared" ref="H42" si="75">G42*D42</f>
        <v>4963.0978733377278</v>
      </c>
      <c r="I42" s="174">
        <f>('Análisis proteínas'!Q43+'Análisis proteínas'!Q44)/2</f>
        <v>11011.410374462863</v>
      </c>
      <c r="K42" s="196" t="s">
        <v>63</v>
      </c>
      <c r="L42" s="36" t="s">
        <v>236</v>
      </c>
      <c r="M42" s="268">
        <v>400</v>
      </c>
      <c r="N42" s="81">
        <v>0.51700000000000002</v>
      </c>
      <c r="O42" s="79">
        <f t="shared" si="70"/>
        <v>82.236363636363649</v>
      </c>
      <c r="P42" s="23">
        <f t="shared" si="71"/>
        <v>32894.545454545456</v>
      </c>
      <c r="Q42" s="197">
        <f t="shared" ref="Q42" si="76">(P42+P43)/2</f>
        <v>33549.090909090912</v>
      </c>
      <c r="R42" s="174">
        <f t="shared" ref="R42" si="77">Q42/1000000</f>
        <v>3.354909090909091E-2</v>
      </c>
      <c r="S42" s="174">
        <f t="shared" ref="S42" si="78">R42*$M$71*1000</f>
        <v>4465.7194909090913</v>
      </c>
    </row>
    <row r="43" spans="2:20">
      <c r="B43" s="196"/>
      <c r="C43" s="36" t="s">
        <v>237</v>
      </c>
      <c r="D43" s="167"/>
      <c r="E43" s="2">
        <v>0.72299999999999998</v>
      </c>
      <c r="F43" s="167"/>
      <c r="G43" s="199"/>
      <c r="H43" s="199"/>
      <c r="I43" s="174"/>
      <c r="K43" s="196"/>
      <c r="L43" s="36" t="s">
        <v>237</v>
      </c>
      <c r="M43" s="268"/>
      <c r="N43" s="81">
        <v>0.53500000000000003</v>
      </c>
      <c r="O43" s="79">
        <f t="shared" si="70"/>
        <v>85.509090909090929</v>
      </c>
      <c r="P43" s="23">
        <f>O43*M42</f>
        <v>34203.636363636375</v>
      </c>
      <c r="Q43" s="199"/>
      <c r="R43" s="174"/>
      <c r="S43" s="174"/>
    </row>
    <row r="44" spans="2:20">
      <c r="B44" s="196" t="s">
        <v>65</v>
      </c>
      <c r="C44" s="36" t="s">
        <v>236</v>
      </c>
      <c r="D44" s="166">
        <v>10</v>
      </c>
      <c r="E44" s="2">
        <v>0.35199999999999998</v>
      </c>
      <c r="F44" s="166">
        <f t="shared" si="65"/>
        <v>0.35399999999999998</v>
      </c>
      <c r="G44" s="197">
        <f>(-$D$67+SQRT($D$67^2-(4*$D$66*($D$68-F44))))/(2*$D$66)</f>
        <v>233.0410863929616</v>
      </c>
      <c r="H44" s="197">
        <f t="shared" ref="H44" si="79">G44*D44</f>
        <v>2330.410863929616</v>
      </c>
      <c r="I44" s="174">
        <f>('Análisis proteínas'!Q45+'Análisis proteínas'!Q46)/2</f>
        <v>4283.0589318600378</v>
      </c>
      <c r="K44" s="196" t="s">
        <v>65</v>
      </c>
      <c r="L44" s="36" t="s">
        <v>236</v>
      </c>
      <c r="M44" s="268">
        <v>200</v>
      </c>
      <c r="N44" s="81">
        <v>0.505</v>
      </c>
      <c r="O44" s="79">
        <f t="shared" si="70"/>
        <v>80.054545454545462</v>
      </c>
      <c r="P44" s="23">
        <f t="shared" si="71"/>
        <v>16010.909090909092</v>
      </c>
      <c r="Q44" s="197">
        <f t="shared" ref="Q44" si="80">(P44+P45)/2</f>
        <v>16247.27272727273</v>
      </c>
      <c r="R44" s="174">
        <f t="shared" ref="R44" si="81">Q44/1000000</f>
        <v>1.6247272727272728E-2</v>
      </c>
      <c r="S44" s="174">
        <f t="shared" ref="S44" si="82">R44*$M$71*1000</f>
        <v>2162.674472727273</v>
      </c>
      <c r="T44" s="162">
        <f>'Análisis proteínas'!AP10*1000</f>
        <v>3320</v>
      </c>
    </row>
    <row r="45" spans="2:20">
      <c r="B45" s="196"/>
      <c r="C45" s="36" t="s">
        <v>237</v>
      </c>
      <c r="D45" s="167"/>
      <c r="E45" s="2">
        <v>0.35599999999999998</v>
      </c>
      <c r="F45" s="167"/>
      <c r="G45" s="199"/>
      <c r="H45" s="199"/>
      <c r="I45" s="174"/>
      <c r="K45" s="196"/>
      <c r="L45" s="36" t="s">
        <v>237</v>
      </c>
      <c r="M45" s="268"/>
      <c r="N45" s="81">
        <v>0.51800000000000002</v>
      </c>
      <c r="O45" s="79">
        <f t="shared" si="70"/>
        <v>82.418181818181836</v>
      </c>
      <c r="P45" s="23">
        <f>O45*M44</f>
        <v>16483.636363636368</v>
      </c>
      <c r="Q45" s="199"/>
      <c r="R45" s="174"/>
      <c r="S45" s="174"/>
      <c r="T45" s="162"/>
    </row>
    <row r="46" spans="2:20">
      <c r="B46" s="196" t="s">
        <v>67</v>
      </c>
      <c r="C46" s="36" t="s">
        <v>236</v>
      </c>
      <c r="D46" s="166">
        <v>10</v>
      </c>
      <c r="E46" s="2">
        <v>0.34200000000000003</v>
      </c>
      <c r="F46" s="166">
        <f t="shared" si="65"/>
        <v>0.34450000000000003</v>
      </c>
      <c r="G46" s="197">
        <f>(-$D$67+SQRT($D$67^2-(4*$D$66*($D$68-F46))))/(2*$D$66)</f>
        <v>226.29456395685654</v>
      </c>
      <c r="H46" s="197">
        <f t="shared" ref="H46" si="83">G46*D46</f>
        <v>2262.9456395685652</v>
      </c>
      <c r="I46" s="174">
        <f>('Análisis proteínas'!Q47+'Análisis proteínas'!Q48)/2</f>
        <v>4085.6129527317371</v>
      </c>
      <c r="K46" s="196" t="s">
        <v>67</v>
      </c>
      <c r="L46" s="36" t="s">
        <v>236</v>
      </c>
      <c r="M46" s="268">
        <v>200</v>
      </c>
      <c r="N46" s="81">
        <v>0.55400000000000005</v>
      </c>
      <c r="O46" s="79">
        <f t="shared" si="70"/>
        <v>88.963636363636382</v>
      </c>
      <c r="P46" s="23">
        <f t="shared" si="71"/>
        <v>17792.727272727276</v>
      </c>
      <c r="Q46" s="197">
        <f t="shared" ref="Q46" si="84">(P46+P47)/2</f>
        <v>17647.272727272732</v>
      </c>
      <c r="R46" s="174">
        <f t="shared" ref="R46" si="85">Q46/1000000</f>
        <v>1.764727272727273E-2</v>
      </c>
      <c r="S46" s="174">
        <f t="shared" ref="S46" si="86">R46*$M$71*1000</f>
        <v>2349.0284727272733</v>
      </c>
    </row>
    <row r="47" spans="2:20">
      <c r="B47" s="196"/>
      <c r="C47" s="36" t="s">
        <v>237</v>
      </c>
      <c r="D47" s="167"/>
      <c r="E47" s="2">
        <v>0.34699999999999998</v>
      </c>
      <c r="F47" s="167"/>
      <c r="G47" s="199"/>
      <c r="H47" s="199"/>
      <c r="I47" s="174"/>
      <c r="K47" s="196"/>
      <c r="L47" s="36" t="s">
        <v>237</v>
      </c>
      <c r="M47" s="268"/>
      <c r="N47" s="81">
        <v>0.54600000000000004</v>
      </c>
      <c r="O47" s="79">
        <f t="shared" si="70"/>
        <v>87.509090909090929</v>
      </c>
      <c r="P47" s="23">
        <f>O47*M46</f>
        <v>17501.818181818187</v>
      </c>
      <c r="Q47" s="199"/>
      <c r="R47" s="174"/>
      <c r="S47" s="174"/>
    </row>
    <row r="48" spans="2:20">
      <c r="B48" s="196" t="s">
        <v>68</v>
      </c>
      <c r="C48" s="36" t="s">
        <v>236</v>
      </c>
      <c r="D48" s="166">
        <v>10</v>
      </c>
      <c r="E48" s="2">
        <v>0.42899999999999999</v>
      </c>
      <c r="F48" s="166">
        <f t="shared" si="65"/>
        <v>0.44400000000000001</v>
      </c>
      <c r="G48" s="197">
        <f>(-$D$67+SQRT($D$67^2-(4*$D$66*($D$68-F48))))/(2*$D$66)</f>
        <v>297.60952382266026</v>
      </c>
      <c r="H48" s="197">
        <f t="shared" ref="H48" si="87">G48*D48</f>
        <v>2976.0952382266028</v>
      </c>
      <c r="I48" s="174">
        <f>('Análisis proteínas'!Q49+'Análisis proteínas'!Q50)/2</f>
        <v>6758.7277470841009</v>
      </c>
      <c r="K48" s="196" t="s">
        <v>68</v>
      </c>
      <c r="L48" s="36" t="s">
        <v>236</v>
      </c>
      <c r="M48" s="268">
        <v>200</v>
      </c>
      <c r="N48" s="81">
        <v>0.60499999999999998</v>
      </c>
      <c r="O48" s="79">
        <f t="shared" si="70"/>
        <v>98.236363636363649</v>
      </c>
      <c r="P48" s="23">
        <f t="shared" si="71"/>
        <v>19647.272727272728</v>
      </c>
      <c r="Q48" s="197">
        <f t="shared" ref="Q48" si="88">(P48+P49)/2</f>
        <v>19647.272727272728</v>
      </c>
      <c r="R48" s="174">
        <f t="shared" ref="R48" si="89">Q48/1000000</f>
        <v>1.9647272727272728E-2</v>
      </c>
      <c r="S48" s="174">
        <f t="shared" ref="S48" si="90">R48*$M$71*1000</f>
        <v>2615.2484727272731</v>
      </c>
      <c r="T48" s="162">
        <f>'Análisis proteínas'!AP12*1000</f>
        <v>3539.9999999999991</v>
      </c>
    </row>
    <row r="49" spans="2:20">
      <c r="B49" s="196"/>
      <c r="C49" s="36" t="s">
        <v>237</v>
      </c>
      <c r="D49" s="167"/>
      <c r="E49" s="2">
        <v>0.45900000000000002</v>
      </c>
      <c r="F49" s="167"/>
      <c r="G49" s="199"/>
      <c r="H49" s="199"/>
      <c r="I49" s="174"/>
      <c r="K49" s="196"/>
      <c r="L49" s="36" t="s">
        <v>237</v>
      </c>
      <c r="M49" s="268"/>
      <c r="N49" s="81">
        <v>0.60499999999999998</v>
      </c>
      <c r="O49" s="79">
        <f t="shared" si="70"/>
        <v>98.236363636363649</v>
      </c>
      <c r="P49" s="23">
        <f>O49*M48</f>
        <v>19647.272727272728</v>
      </c>
      <c r="Q49" s="199"/>
      <c r="R49" s="174"/>
      <c r="S49" s="174"/>
      <c r="T49" s="162"/>
    </row>
    <row r="50" spans="2:20">
      <c r="B50" s="196" t="s">
        <v>71</v>
      </c>
      <c r="C50" s="36" t="s">
        <v>236</v>
      </c>
      <c r="D50" s="166">
        <v>10</v>
      </c>
      <c r="E50" s="2">
        <v>0.42699999999999999</v>
      </c>
      <c r="F50" s="166">
        <f t="shared" si="65"/>
        <v>0.42</v>
      </c>
      <c r="G50" s="197">
        <f>(-$D$67+SQRT($D$67^2-(4*$D$66*($D$68-F50))))/(2*$D$66)</f>
        <v>280.27378601711581</v>
      </c>
      <c r="H50" s="197">
        <f t="shared" ref="H50" si="91">G50*D50</f>
        <v>2802.737860171158</v>
      </c>
      <c r="I50" s="174">
        <f>('Análisis proteínas'!Q51+'Análisis proteínas'!Q52)/2</f>
        <v>6606.8462246777181</v>
      </c>
      <c r="K50" s="196" t="s">
        <v>71</v>
      </c>
      <c r="L50" s="36" t="s">
        <v>236</v>
      </c>
      <c r="M50" s="268">
        <v>200</v>
      </c>
      <c r="N50" s="81">
        <v>0.57999999999999996</v>
      </c>
      <c r="O50" s="79">
        <f t="shared" si="70"/>
        <v>93.690909090909088</v>
      </c>
      <c r="P50" s="23">
        <f t="shared" si="71"/>
        <v>18738.181818181816</v>
      </c>
      <c r="Q50" s="197">
        <f t="shared" ref="Q50" si="92">(P50+P51)/2</f>
        <v>18320</v>
      </c>
      <c r="R50" s="174">
        <f t="shared" ref="R50" si="93">Q50/1000000</f>
        <v>1.8319999999999999E-2</v>
      </c>
      <c r="S50" s="174">
        <f t="shared" ref="S50" si="94">R50*$M$71*1000</f>
        <v>2438.5752000000002</v>
      </c>
    </row>
    <row r="51" spans="2:20">
      <c r="B51" s="196"/>
      <c r="C51" s="36" t="s">
        <v>237</v>
      </c>
      <c r="D51" s="167"/>
      <c r="E51" s="2">
        <v>0.41299999999999998</v>
      </c>
      <c r="F51" s="167"/>
      <c r="G51" s="199"/>
      <c r="H51" s="199"/>
      <c r="I51" s="174"/>
      <c r="K51" s="196"/>
      <c r="L51" s="36" t="s">
        <v>237</v>
      </c>
      <c r="M51" s="268"/>
      <c r="N51" s="81">
        <v>0.55700000000000005</v>
      </c>
      <c r="O51" s="79">
        <f t="shared" si="70"/>
        <v>89.509090909090929</v>
      </c>
      <c r="P51" s="23">
        <f>O51*M50</f>
        <v>17901.818181818187</v>
      </c>
      <c r="Q51" s="199"/>
      <c r="R51" s="174"/>
      <c r="S51" s="174"/>
    </row>
    <row r="52" spans="2:20">
      <c r="B52" s="196" t="s">
        <v>72</v>
      </c>
      <c r="C52" s="36" t="s">
        <v>236</v>
      </c>
      <c r="D52" s="166">
        <v>10</v>
      </c>
      <c r="E52" s="2">
        <v>0.74199999999999999</v>
      </c>
      <c r="F52" s="166">
        <f t="shared" si="65"/>
        <v>0.76200000000000001</v>
      </c>
      <c r="G52" s="197">
        <f>(-$D$67+SQRT($D$67^2-(4*$D$66*($D$68-F52))))/(2*$D$66)</f>
        <v>536.12383561531738</v>
      </c>
      <c r="H52" s="197">
        <f t="shared" ref="H52" si="95">G52*D52</f>
        <v>5361.2383561531733</v>
      </c>
      <c r="I52" s="174">
        <f>('Análisis proteínas'!Q53+'Análisis proteínas'!Q54)/2</f>
        <v>9409.060313075508</v>
      </c>
      <c r="K52" s="196" t="s">
        <v>72</v>
      </c>
      <c r="L52" s="36" t="s">
        <v>236</v>
      </c>
      <c r="M52" s="268">
        <v>200</v>
      </c>
      <c r="N52" s="81">
        <v>0.96699999999999997</v>
      </c>
      <c r="O52" s="79">
        <f t="shared" si="70"/>
        <v>164.05454545454546</v>
      </c>
      <c r="P52" s="23">
        <f t="shared" si="71"/>
        <v>32810.909090909096</v>
      </c>
      <c r="Q52" s="197">
        <f t="shared" ref="Q52" si="96">(P52+P53)/2</f>
        <v>31865.454545454551</v>
      </c>
      <c r="R52" s="174">
        <f t="shared" ref="R52" si="97">Q52/1000000</f>
        <v>3.1865454545454551E-2</v>
      </c>
      <c r="S52" s="174">
        <f t="shared" ref="S52" si="98">R52*$M$71*1000</f>
        <v>4241.6106545454559</v>
      </c>
      <c r="T52" s="162">
        <f>'Análisis proteínas'!AP14*1000</f>
        <v>9000</v>
      </c>
    </row>
    <row r="53" spans="2:20">
      <c r="B53" s="196"/>
      <c r="C53" s="36" t="s">
        <v>237</v>
      </c>
      <c r="D53" s="167"/>
      <c r="E53" s="2">
        <v>0.78200000000000003</v>
      </c>
      <c r="F53" s="167"/>
      <c r="G53" s="199"/>
      <c r="H53" s="199"/>
      <c r="I53" s="174"/>
      <c r="K53" s="196"/>
      <c r="L53" s="36" t="s">
        <v>237</v>
      </c>
      <c r="M53" s="268"/>
      <c r="N53" s="81">
        <v>0.91500000000000004</v>
      </c>
      <c r="O53" s="79">
        <f t="shared" si="70"/>
        <v>154.60000000000002</v>
      </c>
      <c r="P53" s="23">
        <f>O53*M52</f>
        <v>30920.000000000004</v>
      </c>
      <c r="Q53" s="199"/>
      <c r="R53" s="174"/>
      <c r="S53" s="174"/>
      <c r="T53" s="162"/>
    </row>
    <row r="54" spans="2:20">
      <c r="B54" s="196" t="s">
        <v>73</v>
      </c>
      <c r="C54" s="36" t="s">
        <v>236</v>
      </c>
      <c r="D54" s="166">
        <v>10</v>
      </c>
      <c r="E54" s="2">
        <v>0.71399999999999997</v>
      </c>
      <c r="F54" s="166">
        <f t="shared" si="65"/>
        <v>0.70750000000000002</v>
      </c>
      <c r="G54" s="197">
        <f>(-$D$67+SQRT($D$67^2-(4*$D$66*($D$68-F54))))/(2*$D$66)</f>
        <v>494.00552826022164</v>
      </c>
      <c r="H54" s="197">
        <f t="shared" ref="H54" si="99">G54*D54</f>
        <v>4940.0552826022167</v>
      </c>
      <c r="I54" s="174">
        <f>('Análisis proteínas'!Q55+'Análisis proteínas'!Q56)/2</f>
        <v>8809.1282995702895</v>
      </c>
      <c r="K54" s="196" t="s">
        <v>73</v>
      </c>
      <c r="L54" s="36" t="s">
        <v>236</v>
      </c>
      <c r="M54" s="268">
        <v>200</v>
      </c>
      <c r="N54" s="81">
        <v>0.91700000000000004</v>
      </c>
      <c r="O54" s="79">
        <f t="shared" si="70"/>
        <v>154.9636363636364</v>
      </c>
      <c r="P54" s="23">
        <f t="shared" si="71"/>
        <v>30992.727272727279</v>
      </c>
      <c r="Q54" s="197">
        <f t="shared" ref="Q54" si="100">(P54+P55)/2</f>
        <v>31301.818181818191</v>
      </c>
      <c r="R54" s="174">
        <f t="shared" ref="R54" si="101">Q54/1000000</f>
        <v>3.1301818181818195E-2</v>
      </c>
      <c r="S54" s="174">
        <f t="shared" ref="S54" si="102">R54*$M$71*1000</f>
        <v>4166.5850181818205</v>
      </c>
    </row>
    <row r="55" spans="2:20">
      <c r="B55" s="196"/>
      <c r="C55" s="36" t="s">
        <v>237</v>
      </c>
      <c r="D55" s="167"/>
      <c r="E55" s="2">
        <v>0.70099999999999996</v>
      </c>
      <c r="F55" s="167"/>
      <c r="G55" s="199"/>
      <c r="H55" s="199"/>
      <c r="I55" s="174"/>
      <c r="K55" s="196"/>
      <c r="L55" s="36" t="s">
        <v>237</v>
      </c>
      <c r="M55" s="268"/>
      <c r="N55" s="81">
        <v>0.93400000000000005</v>
      </c>
      <c r="O55" s="79">
        <f t="shared" si="70"/>
        <v>158.05454545454549</v>
      </c>
      <c r="P55" s="23">
        <f>O55*M54</f>
        <v>31610.909090909099</v>
      </c>
      <c r="Q55" s="199"/>
      <c r="R55" s="174"/>
      <c r="S55" s="174"/>
    </row>
    <row r="56" spans="2:20">
      <c r="B56" s="196" t="s">
        <v>74</v>
      </c>
      <c r="C56" s="36" t="s">
        <v>236</v>
      </c>
      <c r="D56" s="166">
        <v>10</v>
      </c>
      <c r="E56" s="2">
        <v>0.377</v>
      </c>
      <c r="F56" s="166">
        <f t="shared" si="65"/>
        <v>0.38200000000000001</v>
      </c>
      <c r="G56" s="197">
        <f>(-$D$67+SQRT($D$67^2-(4*$D$66*($D$68-F56))))/(2*$D$66)</f>
        <v>253.00128681750877</v>
      </c>
      <c r="H56" s="197">
        <f t="shared" ref="H56" si="103">G56*D56</f>
        <v>2530.0128681750875</v>
      </c>
      <c r="I56" s="174">
        <f>('Análisis proteínas'!Q57+'Análisis proteínas'!Q58)/2</f>
        <v>4526.0693677102518</v>
      </c>
      <c r="K56" s="196" t="s">
        <v>74</v>
      </c>
      <c r="L56" s="36" t="s">
        <v>236</v>
      </c>
      <c r="M56" s="268">
        <v>200</v>
      </c>
      <c r="N56" s="81">
        <v>0.49</v>
      </c>
      <c r="O56" s="79">
        <f t="shared" si="70"/>
        <v>77.327272727272728</v>
      </c>
      <c r="P56" s="23">
        <f t="shared" si="71"/>
        <v>15465.454545454546</v>
      </c>
      <c r="Q56" s="197">
        <f t="shared" ref="Q56" si="104">(P56+P57)/2</f>
        <v>15774.545454545456</v>
      </c>
      <c r="R56" s="174">
        <f t="shared" ref="R56" si="105">Q56/1000000</f>
        <v>1.5774545454545454E-2</v>
      </c>
      <c r="S56" s="174">
        <f t="shared" ref="S56" si="106">R56*$M$71*1000</f>
        <v>2099.7497454545455</v>
      </c>
      <c r="T56" s="162">
        <f>'Análisis proteínas'!AP16*1000</f>
        <v>3809.9999999999995</v>
      </c>
    </row>
    <row r="57" spans="2:20">
      <c r="B57" s="196"/>
      <c r="C57" s="36" t="s">
        <v>237</v>
      </c>
      <c r="D57" s="167"/>
      <c r="E57" s="2">
        <v>0.38700000000000001</v>
      </c>
      <c r="F57" s="167"/>
      <c r="G57" s="199"/>
      <c r="H57" s="199"/>
      <c r="I57" s="174"/>
      <c r="K57" s="196"/>
      <c r="L57" s="36" t="s">
        <v>237</v>
      </c>
      <c r="M57" s="268"/>
      <c r="N57" s="81">
        <v>0.50700000000000001</v>
      </c>
      <c r="O57" s="79">
        <f t="shared" si="70"/>
        <v>80.418181818181822</v>
      </c>
      <c r="P57" s="23">
        <f>O57*M56</f>
        <v>16083.636363636364</v>
      </c>
      <c r="Q57" s="199"/>
      <c r="R57" s="174"/>
      <c r="S57" s="174"/>
      <c r="T57" s="162"/>
    </row>
    <row r="58" spans="2:20">
      <c r="B58" s="196" t="s">
        <v>75</v>
      </c>
      <c r="C58" s="36" t="s">
        <v>236</v>
      </c>
      <c r="D58" s="166">
        <v>10</v>
      </c>
      <c r="E58" s="2">
        <v>0.38</v>
      </c>
      <c r="F58" s="166">
        <f t="shared" si="65"/>
        <v>0.376</v>
      </c>
      <c r="G58" s="197">
        <f>(-$D$67+SQRT($D$67^2-(4*$D$66*($D$68-F58))))/(2*$D$66)</f>
        <v>248.71452177917925</v>
      </c>
      <c r="H58" s="197">
        <f t="shared" ref="H58" si="107">G58*D58</f>
        <v>2487.1452177917927</v>
      </c>
      <c r="I58" s="174">
        <f>('Análisis proteínas'!Q59+'Análisis proteínas'!Q60)/2</f>
        <v>5376.6058931860052</v>
      </c>
      <c r="K58" s="196" t="s">
        <v>75</v>
      </c>
      <c r="L58" s="36" t="s">
        <v>236</v>
      </c>
      <c r="M58" s="268">
        <v>200</v>
      </c>
      <c r="N58" s="81">
        <v>0.53100000000000003</v>
      </c>
      <c r="O58" s="79">
        <f t="shared" si="70"/>
        <v>84.781818181818196</v>
      </c>
      <c r="P58" s="23">
        <f t="shared" si="71"/>
        <v>16956.36363636364</v>
      </c>
      <c r="Q58" s="197">
        <f t="shared" ref="Q58" si="108">(P58+P59)/2</f>
        <v>17120.000000000004</v>
      </c>
      <c r="R58" s="174">
        <f t="shared" ref="R58" si="109">Q58/1000000</f>
        <v>1.7120000000000003E-2</v>
      </c>
      <c r="S58" s="174">
        <f t="shared" ref="S58" si="110">R58*$M$71*1000</f>
        <v>2278.8432000000007</v>
      </c>
    </row>
    <row r="59" spans="2:20">
      <c r="B59" s="196"/>
      <c r="C59" s="36" t="s">
        <v>237</v>
      </c>
      <c r="D59" s="167"/>
      <c r="E59" s="2">
        <v>0.372</v>
      </c>
      <c r="F59" s="167"/>
      <c r="G59" s="199"/>
      <c r="H59" s="199"/>
      <c r="I59" s="174"/>
      <c r="K59" s="196"/>
      <c r="L59" s="36" t="s">
        <v>237</v>
      </c>
      <c r="M59" s="268"/>
      <c r="N59" s="81">
        <v>0.54</v>
      </c>
      <c r="O59" s="79">
        <f t="shared" si="70"/>
        <v>86.418181818181836</v>
      </c>
      <c r="P59" s="23">
        <f>O59*M58</f>
        <v>17283.636363636368</v>
      </c>
      <c r="Q59" s="199"/>
      <c r="R59" s="174"/>
      <c r="S59" s="174"/>
    </row>
    <row r="60" spans="2:20">
      <c r="B60" s="196" t="s">
        <v>92</v>
      </c>
      <c r="C60" s="36" t="s">
        <v>236</v>
      </c>
      <c r="D60" s="166">
        <v>10</v>
      </c>
      <c r="E60" s="2">
        <v>0.67500000000000004</v>
      </c>
      <c r="F60" s="166">
        <f t="shared" ref="F60" si="111">(E60+E61)/2</f>
        <v>0.6875</v>
      </c>
      <c r="G60" s="197">
        <f t="shared" ref="G60" si="112">(-$D$67+SQRT($D$67^2-(4*$D$66*($D$68-F60))))/(2*$D$66)</f>
        <v>478.68527958559156</v>
      </c>
      <c r="H60" s="197">
        <f t="shared" ref="H60" si="113">G60*D60</f>
        <v>4786.8527958559152</v>
      </c>
      <c r="I60" s="174">
        <f>('Análisis proteínas'!Q61+'Análisis proteínas'!Q62)/2</f>
        <v>8307.9192756292214</v>
      </c>
      <c r="K60" s="196" t="s">
        <v>92</v>
      </c>
      <c r="L60" s="36" t="s">
        <v>236</v>
      </c>
      <c r="M60" s="268">
        <v>400</v>
      </c>
      <c r="N60" s="81">
        <v>0.36199999999999999</v>
      </c>
      <c r="O60" s="79">
        <f t="shared" si="70"/>
        <v>54.054545454545462</v>
      </c>
      <c r="P60" s="23">
        <f t="shared" si="71"/>
        <v>21621.818181818184</v>
      </c>
      <c r="Q60" s="197">
        <f t="shared" ref="Q60" si="114">(P60+P61)/2</f>
        <v>23694.545454545456</v>
      </c>
      <c r="R60" s="174">
        <f t="shared" ref="R60" si="115">Q60/1000000</f>
        <v>2.3694545454545454E-2</v>
      </c>
      <c r="S60" s="174">
        <f t="shared" ref="S60" si="116">R60*$M$71*1000</f>
        <v>3153.9809454545457</v>
      </c>
    </row>
    <row r="61" spans="2:20">
      <c r="B61" s="196"/>
      <c r="C61" s="36" t="s">
        <v>237</v>
      </c>
      <c r="D61" s="167"/>
      <c r="E61" s="2">
        <v>0.7</v>
      </c>
      <c r="F61" s="167"/>
      <c r="G61" s="199"/>
      <c r="H61" s="199"/>
      <c r="I61" s="174"/>
      <c r="K61" s="196"/>
      <c r="L61" s="36" t="s">
        <v>237</v>
      </c>
      <c r="M61" s="268"/>
      <c r="N61" s="81">
        <v>0.41899999999999998</v>
      </c>
      <c r="O61" s="79">
        <f t="shared" si="70"/>
        <v>64.418181818181822</v>
      </c>
      <c r="P61" s="23">
        <f>O61*M60</f>
        <v>25767.272727272728</v>
      </c>
      <c r="Q61" s="199"/>
      <c r="R61" s="174"/>
      <c r="S61" s="174"/>
    </row>
    <row r="62" spans="2:20">
      <c r="B62" s="196" t="s">
        <v>93</v>
      </c>
      <c r="C62" s="36" t="s">
        <v>236</v>
      </c>
      <c r="D62" s="166">
        <v>10</v>
      </c>
      <c r="E62" s="2">
        <v>0.221</v>
      </c>
      <c r="F62" s="166">
        <f t="shared" ref="F62" si="117">(E62+E63)/2</f>
        <v>0.2185</v>
      </c>
      <c r="G62" s="197">
        <f t="shared" ref="G62" si="118">(-$D$67+SQRT($D$67^2-(4*$D$66*($D$68-F62))))/(2*$D$66)</f>
        <v>138.00609081355188</v>
      </c>
      <c r="H62" s="197">
        <f t="shared" ref="H62" si="119">G62*D62</f>
        <v>1380.0609081355187</v>
      </c>
      <c r="I62" s="174">
        <f>('Análisis proteínas'!Q63+'Análisis proteínas'!Q64)/2</f>
        <v>3265.4527317372631</v>
      </c>
      <c r="K62" s="196" t="s">
        <v>93</v>
      </c>
      <c r="L62" s="36" t="s">
        <v>236</v>
      </c>
      <c r="M62" s="268">
        <v>200</v>
      </c>
      <c r="N62" s="81">
        <v>0.245</v>
      </c>
      <c r="O62" s="79">
        <f t="shared" si="70"/>
        <v>32.781818181818188</v>
      </c>
      <c r="P62" s="23">
        <f>O62*M62</f>
        <v>6556.3636363636379</v>
      </c>
      <c r="Q62" s="197">
        <f t="shared" ref="Q62" si="120">(P62+P63)/2</f>
        <v>6610.9090909090919</v>
      </c>
      <c r="R62" s="174">
        <f t="shared" ref="R62" si="121">Q62/1000000</f>
        <v>6.6109090909090918E-3</v>
      </c>
      <c r="S62" s="174">
        <f t="shared" ref="S62" si="122">R62*$M$71*1000</f>
        <v>879.97810909090936</v>
      </c>
    </row>
    <row r="63" spans="2:20">
      <c r="B63" s="196"/>
      <c r="C63" s="36" t="s">
        <v>237</v>
      </c>
      <c r="D63" s="167"/>
      <c r="E63" s="2">
        <v>0.216</v>
      </c>
      <c r="F63" s="167"/>
      <c r="G63" s="199"/>
      <c r="H63" s="199"/>
      <c r="I63" s="174"/>
      <c r="K63" s="196"/>
      <c r="L63" s="36" t="s">
        <v>237</v>
      </c>
      <c r="M63" s="268"/>
      <c r="N63" s="81">
        <v>0.248</v>
      </c>
      <c r="O63" s="79">
        <f t="shared" si="70"/>
        <v>33.327272727272735</v>
      </c>
      <c r="P63" s="23">
        <f>O63*M62</f>
        <v>6665.4545454545469</v>
      </c>
      <c r="Q63" s="199"/>
      <c r="R63" s="174"/>
      <c r="S63" s="174"/>
    </row>
    <row r="66" spans="3:15">
      <c r="C66" s="63" t="s">
        <v>181</v>
      </c>
      <c r="D66" s="2">
        <v>-1.9999999999999999E-7</v>
      </c>
      <c r="L66" s="62" t="s">
        <v>374</v>
      </c>
    </row>
    <row r="67" spans="3:15">
      <c r="C67" s="63" t="s">
        <v>182</v>
      </c>
      <c r="D67" s="2">
        <v>1.5E-3</v>
      </c>
      <c r="L67" s="62" t="s">
        <v>375</v>
      </c>
    </row>
    <row r="68" spans="3:15">
      <c r="C68" s="63" t="s">
        <v>376</v>
      </c>
      <c r="D68" s="2">
        <v>1.5299999999999999E-2</v>
      </c>
    </row>
    <row r="69" spans="3:15">
      <c r="C69" s="63" t="s">
        <v>377</v>
      </c>
      <c r="D69" s="2">
        <f>0.101-0.078</f>
        <v>2.3000000000000007E-2</v>
      </c>
      <c r="L69" s="64" t="s">
        <v>181</v>
      </c>
      <c r="M69" s="2">
        <v>5.4999999999999997E-3</v>
      </c>
      <c r="O69" s="71" t="s">
        <v>378</v>
      </c>
    </row>
    <row r="70" spans="3:15">
      <c r="L70" s="64" t="s">
        <v>182</v>
      </c>
      <c r="M70" s="2">
        <v>6.4699999999999994E-2</v>
      </c>
      <c r="O70" s="71" t="s">
        <v>379</v>
      </c>
    </row>
    <row r="71" spans="3:15">
      <c r="L71" s="64" t="s">
        <v>380</v>
      </c>
      <c r="M71" s="2">
        <v>133.11000000000001</v>
      </c>
      <c r="O71" s="71" t="s">
        <v>381</v>
      </c>
    </row>
  </sheetData>
  <mergeCells count="338">
    <mergeCell ref="B60:B61"/>
    <mergeCell ref="B62:B63"/>
    <mergeCell ref="D60:D61"/>
    <mergeCell ref="D62:D63"/>
    <mergeCell ref="F60:F61"/>
    <mergeCell ref="G60:G61"/>
    <mergeCell ref="H60:H61"/>
    <mergeCell ref="F62:F63"/>
    <mergeCell ref="G62:G63"/>
    <mergeCell ref="H62:H63"/>
    <mergeCell ref="H46:H47"/>
    <mergeCell ref="F48:F49"/>
    <mergeCell ref="G48:G49"/>
    <mergeCell ref="H48:H49"/>
    <mergeCell ref="F50:F51"/>
    <mergeCell ref="G50:G51"/>
    <mergeCell ref="H50:H51"/>
    <mergeCell ref="F58:F59"/>
    <mergeCell ref="G58:G59"/>
    <mergeCell ref="H58:H59"/>
    <mergeCell ref="F52:F53"/>
    <mergeCell ref="G52:G53"/>
    <mergeCell ref="H52:H53"/>
    <mergeCell ref="F54:F55"/>
    <mergeCell ref="G54:G55"/>
    <mergeCell ref="H54:H55"/>
    <mergeCell ref="F56:F57"/>
    <mergeCell ref="G56:G57"/>
    <mergeCell ref="H56:H57"/>
    <mergeCell ref="B58:B5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38:B39"/>
    <mergeCell ref="B16:B17"/>
    <mergeCell ref="B18:B19"/>
    <mergeCell ref="B20:B21"/>
    <mergeCell ref="B22:B23"/>
    <mergeCell ref="B24:B25"/>
    <mergeCell ref="B26:B27"/>
    <mergeCell ref="F24:F25"/>
    <mergeCell ref="F26:F27"/>
    <mergeCell ref="B34:B35"/>
    <mergeCell ref="D38:D39"/>
    <mergeCell ref="D24:D25"/>
    <mergeCell ref="F30:F31"/>
    <mergeCell ref="B4:B5"/>
    <mergeCell ref="B6:B7"/>
    <mergeCell ref="B8:B9"/>
    <mergeCell ref="B10:B11"/>
    <mergeCell ref="B12:B13"/>
    <mergeCell ref="B14:B15"/>
    <mergeCell ref="B28:B29"/>
    <mergeCell ref="B30:B31"/>
    <mergeCell ref="B32:B33"/>
    <mergeCell ref="G26:G27"/>
    <mergeCell ref="G28:G29"/>
    <mergeCell ref="G30:G31"/>
    <mergeCell ref="D26:D27"/>
    <mergeCell ref="D28:D29"/>
    <mergeCell ref="D30:D31"/>
    <mergeCell ref="D32:D33"/>
    <mergeCell ref="B36:B37"/>
    <mergeCell ref="D14:D15"/>
    <mergeCell ref="D16:D17"/>
    <mergeCell ref="D18:D19"/>
    <mergeCell ref="D20:D21"/>
    <mergeCell ref="D22:D23"/>
    <mergeCell ref="G32:G33"/>
    <mergeCell ref="G34:G35"/>
    <mergeCell ref="G36:G37"/>
    <mergeCell ref="D34:D35"/>
    <mergeCell ref="F32:F33"/>
    <mergeCell ref="F34:F35"/>
    <mergeCell ref="F28:F29"/>
    <mergeCell ref="F36:F37"/>
    <mergeCell ref="D36:D37"/>
    <mergeCell ref="G20:G21"/>
    <mergeCell ref="G22:G23"/>
    <mergeCell ref="G24:G25"/>
    <mergeCell ref="G12:G13"/>
    <mergeCell ref="G14:G15"/>
    <mergeCell ref="G16:G17"/>
    <mergeCell ref="G18:G19"/>
    <mergeCell ref="F12:F13"/>
    <mergeCell ref="F14:F15"/>
    <mergeCell ref="F16:F17"/>
    <mergeCell ref="F18:F19"/>
    <mergeCell ref="F20:F21"/>
    <mergeCell ref="F22:F23"/>
    <mergeCell ref="K4:K5"/>
    <mergeCell ref="K6:K7"/>
    <mergeCell ref="K8:K9"/>
    <mergeCell ref="K10:K11"/>
    <mergeCell ref="H4:H5"/>
    <mergeCell ref="K12:K13"/>
    <mergeCell ref="K14:K15"/>
    <mergeCell ref="K26:K27"/>
    <mergeCell ref="H16:H17"/>
    <mergeCell ref="H18:H19"/>
    <mergeCell ref="H20:H21"/>
    <mergeCell ref="H22:H23"/>
    <mergeCell ref="K18:K19"/>
    <mergeCell ref="H26:H27"/>
    <mergeCell ref="H14:H15"/>
    <mergeCell ref="H12:H13"/>
    <mergeCell ref="I26:I27"/>
    <mergeCell ref="H8:H9"/>
    <mergeCell ref="H10:H11"/>
    <mergeCell ref="H6:H7"/>
    <mergeCell ref="Q20:Q21"/>
    <mergeCell ref="Q22:Q23"/>
    <mergeCell ref="Q24:Q25"/>
    <mergeCell ref="M16:M17"/>
    <mergeCell ref="M18:M19"/>
    <mergeCell ref="M20:M21"/>
    <mergeCell ref="M22:M23"/>
    <mergeCell ref="M24:M25"/>
    <mergeCell ref="H24:H25"/>
    <mergeCell ref="K20:K21"/>
    <mergeCell ref="K22:K23"/>
    <mergeCell ref="K16:K17"/>
    <mergeCell ref="K24:K25"/>
    <mergeCell ref="I20:I21"/>
    <mergeCell ref="I22:I23"/>
    <mergeCell ref="I24:I25"/>
    <mergeCell ref="K30:K31"/>
    <mergeCell ref="K32:K33"/>
    <mergeCell ref="H36:H37"/>
    <mergeCell ref="H28:H29"/>
    <mergeCell ref="H30:H31"/>
    <mergeCell ref="H32:H33"/>
    <mergeCell ref="H34:H35"/>
    <mergeCell ref="K34:K35"/>
    <mergeCell ref="K36:K37"/>
    <mergeCell ref="K28:K29"/>
    <mergeCell ref="I28:I29"/>
    <mergeCell ref="I30:I31"/>
    <mergeCell ref="I32:I33"/>
    <mergeCell ref="I34:I35"/>
    <mergeCell ref="I36:I37"/>
    <mergeCell ref="Q38:Q39"/>
    <mergeCell ref="Q26:Q27"/>
    <mergeCell ref="Q28:Q29"/>
    <mergeCell ref="Q30:Q31"/>
    <mergeCell ref="Q32:Q33"/>
    <mergeCell ref="Q34:Q35"/>
    <mergeCell ref="Q36:Q37"/>
    <mergeCell ref="M34:M35"/>
    <mergeCell ref="M36:M37"/>
    <mergeCell ref="M38:M39"/>
    <mergeCell ref="M26:M27"/>
    <mergeCell ref="M32:M33"/>
    <mergeCell ref="M30:M31"/>
    <mergeCell ref="M28:M29"/>
    <mergeCell ref="K38:K39"/>
    <mergeCell ref="K42:K43"/>
    <mergeCell ref="K44:K45"/>
    <mergeCell ref="K46:K47"/>
    <mergeCell ref="K48:K49"/>
    <mergeCell ref="K50:K51"/>
    <mergeCell ref="K52:K53"/>
    <mergeCell ref="K54:K55"/>
    <mergeCell ref="K56:K57"/>
    <mergeCell ref="H38:H39"/>
    <mergeCell ref="G38:G39"/>
    <mergeCell ref="F38:F39"/>
    <mergeCell ref="F40:F41"/>
    <mergeCell ref="G40:G41"/>
    <mergeCell ref="H40:H41"/>
    <mergeCell ref="F42:F43"/>
    <mergeCell ref="G42:G43"/>
    <mergeCell ref="H42:H43"/>
    <mergeCell ref="F44:F45"/>
    <mergeCell ref="G44:G45"/>
    <mergeCell ref="H44:H45"/>
    <mergeCell ref="F46:F47"/>
    <mergeCell ref="G46:G47"/>
    <mergeCell ref="K58:K59"/>
    <mergeCell ref="K60:K61"/>
    <mergeCell ref="K62:K63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Q62:Q63"/>
    <mergeCell ref="M40:M41"/>
    <mergeCell ref="M42:M43"/>
    <mergeCell ref="M44:M45"/>
    <mergeCell ref="M46:M47"/>
    <mergeCell ref="M48:M49"/>
    <mergeCell ref="M50:M51"/>
    <mergeCell ref="M52:M53"/>
    <mergeCell ref="M54:M55"/>
    <mergeCell ref="K40:K41"/>
    <mergeCell ref="M56:M57"/>
    <mergeCell ref="M58:M59"/>
    <mergeCell ref="M60:M61"/>
    <mergeCell ref="M62:M63"/>
    <mergeCell ref="L2:R2"/>
    <mergeCell ref="R4:R5"/>
    <mergeCell ref="R6:R7"/>
    <mergeCell ref="R8:R9"/>
    <mergeCell ref="R10:R11"/>
    <mergeCell ref="R12:R13"/>
    <mergeCell ref="R14:R15"/>
    <mergeCell ref="R16:R17"/>
    <mergeCell ref="R18:R19"/>
    <mergeCell ref="Q14:Q15"/>
    <mergeCell ref="Q16:Q17"/>
    <mergeCell ref="Q18:Q19"/>
    <mergeCell ref="Q8:Q9"/>
    <mergeCell ref="Q10:Q11"/>
    <mergeCell ref="Q12:Q13"/>
    <mergeCell ref="M4:M5"/>
    <mergeCell ref="M6:M7"/>
    <mergeCell ref="M8:M9"/>
    <mergeCell ref="M10:M11"/>
    <mergeCell ref="M12:M13"/>
    <mergeCell ref="M14:M15"/>
    <mergeCell ref="Q4:Q5"/>
    <mergeCell ref="Q6:Q7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S34:S35"/>
    <mergeCell ref="S36:S37"/>
    <mergeCell ref="S38:S39"/>
    <mergeCell ref="S48:S49"/>
    <mergeCell ref="S50:S51"/>
    <mergeCell ref="R38:R39"/>
    <mergeCell ref="R40:R41"/>
    <mergeCell ref="S40:S41"/>
    <mergeCell ref="S42:S43"/>
    <mergeCell ref="S44:S45"/>
    <mergeCell ref="S46:S47"/>
    <mergeCell ref="R42:R43"/>
    <mergeCell ref="R44:R45"/>
    <mergeCell ref="R46:R47"/>
    <mergeCell ref="R60:R61"/>
    <mergeCell ref="R62:R63"/>
    <mergeCell ref="R52:R53"/>
    <mergeCell ref="R54:R55"/>
    <mergeCell ref="R56:R57"/>
    <mergeCell ref="R58:R59"/>
    <mergeCell ref="T56:T5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R48:R49"/>
    <mergeCell ref="R50:R51"/>
    <mergeCell ref="S22:S23"/>
    <mergeCell ref="S24:S25"/>
    <mergeCell ref="S26:S27"/>
    <mergeCell ref="S28:S29"/>
    <mergeCell ref="S30:S31"/>
    <mergeCell ref="S32:S33"/>
    <mergeCell ref="C2:I2"/>
    <mergeCell ref="I4:I5"/>
    <mergeCell ref="I6:I7"/>
    <mergeCell ref="I8:I9"/>
    <mergeCell ref="I10:I11"/>
    <mergeCell ref="I12:I13"/>
    <mergeCell ref="I14:I15"/>
    <mergeCell ref="I16:I17"/>
    <mergeCell ref="I18:I19"/>
    <mergeCell ref="D4:D5"/>
    <mergeCell ref="D6:D7"/>
    <mergeCell ref="D8:D9"/>
    <mergeCell ref="D10:D11"/>
    <mergeCell ref="G4:G5"/>
    <mergeCell ref="G6:G7"/>
    <mergeCell ref="G8:G9"/>
    <mergeCell ref="G10:G11"/>
    <mergeCell ref="F4:F5"/>
    <mergeCell ref="F6:F7"/>
    <mergeCell ref="F8:F9"/>
    <mergeCell ref="F10:F11"/>
    <mergeCell ref="D12:D13"/>
    <mergeCell ref="I38:I39"/>
    <mergeCell ref="T36:T37"/>
    <mergeCell ref="T40:T41"/>
    <mergeCell ref="T44:T45"/>
    <mergeCell ref="T48:T49"/>
    <mergeCell ref="I58:I59"/>
    <mergeCell ref="I60:I61"/>
    <mergeCell ref="I62:I63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T52:T53"/>
    <mergeCell ref="S52:S53"/>
    <mergeCell ref="S54:S55"/>
    <mergeCell ref="S56:S57"/>
    <mergeCell ref="S58:S59"/>
    <mergeCell ref="S60:S61"/>
    <mergeCell ref="S62:S6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workbookViewId="0"/>
  </sheetViews>
  <sheetFormatPr defaultColWidth="11.42578125" defaultRowHeight="15"/>
  <cols>
    <col min="1" max="1" width="12.42578125" bestFit="1" customWidth="1"/>
    <col min="4" max="4" width="13.42578125" bestFit="1" customWidth="1"/>
    <col min="7" max="7" width="13.42578125" bestFit="1" customWidth="1"/>
    <col min="15" max="15" width="12.42578125" bestFit="1" customWidth="1"/>
  </cols>
  <sheetData>
    <row r="1" spans="1:18">
      <c r="B1" s="181" t="s">
        <v>100</v>
      </c>
      <c r="C1" s="181"/>
      <c r="D1" s="181"/>
      <c r="E1" s="181"/>
      <c r="F1" s="182" t="s">
        <v>101</v>
      </c>
      <c r="G1" s="182"/>
      <c r="P1" s="178" t="s">
        <v>102</v>
      </c>
      <c r="Q1" s="179"/>
      <c r="R1" s="180"/>
    </row>
    <row r="2" spans="1:18">
      <c r="A2" s="9" t="s">
        <v>0</v>
      </c>
      <c r="B2" s="9" t="s">
        <v>103</v>
      </c>
      <c r="C2" s="9" t="s">
        <v>104</v>
      </c>
      <c r="D2" s="9" t="s">
        <v>105</v>
      </c>
      <c r="E2" s="9" t="s">
        <v>106</v>
      </c>
      <c r="F2" s="9" t="s">
        <v>103</v>
      </c>
      <c r="G2" s="4" t="s">
        <v>105</v>
      </c>
      <c r="O2" s="9" t="s">
        <v>0</v>
      </c>
      <c r="P2" s="9">
        <v>1</v>
      </c>
      <c r="Q2" s="9">
        <v>2</v>
      </c>
      <c r="R2" s="9">
        <v>3</v>
      </c>
    </row>
    <row r="3" spans="1:18">
      <c r="A3" s="5" t="s">
        <v>13</v>
      </c>
      <c r="B3" s="25" t="s">
        <v>107</v>
      </c>
      <c r="C3" s="25" t="s">
        <v>107</v>
      </c>
      <c r="D3" s="25" t="s">
        <v>107</v>
      </c>
      <c r="E3" s="2" t="s">
        <v>107</v>
      </c>
      <c r="F3" s="25" t="s">
        <v>107</v>
      </c>
      <c r="G3" s="25" t="s">
        <v>107</v>
      </c>
      <c r="O3" s="5" t="s">
        <v>13</v>
      </c>
      <c r="P3" s="25" t="s">
        <v>107</v>
      </c>
      <c r="Q3" s="25" t="s">
        <v>107</v>
      </c>
      <c r="R3" s="66" t="s">
        <v>107</v>
      </c>
    </row>
    <row r="4" spans="1:18">
      <c r="A4" s="5" t="s">
        <v>18</v>
      </c>
      <c r="B4" s="25" t="s">
        <v>107</v>
      </c>
      <c r="C4" s="24" t="s">
        <v>107</v>
      </c>
      <c r="D4" s="25" t="s">
        <v>107</v>
      </c>
      <c r="E4" s="2" t="s">
        <v>107</v>
      </c>
      <c r="F4" s="25" t="s">
        <v>107</v>
      </c>
      <c r="G4" s="25" t="s">
        <v>107</v>
      </c>
      <c r="J4" s="175" t="s">
        <v>108</v>
      </c>
      <c r="K4" s="175"/>
      <c r="L4" s="175"/>
      <c r="M4" s="175"/>
      <c r="O4" s="5" t="s">
        <v>18</v>
      </c>
      <c r="P4" s="25" t="s">
        <v>107</v>
      </c>
      <c r="Q4" s="25" t="s">
        <v>107</v>
      </c>
      <c r="R4" s="66" t="s">
        <v>107</v>
      </c>
    </row>
    <row r="5" spans="1:18">
      <c r="A5" s="5" t="s">
        <v>19</v>
      </c>
      <c r="B5" s="25" t="s">
        <v>107</v>
      </c>
      <c r="C5" s="25" t="s">
        <v>107</v>
      </c>
      <c r="D5" s="25" t="s">
        <v>107</v>
      </c>
      <c r="E5" s="2" t="s">
        <v>107</v>
      </c>
      <c r="F5" s="25" t="s">
        <v>107</v>
      </c>
      <c r="G5" s="25" t="s">
        <v>107</v>
      </c>
      <c r="J5" s="177" t="s">
        <v>109</v>
      </c>
      <c r="K5" s="177"/>
      <c r="L5" s="177"/>
      <c r="M5" s="177"/>
      <c r="O5" s="5" t="s">
        <v>19</v>
      </c>
      <c r="P5" s="25" t="s">
        <v>107</v>
      </c>
      <c r="Q5" s="25" t="s">
        <v>107</v>
      </c>
      <c r="R5" s="66" t="s">
        <v>107</v>
      </c>
    </row>
    <row r="6" spans="1:18">
      <c r="A6" s="5" t="s">
        <v>22</v>
      </c>
      <c r="B6" s="25" t="s">
        <v>107</v>
      </c>
      <c r="C6" s="25" t="s">
        <v>107</v>
      </c>
      <c r="D6" s="25" t="s">
        <v>107</v>
      </c>
      <c r="E6" s="2" t="s">
        <v>107</v>
      </c>
      <c r="F6" s="25" t="s">
        <v>107</v>
      </c>
      <c r="G6" s="25" t="s">
        <v>107</v>
      </c>
      <c r="J6" s="177" t="s">
        <v>110</v>
      </c>
      <c r="K6" s="177"/>
      <c r="L6" s="177"/>
      <c r="M6" s="177"/>
      <c r="O6" s="5" t="s">
        <v>22</v>
      </c>
      <c r="P6" s="25" t="s">
        <v>107</v>
      </c>
      <c r="Q6" s="25" t="s">
        <v>107</v>
      </c>
      <c r="R6" s="66" t="s">
        <v>107</v>
      </c>
    </row>
    <row r="7" spans="1:18">
      <c r="A7" s="5" t="s">
        <v>25</v>
      </c>
      <c r="B7" s="25" t="s">
        <v>107</v>
      </c>
      <c r="C7" s="25" t="s">
        <v>107</v>
      </c>
      <c r="D7" s="25" t="s">
        <v>107</v>
      </c>
      <c r="E7" s="2" t="s">
        <v>107</v>
      </c>
      <c r="F7" s="25" t="s">
        <v>107</v>
      </c>
      <c r="G7" s="25" t="s">
        <v>107</v>
      </c>
      <c r="O7" s="5" t="s">
        <v>25</v>
      </c>
      <c r="P7" s="25" t="s">
        <v>107</v>
      </c>
      <c r="Q7" s="25" t="s">
        <v>107</v>
      </c>
      <c r="R7" s="66" t="s">
        <v>107</v>
      </c>
    </row>
    <row r="8" spans="1:18">
      <c r="A8" s="5" t="s">
        <v>27</v>
      </c>
      <c r="B8" s="25" t="s">
        <v>107</v>
      </c>
      <c r="C8" s="25" t="s">
        <v>107</v>
      </c>
      <c r="D8" s="25" t="s">
        <v>107</v>
      </c>
      <c r="E8" s="2" t="s">
        <v>107</v>
      </c>
      <c r="F8" s="25" t="s">
        <v>107</v>
      </c>
      <c r="G8" s="25" t="s">
        <v>107</v>
      </c>
      <c r="J8" s="175" t="s">
        <v>111</v>
      </c>
      <c r="K8" s="175"/>
      <c r="L8" s="175"/>
      <c r="M8" s="175"/>
      <c r="O8" s="5" t="s">
        <v>27</v>
      </c>
      <c r="P8" s="25" t="s">
        <v>107</v>
      </c>
      <c r="Q8" s="25" t="s">
        <v>107</v>
      </c>
      <c r="R8" s="66" t="s">
        <v>107</v>
      </c>
    </row>
    <row r="9" spans="1:18">
      <c r="A9" s="5" t="s">
        <v>29</v>
      </c>
      <c r="B9" s="25" t="s">
        <v>107</v>
      </c>
      <c r="C9" s="25" t="s">
        <v>107</v>
      </c>
      <c r="D9" s="25" t="s">
        <v>107</v>
      </c>
      <c r="E9" s="2" t="s">
        <v>107</v>
      </c>
      <c r="F9" s="25" t="s">
        <v>107</v>
      </c>
      <c r="G9" s="26" t="s">
        <v>107</v>
      </c>
      <c r="J9" s="176" t="s">
        <v>112</v>
      </c>
      <c r="K9" s="176"/>
      <c r="L9" s="176"/>
      <c r="M9" s="176"/>
      <c r="O9" s="5" t="s">
        <v>29</v>
      </c>
      <c r="P9" s="25" t="s">
        <v>107</v>
      </c>
      <c r="Q9" s="25" t="s">
        <v>107</v>
      </c>
      <c r="R9" s="66" t="s">
        <v>107</v>
      </c>
    </row>
    <row r="10" spans="1:18">
      <c r="A10" s="5" t="s">
        <v>33</v>
      </c>
      <c r="B10" s="25" t="s">
        <v>107</v>
      </c>
      <c r="C10" s="25" t="s">
        <v>107</v>
      </c>
      <c r="D10" s="25" t="s">
        <v>107</v>
      </c>
      <c r="E10" s="2" t="s">
        <v>107</v>
      </c>
      <c r="F10" s="25" t="s">
        <v>107</v>
      </c>
      <c r="G10" s="26" t="s">
        <v>107</v>
      </c>
      <c r="O10" s="5" t="s">
        <v>33</v>
      </c>
      <c r="P10" s="25" t="s">
        <v>107</v>
      </c>
      <c r="Q10" s="25" t="s">
        <v>107</v>
      </c>
      <c r="R10" s="66" t="s">
        <v>107</v>
      </c>
    </row>
    <row r="11" spans="1:18">
      <c r="A11" s="5" t="s">
        <v>35</v>
      </c>
      <c r="B11" s="25" t="s">
        <v>107</v>
      </c>
      <c r="C11" s="25" t="s">
        <v>107</v>
      </c>
      <c r="D11" s="25" t="s">
        <v>107</v>
      </c>
      <c r="E11" s="2" t="s">
        <v>107</v>
      </c>
      <c r="F11" s="25" t="s">
        <v>107</v>
      </c>
      <c r="G11" s="26" t="s">
        <v>107</v>
      </c>
      <c r="J11" s="175" t="s">
        <v>105</v>
      </c>
      <c r="K11" s="175"/>
      <c r="L11" s="175"/>
      <c r="M11" s="175"/>
      <c r="O11" s="5" t="s">
        <v>35</v>
      </c>
      <c r="P11" s="25" t="s">
        <v>107</v>
      </c>
      <c r="Q11" s="25" t="s">
        <v>107</v>
      </c>
      <c r="R11" s="66" t="s">
        <v>107</v>
      </c>
    </row>
    <row r="12" spans="1:18">
      <c r="A12" s="5" t="s">
        <v>36</v>
      </c>
      <c r="B12" s="25" t="s">
        <v>107</v>
      </c>
      <c r="C12" s="25" t="s">
        <v>107</v>
      </c>
      <c r="D12" s="25" t="s">
        <v>107</v>
      </c>
      <c r="E12" s="2" t="s">
        <v>107</v>
      </c>
      <c r="F12" s="25" t="s">
        <v>107</v>
      </c>
      <c r="G12" s="26" t="s">
        <v>107</v>
      </c>
      <c r="J12" s="176" t="s">
        <v>113</v>
      </c>
      <c r="K12" s="176"/>
      <c r="L12" s="176"/>
      <c r="M12" s="176"/>
      <c r="O12" s="5" t="s">
        <v>36</v>
      </c>
      <c r="P12" s="25" t="s">
        <v>107</v>
      </c>
      <c r="Q12" s="25" t="s">
        <v>107</v>
      </c>
      <c r="R12" s="66" t="s">
        <v>107</v>
      </c>
    </row>
    <row r="13" spans="1:18">
      <c r="A13" s="5" t="s">
        <v>39</v>
      </c>
      <c r="B13" s="25" t="s">
        <v>107</v>
      </c>
      <c r="C13" s="25" t="s">
        <v>107</v>
      </c>
      <c r="D13" s="25" t="s">
        <v>107</v>
      </c>
      <c r="E13" s="2" t="s">
        <v>107</v>
      </c>
      <c r="F13" s="25" t="s">
        <v>107</v>
      </c>
      <c r="G13" s="26" t="s">
        <v>107</v>
      </c>
      <c r="J13" s="176" t="s">
        <v>114</v>
      </c>
      <c r="K13" s="176"/>
      <c r="L13" s="176"/>
      <c r="M13" s="176"/>
      <c r="O13" s="5" t="s">
        <v>39</v>
      </c>
      <c r="P13" s="25" t="s">
        <v>107</v>
      </c>
      <c r="Q13" s="25" t="s">
        <v>107</v>
      </c>
      <c r="R13" s="66" t="s">
        <v>107</v>
      </c>
    </row>
    <row r="14" spans="1:18">
      <c r="A14" s="5" t="s">
        <v>42</v>
      </c>
      <c r="B14" s="25" t="s">
        <v>107</v>
      </c>
      <c r="C14" s="25" t="s">
        <v>107</v>
      </c>
      <c r="D14" s="25" t="s">
        <v>107</v>
      </c>
      <c r="E14" s="2" t="s">
        <v>107</v>
      </c>
      <c r="F14" s="25" t="s">
        <v>107</v>
      </c>
      <c r="G14" s="26" t="s">
        <v>107</v>
      </c>
      <c r="O14" s="5" t="s">
        <v>42</v>
      </c>
      <c r="P14" s="25" t="s">
        <v>107</v>
      </c>
      <c r="Q14" s="25" t="s">
        <v>107</v>
      </c>
      <c r="R14" s="66" t="s">
        <v>107</v>
      </c>
    </row>
    <row r="15" spans="1:18">
      <c r="A15" s="5" t="s">
        <v>45</v>
      </c>
      <c r="B15" s="25" t="s">
        <v>107</v>
      </c>
      <c r="C15" s="25" t="s">
        <v>107</v>
      </c>
      <c r="D15" s="25" t="s">
        <v>107</v>
      </c>
      <c r="E15" s="2" t="s">
        <v>107</v>
      </c>
      <c r="F15" s="25" t="s">
        <v>107</v>
      </c>
      <c r="G15" s="25" t="s">
        <v>107</v>
      </c>
      <c r="J15" s="175" t="s">
        <v>108</v>
      </c>
      <c r="K15" s="175"/>
      <c r="L15" s="175"/>
      <c r="M15" s="175"/>
      <c r="O15" s="5" t="s">
        <v>45</v>
      </c>
      <c r="P15" s="25" t="s">
        <v>107</v>
      </c>
      <c r="Q15" s="25" t="s">
        <v>107</v>
      </c>
      <c r="R15" s="66" t="s">
        <v>107</v>
      </c>
    </row>
    <row r="16" spans="1:18">
      <c r="A16" s="5" t="s">
        <v>49</v>
      </c>
      <c r="B16" s="25" t="s">
        <v>107</v>
      </c>
      <c r="C16" s="25" t="s">
        <v>107</v>
      </c>
      <c r="D16" s="25" t="s">
        <v>107</v>
      </c>
      <c r="E16" s="2" t="s">
        <v>107</v>
      </c>
      <c r="F16" s="25" t="s">
        <v>107</v>
      </c>
      <c r="G16" s="25" t="s">
        <v>107</v>
      </c>
      <c r="J16" s="176" t="s">
        <v>115</v>
      </c>
      <c r="K16" s="176"/>
      <c r="L16" s="176"/>
      <c r="M16" s="176"/>
      <c r="O16" s="5" t="s">
        <v>49</v>
      </c>
      <c r="P16" s="25" t="s">
        <v>107</v>
      </c>
      <c r="Q16" s="25" t="s">
        <v>107</v>
      </c>
      <c r="R16" s="66" t="s">
        <v>107</v>
      </c>
    </row>
    <row r="17" spans="1:18">
      <c r="A17" s="5" t="s">
        <v>50</v>
      </c>
      <c r="B17" s="25" t="s">
        <v>107</v>
      </c>
      <c r="C17" s="25" t="s">
        <v>107</v>
      </c>
      <c r="D17" s="25" t="s">
        <v>107</v>
      </c>
      <c r="E17" s="2" t="s">
        <v>107</v>
      </c>
      <c r="F17" s="25" t="s">
        <v>107</v>
      </c>
      <c r="G17" s="25" t="s">
        <v>107</v>
      </c>
      <c r="J17" s="176" t="s">
        <v>116</v>
      </c>
      <c r="K17" s="176"/>
      <c r="L17" s="176"/>
      <c r="M17" s="176"/>
      <c r="O17" s="5" t="s">
        <v>50</v>
      </c>
      <c r="P17" s="25" t="s">
        <v>107</v>
      </c>
      <c r="Q17" s="25" t="s">
        <v>107</v>
      </c>
      <c r="R17" s="66" t="s">
        <v>107</v>
      </c>
    </row>
    <row r="18" spans="1:18">
      <c r="A18" s="5" t="s">
        <v>53</v>
      </c>
      <c r="B18" s="25" t="s">
        <v>107</v>
      </c>
      <c r="C18" s="25" t="s">
        <v>107</v>
      </c>
      <c r="D18" s="25" t="s">
        <v>107</v>
      </c>
      <c r="E18" s="2" t="s">
        <v>107</v>
      </c>
      <c r="F18" s="25" t="s">
        <v>107</v>
      </c>
      <c r="G18" s="25" t="s">
        <v>107</v>
      </c>
      <c r="O18" s="5" t="s">
        <v>53</v>
      </c>
      <c r="P18" s="25" t="s">
        <v>107</v>
      </c>
      <c r="Q18" s="25" t="s">
        <v>107</v>
      </c>
      <c r="R18" s="66" t="s">
        <v>107</v>
      </c>
    </row>
    <row r="19" spans="1:18">
      <c r="A19" s="5" t="s">
        <v>54</v>
      </c>
      <c r="B19" s="25" t="s">
        <v>107</v>
      </c>
      <c r="C19" s="25" t="s">
        <v>107</v>
      </c>
      <c r="D19" s="25" t="s">
        <v>107</v>
      </c>
      <c r="E19" s="2" t="s">
        <v>107</v>
      </c>
      <c r="F19" s="25" t="s">
        <v>107</v>
      </c>
      <c r="G19" s="25" t="s">
        <v>107</v>
      </c>
      <c r="O19" s="5" t="s">
        <v>54</v>
      </c>
      <c r="P19" s="25" t="s">
        <v>107</v>
      </c>
      <c r="Q19" s="25" t="s">
        <v>107</v>
      </c>
      <c r="R19" s="66" t="s">
        <v>107</v>
      </c>
    </row>
    <row r="20" spans="1:18">
      <c r="A20" s="5" t="s">
        <v>58</v>
      </c>
      <c r="B20" s="25" t="s">
        <v>107</v>
      </c>
      <c r="C20" s="25" t="s">
        <v>107</v>
      </c>
      <c r="D20" s="25" t="s">
        <v>107</v>
      </c>
      <c r="E20" s="2" t="s">
        <v>107</v>
      </c>
      <c r="F20" s="25" t="s">
        <v>107</v>
      </c>
      <c r="G20" s="25" t="s">
        <v>107</v>
      </c>
      <c r="O20" s="5" t="s">
        <v>58</v>
      </c>
      <c r="P20" s="25" t="s">
        <v>107</v>
      </c>
      <c r="Q20" s="25" t="s">
        <v>107</v>
      </c>
      <c r="R20" s="66" t="s">
        <v>107</v>
      </c>
    </row>
    <row r="21" spans="1:18">
      <c r="A21" s="8" t="s">
        <v>60</v>
      </c>
      <c r="B21" s="25" t="s">
        <v>107</v>
      </c>
      <c r="C21" s="25" t="s">
        <v>107</v>
      </c>
      <c r="D21" s="25" t="s">
        <v>107</v>
      </c>
      <c r="E21" s="2" t="s">
        <v>107</v>
      </c>
      <c r="F21" s="25" t="s">
        <v>107</v>
      </c>
      <c r="G21" s="25" t="s">
        <v>107</v>
      </c>
      <c r="O21" s="8" t="s">
        <v>60</v>
      </c>
      <c r="P21" s="25" t="s">
        <v>107</v>
      </c>
      <c r="Q21" s="25" t="s">
        <v>107</v>
      </c>
      <c r="R21" s="3"/>
    </row>
    <row r="22" spans="1:18">
      <c r="A22" s="8" t="s">
        <v>63</v>
      </c>
      <c r="B22" s="25" t="s">
        <v>107</v>
      </c>
      <c r="C22" s="25" t="s">
        <v>107</v>
      </c>
      <c r="D22" s="25" t="s">
        <v>107</v>
      </c>
      <c r="E22" s="2" t="s">
        <v>107</v>
      </c>
      <c r="F22" s="25" t="s">
        <v>107</v>
      </c>
      <c r="G22" s="25" t="s">
        <v>107</v>
      </c>
      <c r="O22" s="8" t="s">
        <v>63</v>
      </c>
      <c r="P22" s="25" t="s">
        <v>107</v>
      </c>
      <c r="Q22" s="25" t="s">
        <v>107</v>
      </c>
      <c r="R22" s="3"/>
    </row>
    <row r="23" spans="1:18">
      <c r="A23" s="8" t="s">
        <v>65</v>
      </c>
      <c r="B23" s="25" t="s">
        <v>107</v>
      </c>
      <c r="C23" s="25" t="s">
        <v>107</v>
      </c>
      <c r="D23" s="25" t="s">
        <v>107</v>
      </c>
      <c r="E23" s="2" t="s">
        <v>107</v>
      </c>
      <c r="F23" s="25" t="s">
        <v>107</v>
      </c>
      <c r="G23" s="25" t="s">
        <v>107</v>
      </c>
      <c r="O23" s="8" t="s">
        <v>65</v>
      </c>
      <c r="P23" s="25" t="s">
        <v>107</v>
      </c>
      <c r="Q23" s="25" t="s">
        <v>107</v>
      </c>
      <c r="R23" s="3"/>
    </row>
    <row r="24" spans="1:18">
      <c r="A24" s="8" t="s">
        <v>67</v>
      </c>
      <c r="B24" s="25" t="s">
        <v>107</v>
      </c>
      <c r="C24" s="25" t="s">
        <v>107</v>
      </c>
      <c r="D24" s="25" t="s">
        <v>107</v>
      </c>
      <c r="E24" s="2" t="s">
        <v>107</v>
      </c>
      <c r="F24" s="25" t="s">
        <v>107</v>
      </c>
      <c r="G24" s="25" t="s">
        <v>107</v>
      </c>
      <c r="O24" s="8" t="s">
        <v>67</v>
      </c>
      <c r="P24" s="25" t="s">
        <v>107</v>
      </c>
      <c r="Q24" s="25" t="s">
        <v>107</v>
      </c>
      <c r="R24" s="3"/>
    </row>
    <row r="25" spans="1:18">
      <c r="A25" s="8" t="s">
        <v>68</v>
      </c>
      <c r="B25" s="25" t="s">
        <v>107</v>
      </c>
      <c r="C25" s="25" t="s">
        <v>107</v>
      </c>
      <c r="D25" s="25" t="s">
        <v>107</v>
      </c>
      <c r="E25" s="2" t="s">
        <v>107</v>
      </c>
      <c r="F25" s="25" t="s">
        <v>107</v>
      </c>
      <c r="G25" s="25" t="s">
        <v>107</v>
      </c>
      <c r="O25" s="8" t="s">
        <v>68</v>
      </c>
      <c r="P25" s="25" t="s">
        <v>107</v>
      </c>
      <c r="Q25" s="25" t="s">
        <v>107</v>
      </c>
      <c r="R25" s="3"/>
    </row>
    <row r="26" spans="1:18">
      <c r="A26" s="8" t="s">
        <v>71</v>
      </c>
      <c r="B26" s="25" t="s">
        <v>107</v>
      </c>
      <c r="C26" s="25" t="s">
        <v>107</v>
      </c>
      <c r="D26" s="25" t="s">
        <v>107</v>
      </c>
      <c r="E26" s="2" t="s">
        <v>107</v>
      </c>
      <c r="F26" s="25" t="s">
        <v>107</v>
      </c>
      <c r="G26" s="25" t="s">
        <v>107</v>
      </c>
      <c r="O26" s="8" t="s">
        <v>71</v>
      </c>
      <c r="P26" s="25" t="s">
        <v>107</v>
      </c>
      <c r="Q26" s="25" t="s">
        <v>107</v>
      </c>
      <c r="R26" s="3"/>
    </row>
    <row r="27" spans="1:18">
      <c r="A27" s="8" t="s">
        <v>72</v>
      </c>
      <c r="B27" s="25" t="s">
        <v>107</v>
      </c>
      <c r="C27" s="25" t="s">
        <v>107</v>
      </c>
      <c r="D27" s="25" t="s">
        <v>107</v>
      </c>
      <c r="E27" s="2" t="s">
        <v>107</v>
      </c>
      <c r="F27" s="25" t="s">
        <v>107</v>
      </c>
      <c r="G27" s="25" t="s">
        <v>107</v>
      </c>
      <c r="O27" s="8" t="s">
        <v>72</v>
      </c>
      <c r="P27" s="25" t="s">
        <v>107</v>
      </c>
      <c r="Q27" s="25" t="s">
        <v>107</v>
      </c>
      <c r="R27" s="3"/>
    </row>
    <row r="28" spans="1:18">
      <c r="A28" s="8" t="s">
        <v>73</v>
      </c>
      <c r="B28" s="25" t="s">
        <v>107</v>
      </c>
      <c r="C28" s="25" t="s">
        <v>107</v>
      </c>
      <c r="D28" s="25" t="s">
        <v>107</v>
      </c>
      <c r="E28" s="2" t="s">
        <v>107</v>
      </c>
      <c r="F28" s="25" t="s">
        <v>107</v>
      </c>
      <c r="G28" s="25" t="s">
        <v>107</v>
      </c>
      <c r="O28" s="8" t="s">
        <v>73</v>
      </c>
      <c r="P28" s="25" t="s">
        <v>107</v>
      </c>
      <c r="Q28" s="25" t="s">
        <v>107</v>
      </c>
      <c r="R28" s="3"/>
    </row>
    <row r="29" spans="1:18">
      <c r="A29" s="8" t="s">
        <v>74</v>
      </c>
      <c r="B29" s="25" t="s">
        <v>107</v>
      </c>
      <c r="C29" s="25" t="s">
        <v>107</v>
      </c>
      <c r="D29" s="25" t="s">
        <v>107</v>
      </c>
      <c r="E29" s="2" t="s">
        <v>107</v>
      </c>
      <c r="F29" s="25" t="s">
        <v>107</v>
      </c>
      <c r="G29" s="25" t="s">
        <v>107</v>
      </c>
      <c r="O29" s="8" t="s">
        <v>74</v>
      </c>
      <c r="P29" s="25" t="s">
        <v>107</v>
      </c>
      <c r="Q29" s="25" t="s">
        <v>107</v>
      </c>
      <c r="R29" s="3"/>
    </row>
    <row r="30" spans="1:18">
      <c r="A30" s="8" t="s">
        <v>75</v>
      </c>
      <c r="B30" s="25" t="s">
        <v>107</v>
      </c>
      <c r="C30" s="25" t="s">
        <v>107</v>
      </c>
      <c r="D30" s="25" t="s">
        <v>107</v>
      </c>
      <c r="E30" s="2" t="s">
        <v>107</v>
      </c>
      <c r="F30" s="25" t="s">
        <v>107</v>
      </c>
      <c r="G30" s="25" t="s">
        <v>107</v>
      </c>
      <c r="O30" s="8" t="s">
        <v>75</v>
      </c>
      <c r="P30" s="25" t="s">
        <v>107</v>
      </c>
      <c r="Q30" s="25" t="s">
        <v>107</v>
      </c>
      <c r="R30" s="3"/>
    </row>
    <row r="31" spans="1:18">
      <c r="A31" s="8" t="s">
        <v>92</v>
      </c>
      <c r="B31" s="25" t="s">
        <v>107</v>
      </c>
      <c r="C31" s="25" t="s">
        <v>107</v>
      </c>
      <c r="D31" s="25" t="s">
        <v>107</v>
      </c>
      <c r="E31" s="2" t="s">
        <v>107</v>
      </c>
      <c r="F31" s="25" t="s">
        <v>107</v>
      </c>
      <c r="G31" s="25" t="s">
        <v>107</v>
      </c>
      <c r="O31" s="8" t="s">
        <v>92</v>
      </c>
      <c r="P31" s="25" t="s">
        <v>107</v>
      </c>
      <c r="Q31" s="25" t="s">
        <v>107</v>
      </c>
      <c r="R31" s="3"/>
    </row>
    <row r="32" spans="1:18">
      <c r="A32" s="8" t="s">
        <v>93</v>
      </c>
      <c r="B32" s="25" t="s">
        <v>107</v>
      </c>
      <c r="C32" s="25" t="s">
        <v>107</v>
      </c>
      <c r="D32" s="25" t="s">
        <v>107</v>
      </c>
      <c r="E32" s="2" t="s">
        <v>107</v>
      </c>
      <c r="F32" s="25" t="s">
        <v>107</v>
      </c>
      <c r="G32" s="25" t="s">
        <v>107</v>
      </c>
      <c r="O32" s="8" t="s">
        <v>93</v>
      </c>
      <c r="P32" s="25" t="s">
        <v>107</v>
      </c>
      <c r="Q32" s="25" t="s">
        <v>107</v>
      </c>
      <c r="R32" s="3"/>
    </row>
    <row r="35" spans="1:1">
      <c r="A35" s="10" t="s">
        <v>117</v>
      </c>
    </row>
    <row r="36" spans="1:1">
      <c r="A36" s="11" t="s">
        <v>118</v>
      </c>
    </row>
    <row r="37" spans="1:1">
      <c r="A37" t="s">
        <v>119</v>
      </c>
    </row>
  </sheetData>
  <mergeCells count="14">
    <mergeCell ref="B1:E1"/>
    <mergeCell ref="F1:G1"/>
    <mergeCell ref="J4:M4"/>
    <mergeCell ref="J5:M5"/>
    <mergeCell ref="J11:M11"/>
    <mergeCell ref="J8:M8"/>
    <mergeCell ref="J9:M9"/>
    <mergeCell ref="J15:M15"/>
    <mergeCell ref="J17:M17"/>
    <mergeCell ref="J16:M16"/>
    <mergeCell ref="J6:M6"/>
    <mergeCell ref="P1:R1"/>
    <mergeCell ref="J12:M12"/>
    <mergeCell ref="J13:M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40"/>
  <sheetViews>
    <sheetView zoomScale="80" zoomScaleNormal="80" workbookViewId="0">
      <selection activeCell="D26" sqref="D26"/>
    </sheetView>
  </sheetViews>
  <sheetFormatPr defaultColWidth="11.42578125" defaultRowHeight="15"/>
  <cols>
    <col min="1" max="1" width="15.140625" bestFit="1" customWidth="1"/>
    <col min="2" max="2" width="16.28515625" bestFit="1" customWidth="1"/>
    <col min="3" max="3" width="13.42578125" bestFit="1" customWidth="1"/>
    <col min="4" max="4" width="15.5703125" bestFit="1" customWidth="1"/>
    <col min="5" max="5" width="17.140625" bestFit="1" customWidth="1"/>
    <col min="9" max="9" width="17" bestFit="1" customWidth="1"/>
    <col min="10" max="10" width="18.85546875" customWidth="1"/>
  </cols>
  <sheetData>
    <row r="3" spans="1:10">
      <c r="A3" s="183" t="s">
        <v>104</v>
      </c>
      <c r="B3" s="183"/>
      <c r="C3" s="183"/>
      <c r="D3" s="183"/>
      <c r="E3" s="183"/>
      <c r="F3" s="183"/>
      <c r="I3" s="184" t="s">
        <v>120</v>
      </c>
      <c r="J3" s="184"/>
    </row>
    <row r="4" spans="1:10">
      <c r="A4" s="12" t="s">
        <v>77</v>
      </c>
      <c r="B4" s="12" t="s">
        <v>121</v>
      </c>
      <c r="C4" s="12" t="s">
        <v>11</v>
      </c>
      <c r="D4" s="12" t="s">
        <v>122</v>
      </c>
      <c r="E4" s="12" t="s">
        <v>123</v>
      </c>
      <c r="F4" s="12" t="s">
        <v>124</v>
      </c>
      <c r="I4" s="5" t="s">
        <v>125</v>
      </c>
      <c r="J4" s="23">
        <f>E20</f>
        <v>93.9252336448601</v>
      </c>
    </row>
    <row r="5" spans="1:10">
      <c r="A5" s="2">
        <v>0.108</v>
      </c>
      <c r="B5" s="23">
        <f>$J$4</f>
        <v>93.9252336448601</v>
      </c>
      <c r="C5" s="18">
        <f>A5*(B5/100)</f>
        <v>0.1014392523364489</v>
      </c>
      <c r="D5" s="2">
        <v>17.104500000000002</v>
      </c>
      <c r="E5" s="2">
        <v>17.1098</v>
      </c>
      <c r="F5" s="23">
        <f>((E5-D5)/C5)*100</f>
        <v>5.2248019163425186</v>
      </c>
      <c r="I5" s="5" t="s">
        <v>126</v>
      </c>
      <c r="J5" s="34">
        <f>(F6+F5)/2</f>
        <v>6.125721367738838</v>
      </c>
    </row>
    <row r="6" spans="1:10">
      <c r="A6" s="2">
        <v>0.18940000000000001</v>
      </c>
      <c r="B6" s="23">
        <f>$J$4</f>
        <v>93.9252336448601</v>
      </c>
      <c r="C6" s="18">
        <f>A6*(B6/100)</f>
        <v>0.17789439252336503</v>
      </c>
      <c r="D6" s="2">
        <v>17.298200000000001</v>
      </c>
      <c r="E6" s="2">
        <v>17.310700000000001</v>
      </c>
      <c r="F6" s="23">
        <f>((E6-D6)/C6)*100</f>
        <v>7.0266408191351575</v>
      </c>
      <c r="I6" s="5" t="s">
        <v>127</v>
      </c>
      <c r="J6" s="23">
        <f>(G10+G11)/2</f>
        <v>35.366816480059143</v>
      </c>
    </row>
    <row r="7" spans="1:10">
      <c r="I7" s="5" t="s">
        <v>128</v>
      </c>
      <c r="J7" s="23">
        <f>(E15+E16)/2</f>
        <v>19.34221258764083</v>
      </c>
    </row>
    <row r="8" spans="1:10">
      <c r="A8" s="185" t="s">
        <v>129</v>
      </c>
      <c r="B8" s="186"/>
      <c r="C8" s="186"/>
      <c r="D8" s="186"/>
      <c r="E8" s="186"/>
      <c r="F8" s="186"/>
      <c r="G8" s="187"/>
      <c r="I8" s="5" t="s">
        <v>130</v>
      </c>
      <c r="J8" s="23">
        <f>F20</f>
        <v>14.386401326698758</v>
      </c>
    </row>
    <row r="9" spans="1:10">
      <c r="A9" s="12" t="s">
        <v>77</v>
      </c>
      <c r="B9" s="12" t="s">
        <v>121</v>
      </c>
      <c r="C9" s="12" t="s">
        <v>11</v>
      </c>
      <c r="D9" s="12" t="s">
        <v>131</v>
      </c>
      <c r="E9" s="12" t="s">
        <v>132</v>
      </c>
      <c r="F9" s="12" t="s">
        <v>133</v>
      </c>
      <c r="G9" s="12" t="s">
        <v>134</v>
      </c>
      <c r="I9" s="5" t="s">
        <v>135</v>
      </c>
      <c r="J9" s="23">
        <f>(F15+F16)/2</f>
        <v>9.5150000000000006</v>
      </c>
    </row>
    <row r="10" spans="1:10">
      <c r="A10" s="2">
        <v>0.1018</v>
      </c>
      <c r="B10" s="23">
        <f>$E$20</f>
        <v>93.9252336448601</v>
      </c>
      <c r="C10" s="18">
        <f>A10*(B10/100)</f>
        <v>9.5615887850467582E-2</v>
      </c>
      <c r="D10" s="2">
        <v>5.76</v>
      </c>
      <c r="E10" s="2">
        <v>0.1</v>
      </c>
      <c r="F10" s="17">
        <f>(E10*D10*1.4)/C10</f>
        <v>8.43374483183295</v>
      </c>
      <c r="G10" s="23">
        <f>F10*$G$24</f>
        <v>36.602452570155002</v>
      </c>
      <c r="I10" s="154" t="s">
        <v>136</v>
      </c>
      <c r="J10" s="155">
        <f>(G15+G16)/2</f>
        <v>9.0274999999999999</v>
      </c>
    </row>
    <row r="11" spans="1:10">
      <c r="A11" s="2">
        <v>0.1014</v>
      </c>
      <c r="B11" s="23">
        <f>$E$20</f>
        <v>93.9252336448601</v>
      </c>
      <c r="C11" s="18">
        <f>A11*(B11/100)</f>
        <v>9.5240186915888148E-2</v>
      </c>
      <c r="D11" s="2">
        <v>5.35</v>
      </c>
      <c r="E11" s="2">
        <v>0.1</v>
      </c>
      <c r="F11" s="17">
        <f>(E11*D11*1.4)/C11</f>
        <v>7.8643272787933851</v>
      </c>
      <c r="G11" s="23">
        <f>F11*$G$24</f>
        <v>34.131180389963291</v>
      </c>
      <c r="I11" s="5" t="s">
        <v>137</v>
      </c>
      <c r="J11" s="2">
        <v>0.65</v>
      </c>
    </row>
    <row r="13" spans="1:10">
      <c r="A13" s="188" t="s">
        <v>105</v>
      </c>
      <c r="B13" s="189"/>
      <c r="C13" s="189"/>
      <c r="D13" s="189"/>
      <c r="E13" s="189"/>
      <c r="F13" s="189"/>
      <c r="G13" s="189"/>
      <c r="I13" s="184" t="s">
        <v>138</v>
      </c>
      <c r="J13" s="184"/>
    </row>
    <row r="14" spans="1:10">
      <c r="A14" s="12" t="s">
        <v>77</v>
      </c>
      <c r="B14" s="12" t="s">
        <v>121</v>
      </c>
      <c r="C14" s="12" t="s">
        <v>11</v>
      </c>
      <c r="D14" s="12" t="s">
        <v>139</v>
      </c>
      <c r="E14" s="12" t="s">
        <v>140</v>
      </c>
      <c r="F14" s="12" t="s">
        <v>141</v>
      </c>
      <c r="G14" s="12" t="s">
        <v>142</v>
      </c>
      <c r="I14" s="5" t="s">
        <v>126</v>
      </c>
      <c r="J14" s="23">
        <f>J5/((100-$J$8)/100)</f>
        <v>7.1550798736009167</v>
      </c>
    </row>
    <row r="15" spans="1:10">
      <c r="A15" s="2">
        <v>0.30280000000000001</v>
      </c>
      <c r="B15" s="23">
        <f>$E$20</f>
        <v>93.9252336448601</v>
      </c>
      <c r="C15" s="17">
        <f>A15*(B15/100)</f>
        <v>0.2844056074766364</v>
      </c>
      <c r="D15" s="23">
        <f>(55.51+54.96)/2</f>
        <v>55.234999999999999</v>
      </c>
      <c r="E15" s="23">
        <f>(D15/10)/C15</f>
        <v>19.421206385509645</v>
      </c>
      <c r="F15" s="23">
        <f>(9.73+9.62)/2</f>
        <v>9.6750000000000007</v>
      </c>
      <c r="G15" s="23">
        <f>(9.13+9.06)/2</f>
        <v>9.0950000000000006</v>
      </c>
      <c r="I15" s="5" t="s">
        <v>127</v>
      </c>
      <c r="J15" s="23">
        <f>J6/((100-$J$8)/100)</f>
        <v>41.309811791719895</v>
      </c>
    </row>
    <row r="16" spans="1:10">
      <c r="A16" s="2">
        <v>0.30099999999999999</v>
      </c>
      <c r="B16" s="23">
        <f>$E$20</f>
        <v>93.9252336448601</v>
      </c>
      <c r="C16" s="17">
        <f>A16*(B16/100)</f>
        <v>0.28271495327102886</v>
      </c>
      <c r="D16" s="2">
        <f>(55.84+53.08)/2</f>
        <v>54.46</v>
      </c>
      <c r="E16" s="23">
        <f>(D16/10)/C16</f>
        <v>19.263218789772012</v>
      </c>
      <c r="F16" s="23">
        <f>(9.13+9.58)/2</f>
        <v>9.3550000000000004</v>
      </c>
      <c r="G16" s="23">
        <f>(9.19+8.73)/2</f>
        <v>8.9600000000000009</v>
      </c>
      <c r="I16" s="5" t="s">
        <v>128</v>
      </c>
      <c r="J16" s="23">
        <f>J7/((100-$J$8)/100)</f>
        <v>22.592453637476559</v>
      </c>
    </row>
    <row r="17" spans="1:16">
      <c r="I17" s="5" t="s">
        <v>143</v>
      </c>
      <c r="J17" s="23">
        <f>J9/((100-$J$8)/100)</f>
        <v>11.113888619854583</v>
      </c>
    </row>
    <row r="18" spans="1:16">
      <c r="A18" s="183" t="s">
        <v>144</v>
      </c>
      <c r="B18" s="183"/>
      <c r="C18" s="183"/>
      <c r="D18" s="183"/>
      <c r="E18" s="183"/>
      <c r="F18" s="183"/>
      <c r="G18" s="183"/>
      <c r="I18" s="5" t="s">
        <v>145</v>
      </c>
      <c r="J18" s="23">
        <f>J10/((100-$J$8)/100)</f>
        <v>10.544469733656042</v>
      </c>
    </row>
    <row r="19" spans="1:16">
      <c r="A19" s="73" t="s">
        <v>146</v>
      </c>
      <c r="B19" s="73" t="s">
        <v>147</v>
      </c>
      <c r="C19" s="73" t="s">
        <v>148</v>
      </c>
      <c r="D19" s="73" t="s">
        <v>149</v>
      </c>
      <c r="E19" s="73" t="s">
        <v>121</v>
      </c>
      <c r="F19" s="73" t="s">
        <v>130</v>
      </c>
      <c r="G19" s="12" t="s">
        <v>150</v>
      </c>
      <c r="I19" s="5" t="s">
        <v>137</v>
      </c>
      <c r="J19" s="23">
        <f>J11/((100-$J$8)/100)</f>
        <v>0.75922518159805341</v>
      </c>
    </row>
    <row r="20" spans="1:16">
      <c r="A20" s="2">
        <v>17.851700000000001</v>
      </c>
      <c r="B20" s="2">
        <v>18.108499999999999</v>
      </c>
      <c r="C20" s="2">
        <v>18.0929</v>
      </c>
      <c r="D20" s="2">
        <v>17.886399999999998</v>
      </c>
      <c r="E20" s="23">
        <f>((C20-A20)/(B20-A20))*100</f>
        <v>93.9252336448601</v>
      </c>
      <c r="F20" s="23">
        <f>((D20-A20)/(C20-A20))*100</f>
        <v>14.386401326698758</v>
      </c>
      <c r="G20" s="23">
        <f>((C20-D20)*100)/(B20-A20)</f>
        <v>80.412772585671036</v>
      </c>
    </row>
    <row r="21" spans="1:16">
      <c r="N21" t="s">
        <v>151</v>
      </c>
    </row>
    <row r="22" spans="1:16">
      <c r="A22" s="183" t="s">
        <v>152</v>
      </c>
      <c r="B22" s="183"/>
      <c r="N22" t="s">
        <v>153</v>
      </c>
    </row>
    <row r="23" spans="1:16">
      <c r="A23" s="73" t="s">
        <v>154</v>
      </c>
      <c r="B23" s="2">
        <v>37.340000000000003</v>
      </c>
      <c r="G23" s="12" t="s">
        <v>155</v>
      </c>
      <c r="N23" t="s">
        <v>156</v>
      </c>
    </row>
    <row r="24" spans="1:16">
      <c r="A24" s="73" t="s">
        <v>157</v>
      </c>
      <c r="B24" s="2">
        <v>49.28</v>
      </c>
      <c r="E24" s="48"/>
      <c r="F24" s="48"/>
      <c r="G24" s="2">
        <v>4.34</v>
      </c>
      <c r="N24" t="s">
        <v>158</v>
      </c>
    </row>
    <row r="25" spans="1:16">
      <c r="A25" s="73" t="s">
        <v>159</v>
      </c>
      <c r="B25" s="2">
        <v>20.04</v>
      </c>
    </row>
    <row r="26" spans="1:16">
      <c r="A26" s="73" t="s">
        <v>160</v>
      </c>
      <c r="B26" s="2">
        <v>7.61</v>
      </c>
    </row>
    <row r="27" spans="1:16">
      <c r="A27" s="73" t="s">
        <v>161</v>
      </c>
      <c r="B27" s="2">
        <v>23.32</v>
      </c>
      <c r="F27" s="48"/>
    </row>
    <row r="28" spans="1:16">
      <c r="A28" s="73" t="s">
        <v>162</v>
      </c>
      <c r="B28" s="2">
        <v>16.61</v>
      </c>
    </row>
    <row r="29" spans="1:16">
      <c r="A29" s="73" t="s">
        <v>163</v>
      </c>
      <c r="B29" s="2">
        <v>22.8</v>
      </c>
    </row>
    <row r="30" spans="1:16">
      <c r="A30" s="73" t="s">
        <v>164</v>
      </c>
      <c r="B30" s="2">
        <v>34.270000000000003</v>
      </c>
    </row>
    <row r="31" spans="1:16">
      <c r="A31" s="73" t="s">
        <v>165</v>
      </c>
      <c r="B31" s="2">
        <v>13.1</v>
      </c>
    </row>
    <row r="32" spans="1:16">
      <c r="A32" s="73" t="s">
        <v>166</v>
      </c>
      <c r="B32" s="2">
        <v>3.11</v>
      </c>
      <c r="P32">
        <f>50*(J10/100)</f>
        <v>4.5137499999999999</v>
      </c>
    </row>
    <row r="33" spans="1:5">
      <c r="A33" s="73" t="s">
        <v>167</v>
      </c>
      <c r="B33" s="2">
        <v>14.49</v>
      </c>
    </row>
    <row r="34" spans="1:5">
      <c r="A34" s="73" t="s">
        <v>168</v>
      </c>
      <c r="B34" s="2">
        <v>7.85</v>
      </c>
    </row>
    <row r="35" spans="1:5">
      <c r="A35" s="73" t="s">
        <v>169</v>
      </c>
      <c r="B35" s="2">
        <v>18.45</v>
      </c>
    </row>
    <row r="36" spans="1:5">
      <c r="A36" s="73" t="s">
        <v>170</v>
      </c>
      <c r="B36" s="2">
        <v>10.94</v>
      </c>
    </row>
    <row r="37" spans="1:5">
      <c r="A37" s="73" t="s">
        <v>171</v>
      </c>
      <c r="B37" s="2">
        <v>31.52</v>
      </c>
    </row>
    <row r="38" spans="1:5">
      <c r="A38" s="73" t="s">
        <v>172</v>
      </c>
      <c r="B38" s="2">
        <v>22.58</v>
      </c>
    </row>
    <row r="39" spans="1:5">
      <c r="A39" s="73" t="s">
        <v>173</v>
      </c>
      <c r="B39" s="2">
        <v>20.010000000000002</v>
      </c>
      <c r="E39" t="s">
        <v>174</v>
      </c>
    </row>
    <row r="40" spans="1:5">
      <c r="B40" s="2">
        <f>SUM(B23:B39)</f>
        <v>353.32</v>
      </c>
    </row>
  </sheetData>
  <mergeCells count="7">
    <mergeCell ref="A22:B22"/>
    <mergeCell ref="A18:G18"/>
    <mergeCell ref="I3:J3"/>
    <mergeCell ref="I13:J13"/>
    <mergeCell ref="A3:F3"/>
    <mergeCell ref="A8:G8"/>
    <mergeCell ref="A13:G1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zoomScale="70" zoomScaleNormal="70" workbookViewId="0">
      <selection sqref="A1:D1"/>
    </sheetView>
  </sheetViews>
  <sheetFormatPr defaultColWidth="11.42578125" defaultRowHeight="15"/>
  <cols>
    <col min="3" max="3" width="13.5703125" bestFit="1" customWidth="1"/>
    <col min="4" max="4" width="23.7109375" bestFit="1" customWidth="1"/>
    <col min="5" max="5" width="23.5703125" bestFit="1" customWidth="1"/>
  </cols>
  <sheetData>
    <row r="1" spans="1:8" ht="15.75" thickBot="1">
      <c r="A1" s="190" t="s">
        <v>175</v>
      </c>
      <c r="B1" s="191"/>
      <c r="C1" s="191"/>
      <c r="D1" s="192"/>
    </row>
    <row r="3" spans="1:8">
      <c r="A3" s="193" t="s">
        <v>176</v>
      </c>
      <c r="B3" s="193"/>
      <c r="C3" s="193"/>
      <c r="D3" s="193"/>
      <c r="E3" s="193"/>
      <c r="G3" s="193" t="s">
        <v>143</v>
      </c>
      <c r="H3" s="193"/>
    </row>
    <row r="4" spans="1:8">
      <c r="A4" s="19" t="s">
        <v>177</v>
      </c>
      <c r="B4" s="19" t="s">
        <v>178</v>
      </c>
      <c r="C4" s="19" t="s">
        <v>64</v>
      </c>
      <c r="D4" s="19" t="s">
        <v>179</v>
      </c>
      <c r="E4" s="39" t="s">
        <v>180</v>
      </c>
      <c r="G4" s="19" t="s">
        <v>181</v>
      </c>
      <c r="H4" s="19" t="s">
        <v>182</v>
      </c>
    </row>
    <row r="5" spans="1:8">
      <c r="A5" s="2">
        <v>0</v>
      </c>
      <c r="B5" s="2">
        <v>0.20169999999999999</v>
      </c>
      <c r="C5" s="2">
        <v>100</v>
      </c>
      <c r="D5" s="30">
        <f t="shared" ref="D5:D8" si="0">(B5*1000)/C5</f>
        <v>2.0169999999999999</v>
      </c>
      <c r="E5" s="31">
        <v>449327</v>
      </c>
      <c r="G5" s="2">
        <v>227832</v>
      </c>
      <c r="H5" s="2">
        <v>-6935</v>
      </c>
    </row>
    <row r="6" spans="1:8">
      <c r="A6" s="2">
        <v>1</v>
      </c>
      <c r="B6" s="18">
        <f>B5/(2/1.5)</f>
        <v>0.15127499999999999</v>
      </c>
      <c r="C6" s="2">
        <v>100</v>
      </c>
      <c r="D6" s="38">
        <f t="shared" si="0"/>
        <v>1.51275</v>
      </c>
      <c r="E6" s="31">
        <v>342550</v>
      </c>
    </row>
    <row r="7" spans="1:8">
      <c r="A7" s="2">
        <v>2</v>
      </c>
      <c r="B7" s="18">
        <f>B5/2</f>
        <v>0.10085</v>
      </c>
      <c r="C7" s="2">
        <v>100</v>
      </c>
      <c r="D7" s="38">
        <f t="shared" si="0"/>
        <v>1.0085</v>
      </c>
      <c r="E7" s="31">
        <v>222997</v>
      </c>
      <c r="G7" s="193" t="s">
        <v>183</v>
      </c>
      <c r="H7" s="193"/>
    </row>
    <row r="8" spans="1:8">
      <c r="A8" s="2">
        <v>3</v>
      </c>
      <c r="B8" s="18">
        <f>B5/4</f>
        <v>5.0424999999999998E-2</v>
      </c>
      <c r="C8" s="2">
        <v>100</v>
      </c>
      <c r="D8" s="38">
        <f t="shared" si="0"/>
        <v>0.50424999999999998</v>
      </c>
      <c r="E8" s="31">
        <v>106230</v>
      </c>
      <c r="G8" s="19" t="s">
        <v>181</v>
      </c>
      <c r="H8" s="19" t="s">
        <v>182</v>
      </c>
    </row>
    <row r="9" spans="1:8">
      <c r="G9" s="2">
        <v>223945</v>
      </c>
      <c r="H9" s="2">
        <v>-5248.5</v>
      </c>
    </row>
    <row r="10" spans="1:8">
      <c r="A10" s="193" t="s">
        <v>184</v>
      </c>
      <c r="B10" s="193"/>
      <c r="C10" s="193"/>
      <c r="D10" s="193"/>
      <c r="E10" s="193"/>
      <c r="G10" s="27"/>
      <c r="H10" s="27"/>
    </row>
    <row r="11" spans="1:8">
      <c r="A11" s="20" t="s">
        <v>177</v>
      </c>
      <c r="B11" s="20" t="s">
        <v>178</v>
      </c>
      <c r="C11" s="20" t="s">
        <v>64</v>
      </c>
      <c r="D11" s="20" t="s">
        <v>179</v>
      </c>
      <c r="E11" s="37" t="s">
        <v>180</v>
      </c>
      <c r="G11" s="193" t="s">
        <v>145</v>
      </c>
      <c r="H11" s="193"/>
    </row>
    <row r="12" spans="1:8">
      <c r="A12" s="2">
        <v>0</v>
      </c>
      <c r="B12" s="2">
        <f>0.1109</f>
        <v>0.1109</v>
      </c>
      <c r="C12" s="2">
        <v>100</v>
      </c>
      <c r="D12" s="30">
        <f t="shared" ref="D12:D15" si="1">(B12*1000)/C12</f>
        <v>1.109</v>
      </c>
      <c r="E12" s="31">
        <v>242051</v>
      </c>
      <c r="G12" s="19" t="s">
        <v>181</v>
      </c>
      <c r="H12" s="19" t="s">
        <v>182</v>
      </c>
    </row>
    <row r="13" spans="1:8">
      <c r="A13" s="2">
        <v>1</v>
      </c>
      <c r="B13" s="18">
        <f>B12/(2/1.5)</f>
        <v>8.3174999999999999E-2</v>
      </c>
      <c r="C13" s="2">
        <v>100</v>
      </c>
      <c r="D13" s="38">
        <f t="shared" si="1"/>
        <v>0.83174999999999999</v>
      </c>
      <c r="E13" s="31">
        <v>182848</v>
      </c>
      <c r="G13" s="2">
        <v>220385</v>
      </c>
      <c r="H13" s="2">
        <v>-7956.3</v>
      </c>
    </row>
    <row r="14" spans="1:8">
      <c r="A14" s="2">
        <v>2</v>
      </c>
      <c r="B14" s="18">
        <f>B12/2</f>
        <v>5.5449999999999999E-2</v>
      </c>
      <c r="C14" s="2">
        <v>100</v>
      </c>
      <c r="D14" s="38">
        <f t="shared" si="1"/>
        <v>0.55449999999999999</v>
      </c>
      <c r="E14" s="31">
        <v>118433</v>
      </c>
      <c r="G14" s="27"/>
      <c r="H14" s="27"/>
    </row>
    <row r="15" spans="1:8">
      <c r="A15" s="2">
        <v>3</v>
      </c>
      <c r="B15" s="18">
        <f>B12/4</f>
        <v>2.7725E-2</v>
      </c>
      <c r="C15" s="2">
        <v>100</v>
      </c>
      <c r="D15" s="38">
        <f t="shared" si="1"/>
        <v>0.27725</v>
      </c>
      <c r="E15" s="31">
        <v>56560.5</v>
      </c>
      <c r="G15" s="194" t="s">
        <v>185</v>
      </c>
      <c r="H15" s="195"/>
    </row>
    <row r="16" spans="1:8">
      <c r="G16" s="19" t="s">
        <v>181</v>
      </c>
      <c r="H16" s="19" t="s">
        <v>182</v>
      </c>
    </row>
    <row r="17" spans="1:8">
      <c r="A17" s="193" t="s">
        <v>186</v>
      </c>
      <c r="B17" s="193"/>
      <c r="C17" s="193"/>
      <c r="D17" s="193"/>
      <c r="E17" s="193"/>
      <c r="G17" s="2">
        <v>241573</v>
      </c>
      <c r="H17" s="2">
        <v>-9195.7000000000007</v>
      </c>
    </row>
    <row r="18" spans="1:8">
      <c r="A18" s="20" t="s">
        <v>177</v>
      </c>
      <c r="B18" s="20" t="s">
        <v>178</v>
      </c>
      <c r="C18" s="20" t="s">
        <v>64</v>
      </c>
      <c r="D18" s="20" t="s">
        <v>179</v>
      </c>
      <c r="E18" s="37" t="s">
        <v>180</v>
      </c>
    </row>
    <row r="19" spans="1:8">
      <c r="A19" s="2">
        <v>0</v>
      </c>
      <c r="B19" s="2">
        <v>0.1099</v>
      </c>
      <c r="C19" s="2">
        <v>100</v>
      </c>
      <c r="D19" s="30">
        <f t="shared" ref="D19:D22" si="2">(B19*1000)/C19</f>
        <v>1.099</v>
      </c>
      <c r="E19" s="31">
        <v>230563</v>
      </c>
    </row>
    <row r="20" spans="1:8">
      <c r="A20" s="2">
        <v>1</v>
      </c>
      <c r="B20" s="18">
        <f>B19/(2/1.5)</f>
        <v>8.2424999999999998E-2</v>
      </c>
      <c r="C20" s="2">
        <v>100</v>
      </c>
      <c r="D20" s="38">
        <f t="shared" si="2"/>
        <v>0.82424999999999993</v>
      </c>
      <c r="E20" s="31">
        <v>178052.5</v>
      </c>
    </row>
    <row r="21" spans="1:8">
      <c r="A21" s="2">
        <v>2</v>
      </c>
      <c r="B21" s="18">
        <f>B19/2</f>
        <v>5.4949999999999999E-2</v>
      </c>
      <c r="C21" s="2">
        <v>100</v>
      </c>
      <c r="D21" s="38">
        <f t="shared" si="2"/>
        <v>0.54949999999999999</v>
      </c>
      <c r="E21" s="42">
        <v>115483.5</v>
      </c>
    </row>
    <row r="22" spans="1:8">
      <c r="A22" s="2">
        <v>3</v>
      </c>
      <c r="B22" s="18">
        <f>B19/4</f>
        <v>2.7474999999999999E-2</v>
      </c>
      <c r="C22" s="2">
        <v>100</v>
      </c>
      <c r="D22" s="38">
        <f t="shared" si="2"/>
        <v>0.27474999999999999</v>
      </c>
      <c r="E22" s="31">
        <v>49583.5</v>
      </c>
    </row>
    <row r="24" spans="1:8">
      <c r="A24" s="193" t="s">
        <v>187</v>
      </c>
      <c r="B24" s="193"/>
      <c r="C24" s="193"/>
      <c r="D24" s="193"/>
      <c r="E24" s="193"/>
    </row>
    <row r="25" spans="1:8">
      <c r="A25" s="20" t="s">
        <v>177</v>
      </c>
      <c r="B25" s="20" t="s">
        <v>178</v>
      </c>
      <c r="C25" s="20" t="s">
        <v>64</v>
      </c>
      <c r="D25" s="20" t="s">
        <v>179</v>
      </c>
      <c r="E25" s="37" t="s">
        <v>180</v>
      </c>
    </row>
    <row r="26" spans="1:8">
      <c r="A26" s="2">
        <v>0</v>
      </c>
      <c r="B26" s="2">
        <v>0.1008</v>
      </c>
      <c r="C26" s="2">
        <v>100</v>
      </c>
      <c r="D26" s="30">
        <f t="shared" ref="D26:D29" si="3">(B26*1000)/C26</f>
        <v>1.008</v>
      </c>
      <c r="E26" s="31">
        <v>230501.5</v>
      </c>
    </row>
    <row r="27" spans="1:8">
      <c r="A27" s="2">
        <v>1</v>
      </c>
      <c r="B27" s="2">
        <f>B26/(2/1.5)</f>
        <v>7.5600000000000001E-2</v>
      </c>
      <c r="C27" s="2">
        <v>100</v>
      </c>
      <c r="D27" s="30">
        <f t="shared" si="3"/>
        <v>0.75599999999999989</v>
      </c>
      <c r="E27" s="31">
        <v>178358</v>
      </c>
    </row>
    <row r="28" spans="1:8">
      <c r="A28" s="2">
        <v>2</v>
      </c>
      <c r="B28" s="2">
        <f>B26/2</f>
        <v>5.04E-2</v>
      </c>
      <c r="C28" s="2">
        <v>100</v>
      </c>
      <c r="D28" s="30">
        <f t="shared" si="3"/>
        <v>0.504</v>
      </c>
      <c r="E28" s="31">
        <v>114131</v>
      </c>
    </row>
    <row r="29" spans="1:8">
      <c r="A29" s="2">
        <v>3</v>
      </c>
      <c r="B29" s="2">
        <f>B26/4</f>
        <v>2.52E-2</v>
      </c>
      <c r="C29" s="2">
        <v>100</v>
      </c>
      <c r="D29" s="30">
        <f t="shared" si="3"/>
        <v>0.252</v>
      </c>
      <c r="E29" s="31">
        <v>48989.5</v>
      </c>
    </row>
  </sheetData>
  <mergeCells count="9">
    <mergeCell ref="A24:E24"/>
    <mergeCell ref="A1:D1"/>
    <mergeCell ref="A10:E10"/>
    <mergeCell ref="A3:E3"/>
    <mergeCell ref="A17:E17"/>
    <mergeCell ref="G15:H15"/>
    <mergeCell ref="G3:H3"/>
    <mergeCell ref="G7:H7"/>
    <mergeCell ref="G11:H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B70"/>
  <sheetViews>
    <sheetView topLeftCell="A40" zoomScale="80" zoomScaleNormal="80" workbookViewId="0">
      <selection activeCell="F70" sqref="F70"/>
    </sheetView>
  </sheetViews>
  <sheetFormatPr defaultColWidth="11.42578125" defaultRowHeight="15"/>
  <cols>
    <col min="1" max="1" width="12.42578125" bestFit="1" customWidth="1"/>
    <col min="3" max="3" width="16.28515625" bestFit="1" customWidth="1"/>
    <col min="10" max="10" width="12.42578125" bestFit="1" customWidth="1"/>
    <col min="12" max="12" width="20" bestFit="1" customWidth="1"/>
    <col min="16" max="16" width="12.5703125" bestFit="1" customWidth="1"/>
    <col min="19" max="19" width="12.7109375" customWidth="1"/>
    <col min="20" max="20" width="12.140625" bestFit="1" customWidth="1"/>
    <col min="22" max="22" width="17.42578125" bestFit="1" customWidth="1"/>
  </cols>
  <sheetData>
    <row r="3" spans="1:28">
      <c r="B3" s="181" t="s">
        <v>100</v>
      </c>
      <c r="C3" s="181"/>
      <c r="D3" s="181"/>
      <c r="E3" s="181"/>
      <c r="F3" s="181"/>
      <c r="G3" s="181"/>
      <c r="H3" s="181"/>
      <c r="K3" s="181" t="s">
        <v>101</v>
      </c>
      <c r="L3" s="181"/>
      <c r="M3" s="181"/>
      <c r="N3" s="181"/>
      <c r="O3" s="181"/>
      <c r="P3" s="181"/>
      <c r="Q3" s="181"/>
      <c r="S3" s="181" t="s">
        <v>188</v>
      </c>
      <c r="T3" s="181"/>
      <c r="U3" s="181"/>
      <c r="V3" s="181"/>
      <c r="W3" s="181"/>
    </row>
    <row r="4" spans="1:28">
      <c r="A4" s="4" t="s">
        <v>0</v>
      </c>
      <c r="B4" s="4" t="s">
        <v>146</v>
      </c>
      <c r="C4" s="4" t="s">
        <v>147</v>
      </c>
      <c r="D4" s="4" t="s">
        <v>148</v>
      </c>
      <c r="E4" s="4" t="s">
        <v>149</v>
      </c>
      <c r="F4" s="4" t="s">
        <v>189</v>
      </c>
      <c r="G4" s="4" t="s">
        <v>190</v>
      </c>
      <c r="H4" s="4" t="s">
        <v>191</v>
      </c>
      <c r="I4" t="s">
        <v>192</v>
      </c>
      <c r="J4" s="4" t="s">
        <v>0</v>
      </c>
      <c r="K4" s="4" t="s">
        <v>146</v>
      </c>
      <c r="L4" s="4" t="s">
        <v>193</v>
      </c>
      <c r="M4" s="4" t="s">
        <v>148</v>
      </c>
      <c r="N4" s="4" t="s">
        <v>149</v>
      </c>
      <c r="O4" s="4" t="s">
        <v>194</v>
      </c>
      <c r="P4" s="4" t="s">
        <v>195</v>
      </c>
      <c r="Q4" s="4" t="s">
        <v>196</v>
      </c>
      <c r="R4" t="s">
        <v>192</v>
      </c>
      <c r="S4" s="4" t="s">
        <v>0</v>
      </c>
      <c r="T4" s="4" t="s">
        <v>197</v>
      </c>
      <c r="U4" s="4" t="s">
        <v>198</v>
      </c>
      <c r="V4" s="4" t="s">
        <v>199</v>
      </c>
      <c r="W4" s="4" t="s">
        <v>200</v>
      </c>
    </row>
    <row r="5" spans="1:28">
      <c r="A5" s="5" t="s">
        <v>13</v>
      </c>
      <c r="B5" s="2">
        <v>28.356999999999999</v>
      </c>
      <c r="C5" s="2">
        <v>29.270299999999999</v>
      </c>
      <c r="D5" s="2">
        <v>29.197600000000001</v>
      </c>
      <c r="E5" s="2">
        <v>28.407</v>
      </c>
      <c r="F5" s="23">
        <f>((D5-B5)/(C5-B5))*100</f>
        <v>92.039855469177965</v>
      </c>
      <c r="G5" s="23">
        <f>((E5-B5)/(D5-B5))*100</f>
        <v>5.9481322864621209</v>
      </c>
      <c r="H5" s="23">
        <f>((D5-E5)*100)/(C5-B5)</f>
        <v>86.56520310960272</v>
      </c>
      <c r="J5" s="5" t="s">
        <v>13</v>
      </c>
      <c r="K5" s="2">
        <v>65.737399999999994</v>
      </c>
      <c r="L5" s="2">
        <v>131.25839999999999</v>
      </c>
      <c r="M5" s="2">
        <v>68.684100000000001</v>
      </c>
      <c r="N5" s="2">
        <v>66.230900000000005</v>
      </c>
      <c r="O5" s="23">
        <f>((M5-K5)*1000)/(L5-K5)</f>
        <v>44.973367317348746</v>
      </c>
      <c r="P5" s="23">
        <f>O5-Q5</f>
        <v>7.5319363257583376</v>
      </c>
      <c r="Q5" s="23">
        <f>((M5-N5)*1000)/(L5-K5)</f>
        <v>37.441430991590408</v>
      </c>
      <c r="S5" s="149" t="s">
        <v>13</v>
      </c>
      <c r="T5" s="23">
        <f>V5*'Análisis proteínas'!AP57</f>
        <v>2.7565388</v>
      </c>
      <c r="U5" s="23">
        <f t="shared" ref="U5:U31" si="0">V5*Q5</f>
        <v>8.0180824468490854</v>
      </c>
      <c r="V5" s="23">
        <f>Experimentos!L33/1000</f>
        <v>0.21415000000000001</v>
      </c>
      <c r="W5" s="23">
        <f>(T5/U5)*100</f>
        <v>34.379027881950172</v>
      </c>
      <c r="X5">
        <v>120</v>
      </c>
      <c r="Z5" s="176" t="s">
        <v>201</v>
      </c>
      <c r="AA5" t="s">
        <v>202</v>
      </c>
      <c r="AB5" s="48">
        <f>W5</f>
        <v>34.379027881950172</v>
      </c>
    </row>
    <row r="6" spans="1:28">
      <c r="A6" s="5" t="s">
        <v>18</v>
      </c>
      <c r="B6" s="2">
        <v>29.784199999999998</v>
      </c>
      <c r="C6" s="2">
        <v>30.852399999999999</v>
      </c>
      <c r="D6" s="2">
        <v>30.764800000000001</v>
      </c>
      <c r="E6" s="2">
        <v>29.8428</v>
      </c>
      <c r="F6" s="23">
        <f t="shared" ref="F6:F22" si="1">((D6-B6)/(C6-B6))*100</f>
        <v>91.799288522748711</v>
      </c>
      <c r="G6" s="23">
        <f t="shared" ref="G6:G22" si="2">((E6-B6)/(D6-B6))*100</f>
        <v>5.9759331021825242</v>
      </c>
      <c r="H6" s="23">
        <f t="shared" ref="H6:H34" si="3">((D6-E6)*100)/(C6-B6)</f>
        <v>86.313424452349722</v>
      </c>
      <c r="J6" s="5" t="s">
        <v>18</v>
      </c>
      <c r="K6" s="2"/>
      <c r="L6" s="2"/>
      <c r="M6" s="2"/>
      <c r="N6" s="2"/>
      <c r="O6" s="23"/>
      <c r="P6" s="23"/>
      <c r="Q6" s="23"/>
      <c r="S6" s="149" t="s">
        <v>18</v>
      </c>
      <c r="T6" s="23"/>
      <c r="U6" s="23"/>
      <c r="V6" s="23"/>
      <c r="W6" s="23"/>
      <c r="Z6" s="176"/>
      <c r="AA6" t="s">
        <v>203</v>
      </c>
      <c r="AB6" s="48">
        <f>W7</f>
        <v>14.037057335349933</v>
      </c>
    </row>
    <row r="7" spans="1:28">
      <c r="A7" s="5" t="s">
        <v>19</v>
      </c>
      <c r="B7" s="2">
        <v>26.614999999999998</v>
      </c>
      <c r="C7" s="2">
        <v>29.035699999999999</v>
      </c>
      <c r="D7" s="2">
        <v>28.655799999999999</v>
      </c>
      <c r="E7" s="2">
        <v>26.676100000000002</v>
      </c>
      <c r="F7" s="23">
        <f t="shared" si="1"/>
        <v>84.306192423679136</v>
      </c>
      <c r="G7" s="23">
        <f t="shared" si="2"/>
        <v>2.9939239513917699</v>
      </c>
      <c r="H7" s="23">
        <f t="shared" si="3"/>
        <v>81.782129136200169</v>
      </c>
      <c r="J7" s="5" t="s">
        <v>19</v>
      </c>
      <c r="K7" s="2">
        <v>45.469700000000003</v>
      </c>
      <c r="L7" s="2">
        <v>121.6574</v>
      </c>
      <c r="M7" s="2">
        <v>46.791899999999998</v>
      </c>
      <c r="N7" s="2">
        <v>46.064599999999999</v>
      </c>
      <c r="O7" s="23">
        <f t="shared" ref="O7:O31" si="4">((M7-K7)*1000)/(L7-K7)</f>
        <v>17.354507354861681</v>
      </c>
      <c r="P7" s="23">
        <f t="shared" ref="P7:P31" si="5">O7-Q7</f>
        <v>7.8083470166443618</v>
      </c>
      <c r="Q7" s="23">
        <f t="shared" ref="Q7:Q31" si="6">((M7-N7)*1000)/(L7-K7)</f>
        <v>9.5461603382173195</v>
      </c>
      <c r="S7" s="149" t="s">
        <v>19</v>
      </c>
      <c r="T7" s="23">
        <f>V7*'Análisis proteínas'!AP58</f>
        <v>0.29350020000000004</v>
      </c>
      <c r="U7" s="23">
        <f t="shared" si="0"/>
        <v>2.0908954988797395</v>
      </c>
      <c r="V7" s="23">
        <f>Experimentos!L35/1000</f>
        <v>0.21903</v>
      </c>
      <c r="W7" s="23">
        <f t="shared" ref="W7:W31" si="7">(T7/U7)*100</f>
        <v>14.037057335349933</v>
      </c>
      <c r="X7">
        <v>60</v>
      </c>
      <c r="Z7" s="176"/>
      <c r="AA7" t="s">
        <v>204</v>
      </c>
      <c r="AB7" s="48">
        <f>W9</f>
        <v>12.408045683773514</v>
      </c>
    </row>
    <row r="8" spans="1:28">
      <c r="A8" s="5" t="s">
        <v>22</v>
      </c>
      <c r="B8" s="2">
        <v>26.938500000000001</v>
      </c>
      <c r="C8" s="2">
        <v>28.554400000000001</v>
      </c>
      <c r="D8" s="2">
        <v>28.4406</v>
      </c>
      <c r="E8" s="2">
        <v>26.986000000000001</v>
      </c>
      <c r="F8" s="23">
        <f t="shared" si="1"/>
        <v>92.957484992883138</v>
      </c>
      <c r="G8" s="23">
        <f t="shared" si="2"/>
        <v>3.1622395313227796</v>
      </c>
      <c r="H8" s="23">
        <f t="shared" si="3"/>
        <v>90.017946655114756</v>
      </c>
      <c r="J8" s="5" t="s">
        <v>22</v>
      </c>
      <c r="K8" s="2"/>
      <c r="L8" s="2"/>
      <c r="M8" s="2"/>
      <c r="N8" s="2"/>
      <c r="O8" s="23"/>
      <c r="P8" s="23"/>
      <c r="Q8" s="23"/>
      <c r="S8" s="149" t="s">
        <v>22</v>
      </c>
      <c r="T8" s="23"/>
      <c r="U8" s="23"/>
      <c r="V8" s="23"/>
      <c r="W8" s="23"/>
      <c r="Z8" s="176" t="s">
        <v>205</v>
      </c>
      <c r="AA8" t="s">
        <v>202</v>
      </c>
      <c r="AB8" s="48">
        <f>W11</f>
        <v>37.158313586149013</v>
      </c>
    </row>
    <row r="9" spans="1:28">
      <c r="A9" s="5" t="s">
        <v>25</v>
      </c>
      <c r="B9" s="2">
        <v>28.7104</v>
      </c>
      <c r="C9" s="2">
        <v>30.490400000000001</v>
      </c>
      <c r="D9" s="2">
        <v>30.348099999999999</v>
      </c>
      <c r="E9" s="2">
        <v>28.7727</v>
      </c>
      <c r="F9" s="23">
        <f t="shared" si="1"/>
        <v>92.005617977527962</v>
      </c>
      <c r="G9" s="23">
        <f t="shared" si="2"/>
        <v>3.8041155278744894</v>
      </c>
      <c r="H9" s="23">
        <f t="shared" si="3"/>
        <v>88.505617977527947</v>
      </c>
      <c r="J9" s="5" t="s">
        <v>25</v>
      </c>
      <c r="K9" s="2">
        <v>62.860300000000002</v>
      </c>
      <c r="L9" s="2">
        <v>131.9967</v>
      </c>
      <c r="M9" s="2">
        <v>64.123099999999994</v>
      </c>
      <c r="N9" s="2">
        <v>63.448900000000002</v>
      </c>
      <c r="O9" s="23">
        <f t="shared" si="4"/>
        <v>18.265342135257136</v>
      </c>
      <c r="P9" s="23">
        <f t="shared" si="5"/>
        <v>8.5136049895568711</v>
      </c>
      <c r="Q9" s="23">
        <f t="shared" si="6"/>
        <v>9.7517371457002646</v>
      </c>
      <c r="S9" s="149" t="s">
        <v>25</v>
      </c>
      <c r="T9" s="23">
        <f>V9*'Análisis proteínas'!AP59</f>
        <v>0.24858240000000006</v>
      </c>
      <c r="U9" s="23">
        <f t="shared" si="0"/>
        <v>2.0033968792126626</v>
      </c>
      <c r="V9" s="23">
        <f>Experimentos!L37/1000</f>
        <v>0.20544000000000001</v>
      </c>
      <c r="W9" s="23">
        <f t="shared" si="7"/>
        <v>12.408045683773514</v>
      </c>
      <c r="X9">
        <v>40</v>
      </c>
      <c r="Z9" s="176"/>
      <c r="AA9" t="s">
        <v>203</v>
      </c>
      <c r="AB9" s="48">
        <f>W13</f>
        <v>29.578715471986282</v>
      </c>
    </row>
    <row r="10" spans="1:28">
      <c r="A10" s="5" t="s">
        <v>27</v>
      </c>
      <c r="B10" s="2">
        <v>24.762599999999999</v>
      </c>
      <c r="C10" s="2">
        <v>27.517499999999998</v>
      </c>
      <c r="D10" s="2">
        <v>27.275300000000001</v>
      </c>
      <c r="E10" s="2">
        <v>24.865300000000001</v>
      </c>
      <c r="F10" s="23">
        <f t="shared" si="1"/>
        <v>91.208392319140557</v>
      </c>
      <c r="G10" s="23">
        <f t="shared" si="2"/>
        <v>4.0872368368687919</v>
      </c>
      <c r="H10" s="23">
        <f t="shared" si="3"/>
        <v>87.480489309956823</v>
      </c>
      <c r="J10" s="5" t="s">
        <v>27</v>
      </c>
      <c r="K10" s="2"/>
      <c r="L10" s="2"/>
      <c r="M10" s="2"/>
      <c r="N10" s="2"/>
      <c r="O10" s="23"/>
      <c r="P10" s="23"/>
      <c r="Q10" s="23"/>
      <c r="S10" s="149" t="s">
        <v>27</v>
      </c>
      <c r="T10" s="23"/>
      <c r="U10" s="23"/>
      <c r="V10" s="23"/>
      <c r="W10" s="23"/>
      <c r="Z10" s="176"/>
      <c r="AA10" t="s">
        <v>204</v>
      </c>
      <c r="AB10" s="48">
        <f>W15</f>
        <v>15.669051880469958</v>
      </c>
    </row>
    <row r="11" spans="1:28">
      <c r="A11" s="5" t="s">
        <v>29</v>
      </c>
      <c r="B11" s="2">
        <v>17.587499999999999</v>
      </c>
      <c r="C11" s="2">
        <v>19.634499999999999</v>
      </c>
      <c r="D11" s="2">
        <v>19.3872</v>
      </c>
      <c r="E11" s="2">
        <v>18.913</v>
      </c>
      <c r="F11" s="23">
        <f t="shared" si="1"/>
        <v>87.918905715681532</v>
      </c>
      <c r="G11" s="23">
        <f t="shared" si="2"/>
        <v>73.651164082902739</v>
      </c>
      <c r="H11" s="23">
        <f t="shared" si="3"/>
        <v>23.165608207132369</v>
      </c>
      <c r="J11" s="5" t="s">
        <v>29</v>
      </c>
      <c r="K11" s="2">
        <v>62.84</v>
      </c>
      <c r="L11" s="2">
        <v>132.4736</v>
      </c>
      <c r="M11" s="2">
        <v>75.739599999999996</v>
      </c>
      <c r="N11" s="2">
        <v>72.643799999999999</v>
      </c>
      <c r="O11" s="23">
        <f t="shared" si="4"/>
        <v>185.24964959444856</v>
      </c>
      <c r="P11" s="23">
        <f t="shared" si="5"/>
        <v>140.79122722363911</v>
      </c>
      <c r="Q11" s="23">
        <f t="shared" si="6"/>
        <v>44.458422370809451</v>
      </c>
      <c r="S11" s="149" t="s">
        <v>29</v>
      </c>
      <c r="T11" s="23">
        <f>V11*'Análisis proteínas'!AP60</f>
        <v>3.6066464000000003</v>
      </c>
      <c r="U11" s="23">
        <f t="shared" si="0"/>
        <v>9.7061627719951193</v>
      </c>
      <c r="V11" s="23">
        <f>Experimentos!L39/1000</f>
        <v>0.21831999999999999</v>
      </c>
      <c r="W11" s="23">
        <f t="shared" si="7"/>
        <v>37.158313586149013</v>
      </c>
      <c r="X11">
        <v>120</v>
      </c>
      <c r="Z11" s="176" t="s">
        <v>206</v>
      </c>
      <c r="AA11" t="s">
        <v>47</v>
      </c>
      <c r="AB11" s="48">
        <f>W21</f>
        <v>32.623953725490175</v>
      </c>
    </row>
    <row r="12" spans="1:28">
      <c r="A12" s="5" t="s">
        <v>33</v>
      </c>
      <c r="B12" s="2">
        <v>12.88</v>
      </c>
      <c r="C12" s="2">
        <v>14.488099999999999</v>
      </c>
      <c r="D12" s="2">
        <v>14.1967</v>
      </c>
      <c r="E12" s="2">
        <v>13.821999999999999</v>
      </c>
      <c r="F12" s="23">
        <f t="shared" si="1"/>
        <v>81.879236365897654</v>
      </c>
      <c r="G12" s="23">
        <f t="shared" si="2"/>
        <v>71.542492595124102</v>
      </c>
      <c r="H12" s="23">
        <f t="shared" si="3"/>
        <v>23.300789751881165</v>
      </c>
      <c r="J12" s="5" t="s">
        <v>33</v>
      </c>
      <c r="K12" s="2"/>
      <c r="L12" s="2"/>
      <c r="M12" s="2"/>
      <c r="N12" s="2"/>
      <c r="O12" s="23"/>
      <c r="P12" s="23"/>
      <c r="Q12" s="23"/>
      <c r="S12" s="149" t="s">
        <v>33</v>
      </c>
      <c r="T12" s="23"/>
      <c r="U12" s="23"/>
      <c r="V12" s="23"/>
      <c r="W12" s="23"/>
      <c r="Z12" s="176"/>
      <c r="AA12" t="s">
        <v>207</v>
      </c>
      <c r="AB12" s="48">
        <f>W23</f>
        <v>46.73249501992008</v>
      </c>
    </row>
    <row r="13" spans="1:28">
      <c r="A13" s="5" t="s">
        <v>35</v>
      </c>
      <c r="B13" s="2">
        <v>28.284400000000002</v>
      </c>
      <c r="C13" s="2">
        <v>30.2486</v>
      </c>
      <c r="D13" s="2">
        <v>30.0976</v>
      </c>
      <c r="E13" s="2">
        <v>29.336500000000001</v>
      </c>
      <c r="F13" s="23">
        <f t="shared" si="1"/>
        <v>92.312391813460962</v>
      </c>
      <c r="G13" s="23">
        <f t="shared" si="2"/>
        <v>58.024487094639333</v>
      </c>
      <c r="H13" s="23">
        <f t="shared" si="3"/>
        <v>38.748599938906409</v>
      </c>
      <c r="J13" s="5" t="s">
        <v>35</v>
      </c>
      <c r="K13" s="2">
        <v>65.831800000000001</v>
      </c>
      <c r="L13" s="2">
        <v>132.90889999999999</v>
      </c>
      <c r="M13" s="2">
        <v>75.8142</v>
      </c>
      <c r="N13" s="2">
        <v>73.718800000000002</v>
      </c>
      <c r="O13" s="23">
        <f t="shared" si="4"/>
        <v>148.81979095697338</v>
      </c>
      <c r="P13" s="23">
        <f t="shared" si="5"/>
        <v>117.58111188468197</v>
      </c>
      <c r="Q13" s="23">
        <f t="shared" si="6"/>
        <v>31.238679072291411</v>
      </c>
      <c r="S13" s="149" t="s">
        <v>35</v>
      </c>
      <c r="T13" s="23">
        <f>V13*'Análisis proteínas'!AP61</f>
        <v>2.0364960000000001</v>
      </c>
      <c r="U13" s="23">
        <f t="shared" si="0"/>
        <v>6.8850048675330271</v>
      </c>
      <c r="V13" s="23">
        <f>Experimentos!L41/1000</f>
        <v>0.22040000000000001</v>
      </c>
      <c r="W13" s="23">
        <f t="shared" si="7"/>
        <v>29.578715471986282</v>
      </c>
      <c r="X13">
        <v>40</v>
      </c>
      <c r="Z13" s="176"/>
      <c r="AA13" t="s">
        <v>208</v>
      </c>
      <c r="AB13" s="48">
        <f>W25</f>
        <v>31.324983647022385</v>
      </c>
    </row>
    <row r="14" spans="1:28">
      <c r="A14" s="5" t="s">
        <v>36</v>
      </c>
      <c r="B14" s="2">
        <v>29.456099999999999</v>
      </c>
      <c r="C14" s="2">
        <v>31.7926</v>
      </c>
      <c r="D14" s="2">
        <v>31.6661</v>
      </c>
      <c r="E14" s="2">
        <v>30.685099999999998</v>
      </c>
      <c r="F14" s="23">
        <f t="shared" si="1"/>
        <v>94.585919109779582</v>
      </c>
      <c r="G14" s="23">
        <f t="shared" si="2"/>
        <v>55.610859728506732</v>
      </c>
      <c r="H14" s="23">
        <f t="shared" si="3"/>
        <v>41.985876310721217</v>
      </c>
      <c r="J14" s="5" t="s">
        <v>36</v>
      </c>
      <c r="K14" s="2"/>
      <c r="L14" s="2"/>
      <c r="M14" s="2"/>
      <c r="N14" s="2"/>
      <c r="O14" s="23"/>
      <c r="P14" s="23"/>
      <c r="Q14" s="23"/>
      <c r="S14" s="149" t="s">
        <v>36</v>
      </c>
      <c r="T14" s="23"/>
      <c r="U14" s="23"/>
      <c r="V14" s="23"/>
      <c r="W14" s="23"/>
      <c r="Z14" s="176"/>
      <c r="AA14" t="s">
        <v>209</v>
      </c>
      <c r="AB14" s="48">
        <f>W27</f>
        <v>30.199255813953517</v>
      </c>
    </row>
    <row r="15" spans="1:28">
      <c r="A15" s="5" t="s">
        <v>39</v>
      </c>
      <c r="B15" s="2">
        <v>17.992999999999999</v>
      </c>
      <c r="C15" s="2">
        <v>19.5778</v>
      </c>
      <c r="D15" s="2">
        <v>19.476600000000001</v>
      </c>
      <c r="E15" s="2">
        <v>18.857600000000001</v>
      </c>
      <c r="F15" s="23">
        <f t="shared" si="1"/>
        <v>93.614336193841581</v>
      </c>
      <c r="G15" s="23">
        <f t="shared" si="2"/>
        <v>58.277163655972053</v>
      </c>
      <c r="H15" s="23">
        <f t="shared" si="3"/>
        <v>39.05855628470465</v>
      </c>
      <c r="J15" s="5" t="s">
        <v>39</v>
      </c>
      <c r="K15" s="2">
        <v>57.556699999999999</v>
      </c>
      <c r="L15" s="2">
        <v>124.923</v>
      </c>
      <c r="M15" s="2">
        <v>68.554699999999997</v>
      </c>
      <c r="N15" s="2">
        <v>66.018100000000004</v>
      </c>
      <c r="O15" s="23">
        <f t="shared" si="4"/>
        <v>163.25670253524387</v>
      </c>
      <c r="P15" s="23">
        <f t="shared" si="5"/>
        <v>125.60286077756989</v>
      </c>
      <c r="Q15" s="23">
        <f t="shared" si="6"/>
        <v>37.653841757673987</v>
      </c>
      <c r="S15" s="149" t="s">
        <v>39</v>
      </c>
      <c r="T15" s="23">
        <f>V15*'Análisis proteínas'!AP62</f>
        <v>1.1948679999999998</v>
      </c>
      <c r="U15" s="23">
        <f t="shared" si="0"/>
        <v>7.6256560327641365</v>
      </c>
      <c r="V15" s="23">
        <f>Experimentos!L43/1000</f>
        <v>0.20252000000000001</v>
      </c>
      <c r="W15" s="23">
        <f t="shared" si="7"/>
        <v>15.669051880469958</v>
      </c>
      <c r="X15">
        <v>60</v>
      </c>
      <c r="Z15" s="176"/>
      <c r="AA15" t="s">
        <v>210</v>
      </c>
      <c r="AB15" s="48">
        <f>W30</f>
        <v>46.01412340354964</v>
      </c>
    </row>
    <row r="16" spans="1:28">
      <c r="A16" s="5" t="s">
        <v>42</v>
      </c>
      <c r="B16" s="2">
        <v>17.500900000000001</v>
      </c>
      <c r="C16" s="2">
        <v>20.444099999999999</v>
      </c>
      <c r="D16" s="2">
        <v>20.168399999999998</v>
      </c>
      <c r="E16" s="2">
        <v>18.9771</v>
      </c>
      <c r="F16" s="23">
        <f t="shared" si="1"/>
        <v>90.63264474041857</v>
      </c>
      <c r="G16" s="23">
        <f t="shared" si="2"/>
        <v>55.34020618556702</v>
      </c>
      <c r="H16" s="23">
        <f t="shared" si="3"/>
        <v>40.476352269638468</v>
      </c>
      <c r="J16" s="5" t="s">
        <v>42</v>
      </c>
      <c r="K16" s="2"/>
      <c r="L16" s="2"/>
      <c r="M16" s="2"/>
      <c r="N16" s="2"/>
      <c r="O16" s="23"/>
      <c r="P16" s="23"/>
      <c r="Q16" s="23"/>
      <c r="S16" s="149" t="s">
        <v>42</v>
      </c>
      <c r="T16" s="23"/>
      <c r="U16" s="23"/>
      <c r="V16" s="23"/>
      <c r="W16" s="23"/>
      <c r="Z16" s="176"/>
      <c r="AA16" t="s">
        <v>211</v>
      </c>
      <c r="AB16" s="48">
        <f>W31</f>
        <v>33.939377930154748</v>
      </c>
    </row>
    <row r="17" spans="1:24">
      <c r="A17" s="5" t="s">
        <v>45</v>
      </c>
      <c r="B17" s="2">
        <v>28.355599999999999</v>
      </c>
      <c r="C17" s="2">
        <v>30.253499999999999</v>
      </c>
      <c r="D17" s="2">
        <v>30.2318</v>
      </c>
      <c r="E17" s="2">
        <v>28.6431</v>
      </c>
      <c r="F17" s="23">
        <f t="shared" si="1"/>
        <v>98.856631013225183</v>
      </c>
      <c r="G17" s="23">
        <f t="shared" si="2"/>
        <v>15.323526276516434</v>
      </c>
      <c r="H17" s="23">
        <f t="shared" si="3"/>
        <v>83.708309183834743</v>
      </c>
      <c r="J17" s="5" t="s">
        <v>45</v>
      </c>
      <c r="K17" s="2">
        <v>66.4315</v>
      </c>
      <c r="L17" s="2">
        <v>122.46169999999999</v>
      </c>
      <c r="M17" s="2">
        <v>67.347999999999999</v>
      </c>
      <c r="N17" s="2">
        <v>66.592100000000002</v>
      </c>
      <c r="O17" s="23">
        <f t="shared" si="4"/>
        <v>16.357250197215063</v>
      </c>
      <c r="P17" s="23">
        <f t="shared" si="5"/>
        <v>2.8663113820761374</v>
      </c>
      <c r="Q17" s="23">
        <f t="shared" si="6"/>
        <v>13.490938815138925</v>
      </c>
      <c r="S17" s="149" t="s">
        <v>45</v>
      </c>
      <c r="T17" s="23"/>
      <c r="U17" s="23"/>
      <c r="V17" s="23"/>
      <c r="W17" s="23"/>
    </row>
    <row r="18" spans="1:24">
      <c r="A18" s="5" t="s">
        <v>49</v>
      </c>
      <c r="B18" s="2">
        <v>28.495100000000001</v>
      </c>
      <c r="C18" s="2">
        <v>29.969200000000001</v>
      </c>
      <c r="D18" s="2">
        <v>29.956900000000001</v>
      </c>
      <c r="E18" s="2">
        <v>28.762699999999999</v>
      </c>
      <c r="F18" s="23">
        <f t="shared" si="1"/>
        <v>99.165592564954906</v>
      </c>
      <c r="G18" s="23">
        <f t="shared" si="2"/>
        <v>18.306197838281435</v>
      </c>
      <c r="H18" s="23">
        <f t="shared" si="3"/>
        <v>81.012143002510157</v>
      </c>
      <c r="J18" s="5" t="s">
        <v>49</v>
      </c>
      <c r="K18" s="2"/>
      <c r="L18" s="2"/>
      <c r="M18" s="2"/>
      <c r="N18" s="2"/>
      <c r="O18" s="23"/>
      <c r="P18" s="23"/>
      <c r="Q18" s="23"/>
      <c r="S18" s="149" t="s">
        <v>49</v>
      </c>
      <c r="T18" s="23"/>
      <c r="U18" s="23"/>
      <c r="V18" s="23"/>
      <c r="W18" s="23"/>
    </row>
    <row r="19" spans="1:24">
      <c r="A19" s="5" t="s">
        <v>50</v>
      </c>
      <c r="B19" s="2">
        <v>29.887699999999999</v>
      </c>
      <c r="C19" s="2">
        <v>31.7135</v>
      </c>
      <c r="D19" s="2">
        <v>31.7</v>
      </c>
      <c r="E19" s="2">
        <v>30.148399999999999</v>
      </c>
      <c r="F19" s="23">
        <f t="shared" si="1"/>
        <v>99.260598093986175</v>
      </c>
      <c r="G19" s="23">
        <f t="shared" si="2"/>
        <v>14.385035590134077</v>
      </c>
      <c r="H19" s="23">
        <f t="shared" si="3"/>
        <v>84.981925731186308</v>
      </c>
      <c r="J19" s="5" t="s">
        <v>50</v>
      </c>
      <c r="K19" s="2"/>
      <c r="L19" s="2"/>
      <c r="M19" s="2"/>
      <c r="N19" s="2"/>
      <c r="O19" s="23"/>
      <c r="P19" s="23"/>
      <c r="Q19" s="23"/>
      <c r="S19" s="149" t="s">
        <v>50</v>
      </c>
      <c r="T19" s="23"/>
      <c r="U19" s="23"/>
      <c r="V19" s="23"/>
      <c r="W19" s="23"/>
    </row>
    <row r="20" spans="1:24">
      <c r="A20" s="5" t="s">
        <v>53</v>
      </c>
      <c r="B20" s="2">
        <v>29.679600000000001</v>
      </c>
      <c r="C20" s="2">
        <v>31.659600000000001</v>
      </c>
      <c r="D20" s="2">
        <v>31.600899999999999</v>
      </c>
      <c r="E20" s="2">
        <v>30.0015</v>
      </c>
      <c r="F20" s="23">
        <f t="shared" si="1"/>
        <v>97.035353535353451</v>
      </c>
      <c r="G20" s="23">
        <f t="shared" si="2"/>
        <v>16.754280955602958</v>
      </c>
      <c r="H20" s="23">
        <f t="shared" si="3"/>
        <v>80.777777777777729</v>
      </c>
      <c r="J20" s="5" t="s">
        <v>53</v>
      </c>
      <c r="K20" s="2">
        <v>46.441800000000001</v>
      </c>
      <c r="L20" s="2">
        <v>95.433800000000005</v>
      </c>
      <c r="M20" s="2">
        <v>47.313299999999998</v>
      </c>
      <c r="N20" s="2">
        <v>46.591200000000001</v>
      </c>
      <c r="O20" s="23">
        <f t="shared" si="4"/>
        <v>17.788618549967289</v>
      </c>
      <c r="P20" s="23">
        <f t="shared" si="5"/>
        <v>3.0494774657086872</v>
      </c>
      <c r="Q20" s="23">
        <f t="shared" si="6"/>
        <v>14.739141084258602</v>
      </c>
      <c r="S20" s="149" t="s">
        <v>53</v>
      </c>
      <c r="T20" s="23"/>
      <c r="U20" s="23"/>
      <c r="V20" s="23"/>
      <c r="W20" s="23"/>
    </row>
    <row r="21" spans="1:24">
      <c r="A21" s="5" t="s">
        <v>54</v>
      </c>
      <c r="B21" s="2">
        <v>28.2059</v>
      </c>
      <c r="C21" s="2">
        <v>29.898499999999999</v>
      </c>
      <c r="D21" s="2">
        <v>29.882400000000001</v>
      </c>
      <c r="E21" s="2">
        <v>28.471800000000002</v>
      </c>
      <c r="F21" s="23">
        <f t="shared" si="1"/>
        <v>99.048800661704007</v>
      </c>
      <c r="G21" s="23">
        <f t="shared" si="2"/>
        <v>15.860423501342193</v>
      </c>
      <c r="H21" s="23">
        <f t="shared" si="3"/>
        <v>83.339241403757526</v>
      </c>
      <c r="J21" s="5" t="s">
        <v>54</v>
      </c>
      <c r="K21" s="2">
        <v>60.020499999999998</v>
      </c>
      <c r="L21" s="2">
        <v>126.22029999999999</v>
      </c>
      <c r="M21" s="2">
        <v>60.9512</v>
      </c>
      <c r="N21" s="2">
        <v>60.186199999999999</v>
      </c>
      <c r="O21" s="23">
        <f t="shared" si="4"/>
        <v>14.058954860890845</v>
      </c>
      <c r="P21" s="23">
        <f t="shared" si="5"/>
        <v>2.5030287100565438</v>
      </c>
      <c r="Q21" s="23">
        <f t="shared" si="6"/>
        <v>11.555926150834301</v>
      </c>
      <c r="S21" s="149" t="s">
        <v>54</v>
      </c>
      <c r="T21" s="23">
        <f>V21*'Análisis proteínas'!AP6</f>
        <v>0.78525330000000004</v>
      </c>
      <c r="U21" s="23">
        <f t="shared" si="0"/>
        <v>2.4069838579572767</v>
      </c>
      <c r="V21" s="23">
        <f>Experimentos!L49/1000</f>
        <v>0.20829</v>
      </c>
      <c r="W21" s="23">
        <f t="shared" si="7"/>
        <v>32.623953725490175</v>
      </c>
      <c r="X21" t="s">
        <v>212</v>
      </c>
    </row>
    <row r="22" spans="1:24">
      <c r="A22" s="5" t="s">
        <v>58</v>
      </c>
      <c r="B22" s="2">
        <v>27.326699999999999</v>
      </c>
      <c r="C22" s="2">
        <v>28.956800000000001</v>
      </c>
      <c r="D22" s="2">
        <v>28.942799999999998</v>
      </c>
      <c r="E22" s="2">
        <v>27.5931</v>
      </c>
      <c r="F22" s="23">
        <f t="shared" si="1"/>
        <v>99.14115698423393</v>
      </c>
      <c r="G22" s="23">
        <f t="shared" si="2"/>
        <v>16.4841284573975</v>
      </c>
      <c r="H22" s="23">
        <f t="shared" si="3"/>
        <v>82.798601312802688</v>
      </c>
      <c r="J22" s="5" t="s">
        <v>58</v>
      </c>
      <c r="K22" s="2"/>
      <c r="L22" s="2"/>
      <c r="M22" s="2"/>
      <c r="N22" s="2"/>
      <c r="O22" s="23"/>
      <c r="P22" s="23"/>
      <c r="Q22" s="23"/>
      <c r="S22" s="149" t="s">
        <v>58</v>
      </c>
      <c r="T22" s="23"/>
      <c r="U22" s="23"/>
      <c r="V22" s="23"/>
      <c r="W22" s="23"/>
    </row>
    <row r="23" spans="1:24">
      <c r="A23" s="8" t="s">
        <v>60</v>
      </c>
      <c r="B23" s="2">
        <v>12.881</v>
      </c>
      <c r="C23" s="2">
        <v>13.873799999999999</v>
      </c>
      <c r="D23" s="2">
        <v>13.8504</v>
      </c>
      <c r="E23" s="2">
        <v>13.0191</v>
      </c>
      <c r="F23" s="23">
        <f t="shared" ref="F23:F26" si="8">((D23-B23)/(C23-B23))*100</f>
        <v>97.643029814665709</v>
      </c>
      <c r="G23" s="23">
        <f t="shared" ref="G23:G26" si="9">((E23-B23)/(D23-B23))*100</f>
        <v>14.245925314627566</v>
      </c>
      <c r="H23" s="23">
        <f t="shared" si="3"/>
        <v>83.732876712328903</v>
      </c>
      <c r="J23" s="8" t="s">
        <v>60</v>
      </c>
      <c r="K23" s="2">
        <v>63.8673</v>
      </c>
      <c r="L23" s="2">
        <v>104.66679999999999</v>
      </c>
      <c r="M23" s="2">
        <v>64.674300000000002</v>
      </c>
      <c r="N23" s="2">
        <v>63.971499999999999</v>
      </c>
      <c r="O23" s="23">
        <f t="shared" si="4"/>
        <v>19.779654162428518</v>
      </c>
      <c r="P23" s="23">
        <f t="shared" si="5"/>
        <v>2.5539528670694196</v>
      </c>
      <c r="Q23" s="23">
        <f t="shared" si="6"/>
        <v>17.225701295359098</v>
      </c>
      <c r="S23" s="150" t="s">
        <v>60</v>
      </c>
      <c r="T23" s="23">
        <f>V23*'Análisis proteínas'!AP8</f>
        <v>1.7381559999999998</v>
      </c>
      <c r="U23" s="23">
        <f t="shared" si="0"/>
        <v>3.7193734236939364</v>
      </c>
      <c r="V23" s="23">
        <f>Experimentos!L51/1000</f>
        <v>0.21592</v>
      </c>
      <c r="W23" s="23">
        <f t="shared" si="7"/>
        <v>46.73249501992008</v>
      </c>
      <c r="X23" t="s">
        <v>213</v>
      </c>
    </row>
    <row r="24" spans="1:24">
      <c r="A24" s="8" t="s">
        <v>63</v>
      </c>
      <c r="B24" s="2">
        <v>17.501999999999999</v>
      </c>
      <c r="C24" s="2">
        <v>18.994700000000002</v>
      </c>
      <c r="D24" s="2">
        <v>18.963200000000001</v>
      </c>
      <c r="E24" s="2">
        <v>17.795500000000001</v>
      </c>
      <c r="F24" s="23">
        <f t="shared" si="8"/>
        <v>97.889730019427802</v>
      </c>
      <c r="G24" s="23">
        <f t="shared" si="9"/>
        <v>20.086230495483257</v>
      </c>
      <c r="H24" s="23">
        <f t="shared" si="3"/>
        <v>78.227373216319265</v>
      </c>
      <c r="J24" s="8" t="s">
        <v>63</v>
      </c>
      <c r="K24" s="2"/>
      <c r="L24" s="2"/>
      <c r="M24" s="2"/>
      <c r="N24" s="2"/>
      <c r="O24" s="23"/>
      <c r="P24" s="23"/>
      <c r="Q24" s="23"/>
      <c r="S24" s="150" t="s">
        <v>63</v>
      </c>
      <c r="T24" s="23"/>
      <c r="U24" s="23"/>
      <c r="V24" s="23"/>
      <c r="W24" s="23"/>
    </row>
    <row r="25" spans="1:24">
      <c r="A25" s="8" t="s">
        <v>65</v>
      </c>
      <c r="B25" s="2">
        <v>24.761600000000001</v>
      </c>
      <c r="C25" s="2">
        <v>25.960999999999999</v>
      </c>
      <c r="D25" s="2">
        <v>25.932500000000001</v>
      </c>
      <c r="E25" s="2">
        <v>24.9514</v>
      </c>
      <c r="F25" s="23">
        <f t="shared" si="8"/>
        <v>97.623811905953175</v>
      </c>
      <c r="G25" s="23">
        <f t="shared" si="9"/>
        <v>16.209753181313371</v>
      </c>
      <c r="H25" s="23">
        <f t="shared" si="3"/>
        <v>81.799232949808555</v>
      </c>
      <c r="J25" s="8" t="s">
        <v>65</v>
      </c>
      <c r="K25" s="2">
        <v>67.003600000000006</v>
      </c>
      <c r="L25" s="2">
        <v>128.1628</v>
      </c>
      <c r="M25" s="2">
        <v>67.785499999999999</v>
      </c>
      <c r="N25" s="2">
        <v>67.137299999999996</v>
      </c>
      <c r="O25" s="23">
        <f t="shared" si="4"/>
        <v>12.784666902117641</v>
      </c>
      <c r="P25" s="23">
        <f t="shared" si="5"/>
        <v>2.1860979214899867</v>
      </c>
      <c r="Q25" s="23">
        <f t="shared" si="6"/>
        <v>10.598568980627654</v>
      </c>
      <c r="S25" s="150" t="s">
        <v>65</v>
      </c>
      <c r="T25" s="23">
        <f>V25*'Análisis proteínas'!AP10</f>
        <v>0.54756759999999993</v>
      </c>
      <c r="U25" s="23">
        <f t="shared" si="0"/>
        <v>1.748021981974919</v>
      </c>
      <c r="V25" s="23">
        <f>Experimentos!L53/1000</f>
        <v>0.16492999999999999</v>
      </c>
      <c r="W25" s="23">
        <f t="shared" si="7"/>
        <v>31.324983647022385</v>
      </c>
      <c r="X25" t="s">
        <v>214</v>
      </c>
    </row>
    <row r="26" spans="1:24">
      <c r="A26" s="8" t="s">
        <v>67</v>
      </c>
      <c r="B26" s="2">
        <v>28.356100000000001</v>
      </c>
      <c r="C26" s="2">
        <v>30.545400000000001</v>
      </c>
      <c r="D26" s="2">
        <v>30.5152</v>
      </c>
      <c r="E26" s="2">
        <v>28.7029</v>
      </c>
      <c r="F26" s="23">
        <f t="shared" si="8"/>
        <v>98.62056365048187</v>
      </c>
      <c r="G26" s="23">
        <f t="shared" si="9"/>
        <v>16.062248158955047</v>
      </c>
      <c r="H26" s="23">
        <f t="shared" si="3"/>
        <v>82.779883981181243</v>
      </c>
      <c r="J26" s="8" t="s">
        <v>67</v>
      </c>
      <c r="K26" s="2"/>
      <c r="L26" s="2"/>
      <c r="M26" s="2"/>
      <c r="N26" s="2"/>
      <c r="O26" s="23"/>
      <c r="P26" s="23"/>
      <c r="Q26" s="23"/>
      <c r="S26" s="150" t="s">
        <v>67</v>
      </c>
      <c r="T26" s="23"/>
      <c r="U26" s="23"/>
      <c r="V26" s="23"/>
      <c r="W26" s="23"/>
    </row>
    <row r="27" spans="1:24">
      <c r="A27" s="8" t="s">
        <v>68</v>
      </c>
      <c r="B27" s="2">
        <v>24.762899999999998</v>
      </c>
      <c r="C27" s="2">
        <v>26.953299999999999</v>
      </c>
      <c r="D27" s="2">
        <v>26.9069</v>
      </c>
      <c r="E27" s="2">
        <v>25.137899999999998</v>
      </c>
      <c r="F27" s="23">
        <f t="shared" ref="F27:F32" si="10">((D27-B27)/(C27-B27))*100</f>
        <v>97.881665449233097</v>
      </c>
      <c r="G27" s="23">
        <f t="shared" ref="G27:G32" si="11">((E27-B27)/(D27-B27))*100</f>
        <v>17.490671641791028</v>
      </c>
      <c r="H27" s="23">
        <f t="shared" si="3"/>
        <v>80.76150474799131</v>
      </c>
      <c r="J27" s="8" t="s">
        <v>68</v>
      </c>
      <c r="K27" s="2">
        <v>66.404399999999995</v>
      </c>
      <c r="L27" s="2">
        <v>131.33279999999999</v>
      </c>
      <c r="M27" s="2">
        <v>67.329599999999999</v>
      </c>
      <c r="N27" s="2">
        <v>66.5685</v>
      </c>
      <c r="O27" s="23">
        <f t="shared" si="4"/>
        <v>14.249542573049757</v>
      </c>
      <c r="P27" s="23">
        <f t="shared" si="5"/>
        <v>2.5273994122757504</v>
      </c>
      <c r="Q27" s="23">
        <f t="shared" si="6"/>
        <v>11.722143160774007</v>
      </c>
      <c r="S27" s="150" t="s">
        <v>68</v>
      </c>
      <c r="T27" s="23">
        <f>V27*'Análisis proteínas'!AP12</f>
        <v>0.75147119999999978</v>
      </c>
      <c r="U27" s="23">
        <f t="shared" si="0"/>
        <v>2.488376550169106</v>
      </c>
      <c r="V27" s="23">
        <f>Experimentos!L55/1000</f>
        <v>0.21228</v>
      </c>
      <c r="W27" s="23">
        <f t="shared" si="7"/>
        <v>30.199255813953517</v>
      </c>
      <c r="X27" t="s">
        <v>215</v>
      </c>
    </row>
    <row r="28" spans="1:24">
      <c r="A28" s="8" t="s">
        <v>71</v>
      </c>
      <c r="B28" s="2">
        <v>28.357099999999999</v>
      </c>
      <c r="C28" s="2">
        <v>30.674299999999999</v>
      </c>
      <c r="D28" s="2">
        <v>30.622900000000001</v>
      </c>
      <c r="E28" s="2">
        <v>28.6797</v>
      </c>
      <c r="F28" s="23">
        <f t="shared" si="10"/>
        <v>97.78180562748156</v>
      </c>
      <c r="G28" s="23">
        <f t="shared" si="11"/>
        <v>14.237796804660649</v>
      </c>
      <c r="H28" s="23">
        <f t="shared" si="3"/>
        <v>83.859830830312504</v>
      </c>
      <c r="J28" s="8" t="s">
        <v>71</v>
      </c>
      <c r="K28" s="2"/>
      <c r="L28" s="2"/>
      <c r="M28" s="2"/>
      <c r="N28" s="2"/>
      <c r="O28" s="23"/>
      <c r="P28" s="23"/>
      <c r="Q28" s="23"/>
      <c r="S28" s="150" t="s">
        <v>71</v>
      </c>
      <c r="T28" s="23"/>
      <c r="U28" s="23"/>
      <c r="V28" s="23"/>
      <c r="W28" s="23"/>
    </row>
    <row r="29" spans="1:24">
      <c r="A29" s="8" t="s">
        <v>72</v>
      </c>
      <c r="B29" s="2">
        <v>28.206099999999999</v>
      </c>
      <c r="C29" s="2">
        <v>29.51</v>
      </c>
      <c r="D29" s="2">
        <v>29.480699999999999</v>
      </c>
      <c r="E29" s="2">
        <v>28.395700000000001</v>
      </c>
      <c r="F29" s="23">
        <f t="shared" si="10"/>
        <v>97.752895160671628</v>
      </c>
      <c r="G29" s="23">
        <f t="shared" si="11"/>
        <v>14.875254981955303</v>
      </c>
      <c r="H29" s="23">
        <f t="shared" si="3"/>
        <v>83.211902753278267</v>
      </c>
      <c r="J29" s="8" t="s">
        <v>72</v>
      </c>
      <c r="K29" s="2"/>
      <c r="L29" s="2"/>
      <c r="M29" s="2"/>
      <c r="N29" s="2"/>
      <c r="O29" s="23"/>
      <c r="P29" s="23"/>
      <c r="Q29" s="23"/>
      <c r="S29" s="150" t="s">
        <v>72</v>
      </c>
      <c r="T29" s="23"/>
      <c r="U29" s="23"/>
      <c r="V29" s="23"/>
      <c r="W29" s="23"/>
    </row>
    <row r="30" spans="1:24">
      <c r="A30" s="8" t="s">
        <v>73</v>
      </c>
      <c r="B30" s="2">
        <v>26.941299999999998</v>
      </c>
      <c r="C30" s="2">
        <v>28.486499999999999</v>
      </c>
      <c r="D30" s="2">
        <v>28.445900000000002</v>
      </c>
      <c r="E30" s="2">
        <v>27.191600000000001</v>
      </c>
      <c r="F30" s="23">
        <f t="shared" si="10"/>
        <v>97.372508413150555</v>
      </c>
      <c r="G30" s="23">
        <f t="shared" si="11"/>
        <v>16.635650671274909</v>
      </c>
      <c r="H30" s="23">
        <f t="shared" si="3"/>
        <v>81.173958063681056</v>
      </c>
      <c r="J30" s="8" t="s">
        <v>73</v>
      </c>
      <c r="K30" s="2">
        <v>49.4925</v>
      </c>
      <c r="L30" s="2">
        <v>111.1412</v>
      </c>
      <c r="M30" s="2">
        <v>50.8904</v>
      </c>
      <c r="N30" s="2">
        <v>49.684600000000003</v>
      </c>
      <c r="O30" s="23">
        <f t="shared" si="4"/>
        <v>22.675255114868602</v>
      </c>
      <c r="P30" s="23">
        <f t="shared" si="5"/>
        <v>3.1160429984736631</v>
      </c>
      <c r="Q30" s="23">
        <f t="shared" si="6"/>
        <v>19.559212116394939</v>
      </c>
      <c r="S30" s="150" t="s">
        <v>73</v>
      </c>
      <c r="T30" s="23">
        <f>V30*'Análisis proteínas'!AP14</f>
        <v>1.9494900000000002</v>
      </c>
      <c r="U30" s="23">
        <f t="shared" si="0"/>
        <v>4.2367209365323077</v>
      </c>
      <c r="V30" s="23">
        <f>Experimentos!L58/1000</f>
        <v>0.21661000000000002</v>
      </c>
      <c r="W30" s="23">
        <f t="shared" si="7"/>
        <v>46.01412340354964</v>
      </c>
      <c r="X30" t="s">
        <v>216</v>
      </c>
    </row>
    <row r="31" spans="1:24">
      <c r="A31" s="8" t="s">
        <v>74</v>
      </c>
      <c r="B31" s="2">
        <v>17.5015</v>
      </c>
      <c r="C31" s="2">
        <v>18.7239</v>
      </c>
      <c r="D31" s="2">
        <v>18.686599999999999</v>
      </c>
      <c r="E31" s="2">
        <v>17.679200000000002</v>
      </c>
      <c r="F31" s="23">
        <f t="shared" si="10"/>
        <v>96.948625654450097</v>
      </c>
      <c r="G31" s="23">
        <f t="shared" si="11"/>
        <v>14.99451523078236</v>
      </c>
      <c r="H31" s="23">
        <f t="shared" si="3"/>
        <v>82.411649214659406</v>
      </c>
      <c r="J31" s="8" t="s">
        <v>74</v>
      </c>
      <c r="K31" s="2">
        <v>50.913800000000002</v>
      </c>
      <c r="L31" s="2">
        <v>106.7757</v>
      </c>
      <c r="M31" s="2">
        <v>51.692900000000002</v>
      </c>
      <c r="N31" s="2">
        <v>51.065800000000003</v>
      </c>
      <c r="O31" s="23">
        <f t="shared" si="4"/>
        <v>13.94689403690171</v>
      </c>
      <c r="P31" s="23">
        <f t="shared" si="5"/>
        <v>2.7209958844937425</v>
      </c>
      <c r="Q31" s="23">
        <f t="shared" si="6"/>
        <v>11.225898152407968</v>
      </c>
      <c r="S31" s="150" t="s">
        <v>74</v>
      </c>
      <c r="T31" s="23">
        <f>V31*'Análisis proteínas'!AP16</f>
        <v>0.64316609999999996</v>
      </c>
      <c r="U31" s="23">
        <f t="shared" si="0"/>
        <v>1.8950438671079892</v>
      </c>
      <c r="V31" s="23">
        <f>Experimentos!L59/1000</f>
        <v>0.16881000000000002</v>
      </c>
      <c r="W31" s="23">
        <f t="shared" si="7"/>
        <v>33.939377930154748</v>
      </c>
      <c r="X31" t="s">
        <v>217</v>
      </c>
    </row>
    <row r="32" spans="1:24">
      <c r="A32" s="8" t="s">
        <v>75</v>
      </c>
      <c r="B32" s="2">
        <v>29.787299999999998</v>
      </c>
      <c r="C32" s="2">
        <v>31.399699999999999</v>
      </c>
      <c r="D32" s="2">
        <v>31.373999999999999</v>
      </c>
      <c r="E32" s="2">
        <v>30.037600000000001</v>
      </c>
      <c r="F32" s="23">
        <f t="shared" si="10"/>
        <v>98.406102704043633</v>
      </c>
      <c r="G32" s="23">
        <f t="shared" si="11"/>
        <v>15.774878679019524</v>
      </c>
      <c r="H32" s="23">
        <f t="shared" si="3"/>
        <v>82.882659389729398</v>
      </c>
      <c r="J32" s="8" t="s">
        <v>75</v>
      </c>
      <c r="K32" s="2"/>
      <c r="L32" s="2"/>
      <c r="M32" s="2"/>
      <c r="N32" s="2"/>
      <c r="O32" s="23"/>
      <c r="P32" s="23"/>
      <c r="Q32" s="23"/>
      <c r="S32" s="8" t="s">
        <v>75</v>
      </c>
      <c r="T32" s="17"/>
      <c r="U32" s="2"/>
      <c r="V32" s="2"/>
      <c r="W32" s="2"/>
    </row>
    <row r="33" spans="1:13">
      <c r="A33" s="8" t="s">
        <v>92</v>
      </c>
      <c r="B33" s="2">
        <v>29.787099999999999</v>
      </c>
      <c r="C33" s="2">
        <v>31.509</v>
      </c>
      <c r="D33" s="2">
        <v>31.471</v>
      </c>
      <c r="E33" s="2">
        <v>30.055700000000002</v>
      </c>
      <c r="F33" s="23">
        <f t="shared" ref="F33:F34" si="12">((D33-B33)/(C33-B33))*100</f>
        <v>97.793135489865833</v>
      </c>
      <c r="G33" s="23">
        <f t="shared" ref="G33:G34" si="13">((E33-B33)/(D33-B33))*100</f>
        <v>15.95106597778981</v>
      </c>
      <c r="H33" s="23">
        <f t="shared" si="3"/>
        <v>82.194087926127963</v>
      </c>
    </row>
    <row r="34" spans="1:13">
      <c r="A34" s="8" t="s">
        <v>93</v>
      </c>
      <c r="B34" s="2">
        <v>26.9392</v>
      </c>
      <c r="C34" s="2">
        <v>28.725200000000001</v>
      </c>
      <c r="D34" s="2">
        <v>28.6844</v>
      </c>
      <c r="E34" s="2">
        <v>27.189699999999998</v>
      </c>
      <c r="F34" s="23">
        <f t="shared" si="12"/>
        <v>97.715565509518427</v>
      </c>
      <c r="G34" s="23">
        <f t="shared" si="13"/>
        <v>14.353655741462227</v>
      </c>
      <c r="H34" s="23">
        <f t="shared" si="3"/>
        <v>83.689809630459152</v>
      </c>
      <c r="L34" t="s">
        <v>218</v>
      </c>
      <c r="M34">
        <f>Experimentos!D33*('Composición alga'!G20/100)</f>
        <v>10.196264411739206</v>
      </c>
    </row>
    <row r="37" spans="1:13">
      <c r="C37" s="142" t="s">
        <v>219</v>
      </c>
    </row>
    <row r="38" spans="1:13">
      <c r="C38" s="142" t="s">
        <v>220</v>
      </c>
    </row>
    <row r="39" spans="1:13">
      <c r="C39" s="142" t="s">
        <v>221</v>
      </c>
    </row>
    <row r="40" spans="1:13">
      <c r="C40" t="s">
        <v>222</v>
      </c>
    </row>
    <row r="42" spans="1:13">
      <c r="B42" t="s">
        <v>223</v>
      </c>
      <c r="C42" s="142" t="s">
        <v>224</v>
      </c>
      <c r="D42" t="s">
        <v>225</v>
      </c>
      <c r="E42" t="s">
        <v>226</v>
      </c>
      <c r="F42" t="s">
        <v>227</v>
      </c>
    </row>
    <row r="43" spans="1:13">
      <c r="B43">
        <f>Experimentos!D33*('Composición alga'!$G$20/100)</f>
        <v>10.196264411739206</v>
      </c>
      <c r="C43" s="48">
        <f>Experimentos!Q33*(H5/100)</f>
        <v>3.2801986639067024</v>
      </c>
      <c r="D43">
        <f>(Experimentos!R33/1000)*Q5</f>
        <v>8.0180824468490854</v>
      </c>
      <c r="E43" s="48">
        <f>C43+D43</f>
        <v>11.298281110755788</v>
      </c>
      <c r="F43">
        <f>(1-(E43/B43))*100</f>
        <v>-10.808043559048986</v>
      </c>
    </row>
    <row r="44" spans="1:13">
      <c r="B44">
        <f>Experimentos!D34*('Composición alga'!$G$20/100)</f>
        <v>10.090525373395243</v>
      </c>
      <c r="C44" s="48">
        <f>Experimentos!Q34*(H6/100)</f>
        <v>3.4379321681294561</v>
      </c>
      <c r="D44">
        <f>(Experimentos!R34/1000)*Q6</f>
        <v>0</v>
      </c>
      <c r="E44" s="48">
        <f t="shared" ref="E44:E70" si="14">C44+D44</f>
        <v>3.4379321681294561</v>
      </c>
    </row>
    <row r="45" spans="1:13">
      <c r="B45">
        <f>Experimentos!D35*('Composición alga'!$G$20/100)</f>
        <v>10.067867008035822</v>
      </c>
      <c r="C45" s="48">
        <f>Experimentos!Q35*(H7/100)</f>
        <v>7.0997894808698065</v>
      </c>
      <c r="D45">
        <f>(Experimentos!R35/1000)*Q7</f>
        <v>2.0908954988797395</v>
      </c>
      <c r="E45" s="48">
        <f t="shared" si="14"/>
        <v>9.1906849797495465</v>
      </c>
      <c r="F45">
        <f t="shared" ref="F45:F69" si="15">(1-(E45/B45))*100</f>
        <v>8.7126898635643499</v>
      </c>
    </row>
    <row r="46" spans="1:13">
      <c r="B46">
        <f>Experimentos!D36*('Composición alga'!$G$20/100)</f>
        <v>10.113183738754666</v>
      </c>
      <c r="C46" s="48">
        <f>Experimentos!Q36*(H8/100)</f>
        <v>7.5944022961290782</v>
      </c>
      <c r="D46">
        <f>(Experimentos!R36/1000)*Q8</f>
        <v>0</v>
      </c>
      <c r="E46" s="48">
        <f t="shared" si="14"/>
        <v>7.5944022961290782</v>
      </c>
    </row>
    <row r="47" spans="1:13">
      <c r="B47">
        <f>Experimentos!D37*('Composición alga'!$G$20/100)</f>
        <v>10.120736527207804</v>
      </c>
      <c r="C47" s="48">
        <f>Experimentos!Q37*(H9/100)</f>
        <v>8.0397606580153784</v>
      </c>
      <c r="D47">
        <f>(Experimentos!R37/1000)*Q9</f>
        <v>2.0033968792126626</v>
      </c>
      <c r="E47" s="48">
        <f t="shared" si="14"/>
        <v>10.043157537228041</v>
      </c>
      <c r="F47">
        <f t="shared" si="15"/>
        <v>0.76653502214196756</v>
      </c>
    </row>
    <row r="48" spans="1:13">
      <c r="B48">
        <f>Experimentos!D38*('Composición alga'!$G$20/100)</f>
        <v>10.052761431129543</v>
      </c>
      <c r="C48" s="48">
        <f>Experimentos!Q38*(H10/100)</f>
        <v>7.9250170548775714</v>
      </c>
      <c r="D48">
        <f>(Experimentos!R38/1000)*Q10</f>
        <v>0</v>
      </c>
      <c r="E48" s="48">
        <f t="shared" si="14"/>
        <v>7.9250170548775714</v>
      </c>
    </row>
    <row r="49" spans="2:6">
      <c r="B49">
        <f>Experimentos!D39*('Composición alga'!$G$20/100)</f>
        <v>10.135842104114085</v>
      </c>
      <c r="C49" s="48">
        <f>Experimentos!Q39*(H11/100)</f>
        <v>1.1865173617635774</v>
      </c>
      <c r="D49">
        <f>(Experimentos!R39/1000)*Q11</f>
        <v>9.7061627719951193</v>
      </c>
      <c r="E49" s="48">
        <f t="shared" si="14"/>
        <v>10.892680133758697</v>
      </c>
      <c r="F49">
        <f t="shared" si="15"/>
        <v>-7.46694770765437</v>
      </c>
    </row>
    <row r="50" spans="2:6">
      <c r="B50">
        <f>Experimentos!D40*('Composición alga'!$G$20/100)</f>
        <v>10.075419796488962</v>
      </c>
      <c r="C50" s="48">
        <f>Experimentos!Q40*(H12/100)</f>
        <v>1.1652389983423026</v>
      </c>
      <c r="D50">
        <f>(Experimentos!R40/1000)*Q12</f>
        <v>0</v>
      </c>
      <c r="E50" s="48">
        <f t="shared" si="14"/>
        <v>1.1652389983423026</v>
      </c>
    </row>
    <row r="51" spans="2:6">
      <c r="B51">
        <f>Experimentos!D41*('Composición alga'!$G$20/100)</f>
        <v>10.052761431129543</v>
      </c>
      <c r="C51" s="48">
        <f>Experimentos!Q41*(H13/100)</f>
        <v>3.8179925786059821</v>
      </c>
      <c r="D51">
        <f>(Experimentos!R41/1000)*Q13</f>
        <v>6.8850048675330271</v>
      </c>
      <c r="E51" s="48">
        <f t="shared" si="14"/>
        <v>10.702997446139008</v>
      </c>
      <c r="F51">
        <f t="shared" si="15"/>
        <v>-6.4682328280061929</v>
      </c>
    </row>
    <row r="52" spans="2:6">
      <c r="B52">
        <f>Experimentos!D42*('Composición alga'!$G$20/100)</f>
        <v>10.075419796488962</v>
      </c>
      <c r="C52" s="48">
        <f>Experimentos!Q42*(H14/100)</f>
        <v>4.22626812057685</v>
      </c>
      <c r="D52">
        <f>(Experimentos!R42/1000)*Q14</f>
        <v>0</v>
      </c>
      <c r="E52" s="48">
        <f t="shared" si="14"/>
        <v>4.22626812057685</v>
      </c>
    </row>
    <row r="53" spans="2:6">
      <c r="B53">
        <f>Experimentos!D43*('Composición alga'!$G$20/100)</f>
        <v>10.158500469473505</v>
      </c>
      <c r="C53" s="48">
        <f>Experimentos!Q43*(H15/100)</f>
        <v>4.7179055891201136</v>
      </c>
      <c r="D53">
        <f>(Experimentos!R43/1000)*Q15</f>
        <v>7.6256560327641365</v>
      </c>
      <c r="E53" s="48">
        <f t="shared" si="14"/>
        <v>12.34356162188425</v>
      </c>
      <c r="F53">
        <f t="shared" si="15"/>
        <v>-21.509682053733179</v>
      </c>
    </row>
    <row r="54" spans="2:6">
      <c r="B54">
        <f>Experimentos!D44*('Composición alga'!$G$20/100)</f>
        <v>10.052761431129543</v>
      </c>
      <c r="C54" s="48">
        <f>Experimentos!Q44*(H16/100)</f>
        <v>4.7410687034548369</v>
      </c>
      <c r="D54">
        <f>(Experimentos!R44/1000)*Q16</f>
        <v>0</v>
      </c>
      <c r="E54" s="48">
        <f t="shared" si="14"/>
        <v>4.7410687034548369</v>
      </c>
    </row>
    <row r="55" spans="2:6">
      <c r="B55">
        <f>Experimentos!D45*('Composición alga'!$G$20/100)</f>
        <v>10.090525373395243</v>
      </c>
      <c r="C55" s="48">
        <f>Experimentos!Q45*(H17/100)</f>
        <v>7.3627892956588816</v>
      </c>
      <c r="D55">
        <f>(Experimentos!R45/1000)*Q17</f>
        <v>2.8459135430535563</v>
      </c>
      <c r="E55" s="48">
        <f t="shared" si="14"/>
        <v>10.208702838712437</v>
      </c>
      <c r="F55">
        <f t="shared" si="15"/>
        <v>-1.1711725697532316</v>
      </c>
    </row>
    <row r="56" spans="2:6">
      <c r="B56">
        <f>Experimentos!D46*('Composición alga'!$G$20/100)</f>
        <v>10.098078161848383</v>
      </c>
      <c r="C56" s="48">
        <f>Experimentos!Q46*(H18/100)</f>
        <v>7.1527310435707303</v>
      </c>
      <c r="D56">
        <f>(Experimentos!R46/1000)*Q18</f>
        <v>0</v>
      </c>
      <c r="E56" s="48">
        <f t="shared" si="14"/>
        <v>7.1527310435707303</v>
      </c>
    </row>
    <row r="57" spans="2:6">
      <c r="B57">
        <f>Experimentos!D47*('Composición alga'!$G$20/100)</f>
        <v>10.052761431129543</v>
      </c>
      <c r="C57" s="48">
        <f>Experimentos!Q47*(H19/100)</f>
        <v>7.5828796195488657</v>
      </c>
      <c r="D57">
        <f>(Experimentos!R47/1000)*Q19</f>
        <v>0</v>
      </c>
      <c r="E57" s="48">
        <f t="shared" si="14"/>
        <v>7.5828796195488657</v>
      </c>
    </row>
    <row r="58" spans="2:6">
      <c r="B58">
        <f>Experimentos!D48*('Composición alga'!$G$20/100)</f>
        <v>10.052761431129543</v>
      </c>
      <c r="C58" s="48">
        <f>Experimentos!Q48*(H20/100)</f>
        <v>6.9045235187261387</v>
      </c>
      <c r="D58">
        <f>(Experimentos!R48/1000)*Q20</f>
        <v>2.8685316378184091</v>
      </c>
      <c r="E58" s="48">
        <f t="shared" si="14"/>
        <v>9.7730551565445474</v>
      </c>
      <c r="F58">
        <f t="shared" si="15"/>
        <v>2.7823824975976574</v>
      </c>
    </row>
    <row r="59" spans="2:6">
      <c r="B59">
        <f>Experimentos!D49*('Composición alga'!$G$20/100)</f>
        <v>10.166053257926647</v>
      </c>
      <c r="C59" s="48">
        <f>Experimentos!Q49*(H21/100)</f>
        <v>7.9214116115281046</v>
      </c>
      <c r="D59">
        <f>(Experimentos!R49/1000)*Q21</f>
        <v>2.4069838579572767</v>
      </c>
      <c r="E59" s="48">
        <f t="shared" si="14"/>
        <v>10.328395469485381</v>
      </c>
      <c r="F59">
        <f t="shared" si="15"/>
        <v>-1.5969049880016462</v>
      </c>
    </row>
    <row r="60" spans="2:6">
      <c r="B60">
        <f>Experimentos!D50*('Composición alga'!$G$20/100)</f>
        <v>10.135842104114085</v>
      </c>
      <c r="C60" s="48">
        <f>Experimentos!Q50*(H22/100)</f>
        <v>7.7824687884636932</v>
      </c>
      <c r="D60">
        <f>(Experimentos!R50/1000)*Q22</f>
        <v>0</v>
      </c>
      <c r="E60" s="48">
        <f t="shared" si="14"/>
        <v>7.7824687884636932</v>
      </c>
    </row>
    <row r="61" spans="2:6">
      <c r="B61">
        <f>Experimentos!D51*('Composición alga'!$G$20/100)</f>
        <v>10.105630950301524</v>
      </c>
      <c r="C61" s="48">
        <f>Experimentos!Q51*(H23/100)</f>
        <v>5.9602542656441626</v>
      </c>
      <c r="D61">
        <f>(Experimentos!R51/1000)*Q23</f>
        <v>3.7193734236939364</v>
      </c>
      <c r="E61" s="48">
        <f t="shared" si="14"/>
        <v>9.6796276893380995</v>
      </c>
      <c r="F61">
        <f t="shared" si="15"/>
        <v>4.2155038419517403</v>
      </c>
    </row>
    <row r="62" spans="2:6">
      <c r="B62">
        <f>Experimentos!D52*('Composición alga'!$G$20/100)</f>
        <v>10.120736527207804</v>
      </c>
      <c r="C62" s="48">
        <f>Experimentos!Q52*(H24/100)</f>
        <v>5.5671162349875685</v>
      </c>
      <c r="D62">
        <f>(Experimentos!R52/1000)*Q24</f>
        <v>0</v>
      </c>
      <c r="E62" s="48">
        <f t="shared" si="14"/>
        <v>5.5671162349875685</v>
      </c>
    </row>
    <row r="63" spans="2:6">
      <c r="B63">
        <f>Experimentos!D53*('Composición alga'!$G$20/100)</f>
        <v>8.0437197025942631</v>
      </c>
      <c r="C63" s="48">
        <f>Experimentos!Q53*(H25/100)</f>
        <v>7.1795710741626868</v>
      </c>
      <c r="D63">
        <f>(Experimentos!R53/1000)*Q25</f>
        <v>1.748021981974919</v>
      </c>
      <c r="E63" s="48">
        <f t="shared" si="14"/>
        <v>8.9275930561376065</v>
      </c>
      <c r="F63">
        <f t="shared" si="15"/>
        <v>-10.988365908104392</v>
      </c>
    </row>
    <row r="64" spans="2:6">
      <c r="B64">
        <f>Experimentos!D54*('Composición alga'!$G$20/100)</f>
        <v>8.0663780679536821</v>
      </c>
      <c r="C64" s="48">
        <f>Experimentos!Q54*(H26/100)</f>
        <v>7.6908699516683452</v>
      </c>
      <c r="D64">
        <f>(Experimentos!R54/1000)*Q26</f>
        <v>0</v>
      </c>
      <c r="E64" s="48">
        <f t="shared" si="14"/>
        <v>7.6908699516683452</v>
      </c>
    </row>
    <row r="65" spans="2:6">
      <c r="B65">
        <f>Experimentos!D55*('Composición alga'!$G$20/100)</f>
        <v>10.150947681020364</v>
      </c>
      <c r="C65" s="48">
        <f>Experimentos!Q55*(H27/100)</f>
        <v>7.5256272006513978</v>
      </c>
      <c r="D65">
        <f>(Experimentos!R55/1000)*Q27</f>
        <v>2.488376550169106</v>
      </c>
      <c r="E65" s="48">
        <f t="shared" si="14"/>
        <v>10.014003750820503</v>
      </c>
      <c r="F65">
        <f t="shared" si="15"/>
        <v>1.3490753228480368</v>
      </c>
    </row>
    <row r="66" spans="2:6">
      <c r="B66">
        <f>Experimentos!D56*('Composición alga'!$G$20/100)</f>
        <v>10.098078161848383</v>
      </c>
      <c r="C66" s="48">
        <f>Experimentos!Q56*(H28/100)</f>
        <v>7.7981673599711483</v>
      </c>
      <c r="D66">
        <f>(Experimentos!R56/1000)*Q28</f>
        <v>0</v>
      </c>
      <c r="E66" s="48">
        <f t="shared" si="14"/>
        <v>7.7981673599711483</v>
      </c>
    </row>
    <row r="67" spans="2:6">
      <c r="B67">
        <f>Experimentos!D57*('Composición alga'!$G$20/100)</f>
        <v>10.067867008035822</v>
      </c>
      <c r="C67" s="48">
        <f>Experimentos!Q57*(H29/100)</f>
        <v>6.0762506912530272</v>
      </c>
      <c r="D67">
        <f>(Experimentos!R57/1000)*Q29</f>
        <v>0</v>
      </c>
      <c r="E67" s="48">
        <f t="shared" si="14"/>
        <v>6.0762506912530272</v>
      </c>
    </row>
    <row r="68" spans="2:6">
      <c r="B68">
        <f>Experimentos!D58*('Composición alga'!$G$20/100)</f>
        <v>10.098078161848383</v>
      </c>
      <c r="C68" s="48">
        <f>Experimentos!Q58*(H30/100)</f>
        <v>5.9438921596923544</v>
      </c>
      <c r="D68">
        <f>(Experimentos!R58/1000)*Q30</f>
        <v>4.2367209365323077</v>
      </c>
      <c r="E68" s="48">
        <f t="shared" si="14"/>
        <v>10.180613096224661</v>
      </c>
      <c r="F68">
        <f t="shared" si="15"/>
        <v>-0.81733309104403684</v>
      </c>
    </row>
    <row r="69" spans="2:6">
      <c r="B69">
        <f>Experimentos!D59*('Composición alga'!$G$20/100)</f>
        <v>8.0512724910474027</v>
      </c>
      <c r="C69" s="48">
        <f>Experimentos!Q59*(H31/100)</f>
        <v>7.4948942479916933</v>
      </c>
      <c r="D69">
        <f>(Experimentos!R59/1000)*Q31</f>
        <v>1.8950438671079892</v>
      </c>
      <c r="E69" s="48">
        <f t="shared" si="14"/>
        <v>9.3899381150996817</v>
      </c>
      <c r="F69">
        <f t="shared" si="15"/>
        <v>-16.6267583855944</v>
      </c>
    </row>
    <row r="70" spans="2:6">
      <c r="B70">
        <f>Experimentos!D60*('Composición alga'!$G$20/100)</f>
        <v>8.0663780679536821</v>
      </c>
      <c r="C70" s="48">
        <f>Experimentos!Q60*(H32/100)</f>
        <v>7.38189527168689</v>
      </c>
      <c r="D70">
        <f>(Experimentos!R60/1000)*Q32</f>
        <v>0</v>
      </c>
      <c r="E70" s="48">
        <f t="shared" si="14"/>
        <v>7.38189527168689</v>
      </c>
    </row>
  </sheetData>
  <mergeCells count="6">
    <mergeCell ref="Z11:Z16"/>
    <mergeCell ref="B3:H3"/>
    <mergeCell ref="K3:Q3"/>
    <mergeCell ref="S3:W3"/>
    <mergeCell ref="Z5:Z7"/>
    <mergeCell ref="Z8:Z10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J64"/>
  <sheetViews>
    <sheetView workbookViewId="0"/>
  </sheetViews>
  <sheetFormatPr defaultColWidth="11.42578125" defaultRowHeight="15"/>
  <cols>
    <col min="1" max="1" width="12.42578125" bestFit="1" customWidth="1"/>
    <col min="3" max="3" width="13.28515625" style="27" bestFit="1" customWidth="1"/>
    <col min="5" max="5" width="13.140625" bestFit="1" customWidth="1"/>
    <col min="7" max="7" width="16.28515625" bestFit="1" customWidth="1"/>
  </cols>
  <sheetData>
    <row r="3" spans="1:9">
      <c r="B3" s="181" t="s">
        <v>100</v>
      </c>
      <c r="C3" s="181"/>
      <c r="D3" s="181"/>
      <c r="E3" s="181"/>
      <c r="F3" s="181"/>
      <c r="G3" s="181"/>
      <c r="H3" s="181"/>
      <c r="I3" s="181"/>
    </row>
    <row r="4" spans="1:9">
      <c r="A4" s="7" t="s">
        <v>0</v>
      </c>
      <c r="B4" s="7" t="s">
        <v>228</v>
      </c>
      <c r="C4" s="7" t="s">
        <v>229</v>
      </c>
      <c r="D4" s="7" t="s">
        <v>230</v>
      </c>
      <c r="E4" s="7" t="s">
        <v>231</v>
      </c>
      <c r="F4" s="7" t="s">
        <v>232</v>
      </c>
      <c r="G4" s="7" t="s">
        <v>233</v>
      </c>
      <c r="H4" s="7" t="s">
        <v>234</v>
      </c>
      <c r="I4" s="7" t="s">
        <v>235</v>
      </c>
    </row>
    <row r="5" spans="1:9">
      <c r="A5" s="196" t="s">
        <v>13</v>
      </c>
      <c r="B5" s="6" t="s">
        <v>236</v>
      </c>
      <c r="C5" s="90">
        <v>0.1045</v>
      </c>
      <c r="D5" s="91">
        <f>C5*('Análisis sólidos'!F5/100)</f>
        <v>9.6181648965290967E-2</v>
      </c>
      <c r="E5" s="90">
        <v>0.1101</v>
      </c>
      <c r="F5" s="90">
        <v>17.030999999999999</v>
      </c>
      <c r="G5" s="90">
        <v>17.061</v>
      </c>
      <c r="H5" s="89">
        <f>((G5-F5)/D5)*100</f>
        <v>31.190981151536739</v>
      </c>
      <c r="I5" s="197">
        <f>STDEV(H5:H8)</f>
        <v>2.405365097341039</v>
      </c>
    </row>
    <row r="6" spans="1:9">
      <c r="A6" s="196"/>
      <c r="B6" s="6" t="s">
        <v>237</v>
      </c>
      <c r="C6" s="90">
        <v>0.1016</v>
      </c>
      <c r="D6" s="91">
        <f>C6*('Análisis sólidos'!F5/100)</f>
        <v>9.3512493156684806E-2</v>
      </c>
      <c r="E6" s="90">
        <v>0.1071</v>
      </c>
      <c r="F6" s="90">
        <v>17.000399999999999</v>
      </c>
      <c r="G6" s="90">
        <v>17.033799999999999</v>
      </c>
      <c r="H6" s="89">
        <f t="shared" ref="H6:H48" si="0">((G6-F6)/D6)*100</f>
        <v>35.717152727429657</v>
      </c>
      <c r="I6" s="198"/>
    </row>
    <row r="7" spans="1:9">
      <c r="A7" s="196" t="s">
        <v>18</v>
      </c>
      <c r="B7" s="6" t="s">
        <v>236</v>
      </c>
      <c r="C7" s="90">
        <v>0.104</v>
      </c>
      <c r="D7" s="91">
        <f>C7*('Análisis sólidos'!F6/100)</f>
        <v>9.547126006365865E-2</v>
      </c>
      <c r="E7" s="90">
        <v>0.15809999999999999</v>
      </c>
      <c r="F7" s="90">
        <v>17.5535</v>
      </c>
      <c r="G7" s="90">
        <v>17.587399999999999</v>
      </c>
      <c r="H7" s="89">
        <f t="shared" si="0"/>
        <v>35.508068058801356</v>
      </c>
      <c r="I7" s="198"/>
    </row>
    <row r="8" spans="1:9">
      <c r="A8" s="196"/>
      <c r="B8" s="6" t="s">
        <v>237</v>
      </c>
      <c r="C8" s="87">
        <v>0.128</v>
      </c>
      <c r="D8" s="91">
        <f>C8*('Análisis sólidos'!F6/100)</f>
        <v>0.11750308930911835</v>
      </c>
      <c r="E8" s="87">
        <v>0.3528</v>
      </c>
      <c r="F8" s="90">
        <v>17.627500000000001</v>
      </c>
      <c r="G8" s="90">
        <v>17.6648</v>
      </c>
      <c r="H8" s="89">
        <f t="shared" si="0"/>
        <v>31.743846242095202</v>
      </c>
      <c r="I8" s="199"/>
    </row>
    <row r="9" spans="1:9">
      <c r="A9" s="196" t="s">
        <v>19</v>
      </c>
      <c r="B9" s="36" t="s">
        <v>236</v>
      </c>
      <c r="C9" s="92">
        <v>0.12920000000000001</v>
      </c>
      <c r="D9" s="93">
        <f>C9*('Análisis sólidos'!F7/100)</f>
        <v>0.10892360061139346</v>
      </c>
      <c r="E9" s="92">
        <v>0.12920000000000001</v>
      </c>
      <c r="F9" s="94">
        <v>17.3065</v>
      </c>
      <c r="G9" s="90">
        <v>17.3186</v>
      </c>
      <c r="H9" s="89">
        <f t="shared" si="0"/>
        <v>11.108703652911155</v>
      </c>
      <c r="I9" s="197">
        <f t="shared" ref="I9" si="1">STDEV(H9:H12)</f>
        <v>1.9250416035794795</v>
      </c>
    </row>
    <row r="10" spans="1:9">
      <c r="A10" s="196"/>
      <c r="B10" s="36" t="s">
        <v>237</v>
      </c>
      <c r="C10" s="92">
        <v>0.1124</v>
      </c>
      <c r="D10" s="93">
        <f>C10*('Análisis sólidos'!F7/100)</f>
        <v>9.4760160284215356E-2</v>
      </c>
      <c r="E10" s="92">
        <v>0.1232</v>
      </c>
      <c r="F10" s="94">
        <v>17.435400000000001</v>
      </c>
      <c r="G10" s="90">
        <v>17.450199999999999</v>
      </c>
      <c r="H10" s="89">
        <f t="shared" si="0"/>
        <v>15.618377971932143</v>
      </c>
      <c r="I10" s="198"/>
    </row>
    <row r="11" spans="1:9">
      <c r="A11" s="196" t="s">
        <v>22</v>
      </c>
      <c r="B11" s="36" t="s">
        <v>236</v>
      </c>
      <c r="C11" s="92">
        <v>0.10249999999999999</v>
      </c>
      <c r="D11" s="93">
        <f>C11*('Análisis sólidos'!F8/100)</f>
        <v>9.5281422117705211E-2</v>
      </c>
      <c r="E11" s="92">
        <v>0.1221</v>
      </c>
      <c r="F11" s="94">
        <v>17.728000000000002</v>
      </c>
      <c r="G11" s="90">
        <v>17.739599999999999</v>
      </c>
      <c r="H11" s="89">
        <f t="shared" si="0"/>
        <v>12.174461445031602</v>
      </c>
      <c r="I11" s="198"/>
    </row>
    <row r="12" spans="1:9">
      <c r="A12" s="196"/>
      <c r="B12" s="36" t="s">
        <v>237</v>
      </c>
      <c r="C12" s="92">
        <v>0.1244</v>
      </c>
      <c r="D12" s="93">
        <f>C12*('Análisis sólidos'!F8/100)</f>
        <v>0.11563911133114663</v>
      </c>
      <c r="E12" s="92">
        <v>0.1168</v>
      </c>
      <c r="F12" s="94">
        <v>17.816099999999999</v>
      </c>
      <c r="G12" s="90">
        <v>17.831199999999999</v>
      </c>
      <c r="H12" s="89">
        <f t="shared" si="0"/>
        <v>13.057865826000386</v>
      </c>
      <c r="I12" s="199"/>
    </row>
    <row r="13" spans="1:9">
      <c r="A13" s="196" t="s">
        <v>25</v>
      </c>
      <c r="B13" s="6" t="s">
        <v>236</v>
      </c>
      <c r="C13" s="88">
        <v>0.13189999999999999</v>
      </c>
      <c r="D13" s="91">
        <f>C13*('Análisis sólidos'!F9/100)</f>
        <v>0.12135541011235938</v>
      </c>
      <c r="E13" s="88">
        <v>0.1069</v>
      </c>
      <c r="F13" s="90">
        <v>17.4907</v>
      </c>
      <c r="G13" s="90">
        <v>17.508700000000001</v>
      </c>
      <c r="H13" s="89">
        <f t="shared" si="0"/>
        <v>14.832466046083164</v>
      </c>
      <c r="I13" s="197">
        <f t="shared" ref="I13" si="2">STDEV(H13:H16)</f>
        <v>1.9450109709159196</v>
      </c>
    </row>
    <row r="14" spans="1:9">
      <c r="A14" s="196"/>
      <c r="B14" s="6" t="s">
        <v>237</v>
      </c>
      <c r="C14" s="90">
        <v>0.10340000000000001</v>
      </c>
      <c r="D14" s="91">
        <f>C14*('Análisis sólidos'!F9/100)</f>
        <v>9.5133808988763918E-2</v>
      </c>
      <c r="E14" s="90">
        <v>0.108</v>
      </c>
      <c r="F14" s="90">
        <v>17.007400000000001</v>
      </c>
      <c r="G14" s="90">
        <v>17.020499999999998</v>
      </c>
      <c r="H14" s="89">
        <f t="shared" si="0"/>
        <v>13.77007831311065</v>
      </c>
      <c r="I14" s="198"/>
    </row>
    <row r="15" spans="1:9">
      <c r="A15" s="196" t="s">
        <v>27</v>
      </c>
      <c r="B15" s="6" t="s">
        <v>236</v>
      </c>
      <c r="C15" s="90">
        <v>0.126</v>
      </c>
      <c r="D15" s="91">
        <f>C15*('Análisis sólidos'!F10/100)</f>
        <v>0.1149225743221171</v>
      </c>
      <c r="E15" s="90">
        <v>0.13450000000000001</v>
      </c>
      <c r="F15" s="90">
        <v>16.992999999999999</v>
      </c>
      <c r="G15" s="90">
        <v>17.013999999999999</v>
      </c>
      <c r="H15" s="89">
        <f t="shared" si="0"/>
        <v>18.273172284793919</v>
      </c>
      <c r="I15" s="198"/>
    </row>
    <row r="16" spans="1:9">
      <c r="A16" s="196"/>
      <c r="B16" s="6" t="s">
        <v>237</v>
      </c>
      <c r="C16" s="87">
        <v>0.1399</v>
      </c>
      <c r="D16" s="91">
        <f>C16*('Análisis sólidos'!F10/100)</f>
        <v>0.12760054085447764</v>
      </c>
      <c r="E16" s="87">
        <v>0.1089</v>
      </c>
      <c r="F16" s="87">
        <v>17.247</v>
      </c>
      <c r="G16" s="90">
        <v>17.267700000000001</v>
      </c>
      <c r="H16" s="89">
        <f t="shared" si="0"/>
        <v>16.222501771061349</v>
      </c>
      <c r="I16" s="199"/>
    </row>
    <row r="17" spans="1:9">
      <c r="A17" s="196" t="s">
        <v>29</v>
      </c>
      <c r="B17" s="36" t="s">
        <v>236</v>
      </c>
      <c r="C17" s="92">
        <v>0.13850000000000001</v>
      </c>
      <c r="D17" s="93">
        <f>C17*('Análisis sólidos'!F11/100)</f>
        <v>0.12176768441621892</v>
      </c>
      <c r="E17" s="92">
        <v>0.1026</v>
      </c>
      <c r="F17" s="92">
        <v>17.246300000000002</v>
      </c>
      <c r="G17" s="94">
        <v>17.252300000000002</v>
      </c>
      <c r="H17" s="89">
        <f t="shared" si="0"/>
        <v>4.9274157004508607</v>
      </c>
      <c r="I17" s="197">
        <f t="shared" ref="I17" si="3">STDEV(H17:H20)</f>
        <v>2.5016608206728397</v>
      </c>
    </row>
    <row r="18" spans="1:9">
      <c r="A18" s="196"/>
      <c r="B18" s="36" t="s">
        <v>237</v>
      </c>
      <c r="C18" s="92">
        <v>0.113</v>
      </c>
      <c r="D18" s="93">
        <f>C18*('Análisis sólidos'!F11/100)</f>
        <v>9.9348363458720126E-2</v>
      </c>
      <c r="E18" s="92">
        <v>0.10349999999999999</v>
      </c>
      <c r="F18" s="92">
        <v>17.006399999999999</v>
      </c>
      <c r="G18" s="94">
        <v>17.013200000000001</v>
      </c>
      <c r="H18" s="89">
        <f t="shared" si="0"/>
        <v>6.8446019272651215</v>
      </c>
      <c r="I18" s="198"/>
    </row>
    <row r="19" spans="1:9">
      <c r="A19" s="196" t="s">
        <v>33</v>
      </c>
      <c r="B19" s="36" t="s">
        <v>236</v>
      </c>
      <c r="C19" s="95">
        <v>0.1174</v>
      </c>
      <c r="D19" s="96">
        <f>C19*('Análisis sólidos'!F12/100)</f>
        <v>9.6126223493563853E-2</v>
      </c>
      <c r="E19" s="95">
        <v>0.13370000000000001</v>
      </c>
      <c r="F19" s="95">
        <v>17.627400000000002</v>
      </c>
      <c r="G19" s="97">
        <v>17.637899999999998</v>
      </c>
      <c r="H19" s="86">
        <f t="shared" si="0"/>
        <v>10.923137951736837</v>
      </c>
      <c r="I19" s="198"/>
    </row>
    <row r="20" spans="1:9">
      <c r="A20" s="196"/>
      <c r="B20" s="36" t="s">
        <v>237</v>
      </c>
      <c r="C20" s="92">
        <v>0.11840000000000001</v>
      </c>
      <c r="D20" s="93">
        <f>C20*('Análisis sólidos'!F12/100)</f>
        <v>9.694501585722283E-2</v>
      </c>
      <c r="E20" s="92">
        <v>0.13389999999999999</v>
      </c>
      <c r="F20" s="92">
        <v>17.000299999999999</v>
      </c>
      <c r="G20" s="94">
        <v>17.0078</v>
      </c>
      <c r="H20" s="89">
        <f t="shared" si="0"/>
        <v>7.7363440850285876</v>
      </c>
      <c r="I20" s="199"/>
    </row>
    <row r="21" spans="1:9">
      <c r="A21" s="196" t="s">
        <v>35</v>
      </c>
      <c r="B21" s="36" t="s">
        <v>236</v>
      </c>
      <c r="C21" s="92">
        <v>0.1197</v>
      </c>
      <c r="D21" s="93">
        <f>C21*('Análisis sólidos'!F13/100)</f>
        <v>0.11049793300071277</v>
      </c>
      <c r="E21" s="92">
        <v>0.1178</v>
      </c>
      <c r="F21" s="92">
        <v>16.992100000000001</v>
      </c>
      <c r="G21" s="94">
        <v>17.0001</v>
      </c>
      <c r="H21" s="89">
        <f t="shared" si="0"/>
        <v>7.239954434213276</v>
      </c>
      <c r="I21" s="197">
        <f t="shared" ref="I21" si="4">STDEV(H21:H24)</f>
        <v>4.082822727498403</v>
      </c>
    </row>
    <row r="22" spans="1:9">
      <c r="A22" s="196"/>
      <c r="B22" s="36" t="s">
        <v>237</v>
      </c>
      <c r="C22" s="98">
        <v>0.11169999999999999</v>
      </c>
      <c r="D22" s="99">
        <f>C22*('Análisis sólidos'!F13/100)</f>
        <v>0.10311294165563588</v>
      </c>
      <c r="E22" s="98">
        <v>0.12039999999999999</v>
      </c>
      <c r="F22" s="98">
        <v>17.552800000000001</v>
      </c>
      <c r="G22" s="100">
        <v>17.562799999999999</v>
      </c>
      <c r="H22" s="89">
        <f t="shared" si="0"/>
        <v>9.6981036904124025</v>
      </c>
      <c r="I22" s="198"/>
    </row>
    <row r="23" spans="1:9">
      <c r="A23" s="196" t="s">
        <v>36</v>
      </c>
      <c r="B23" s="36" t="s">
        <v>236</v>
      </c>
      <c r="C23" s="92">
        <v>0.1089</v>
      </c>
      <c r="D23" s="91">
        <f>C23*('Análisis sólidos'!F14/100)</f>
        <v>0.10300406591054996</v>
      </c>
      <c r="E23" s="101">
        <v>0.12559999999999999</v>
      </c>
      <c r="F23" s="92">
        <v>17.388999999999999</v>
      </c>
      <c r="G23" s="92">
        <v>17.395900000000001</v>
      </c>
      <c r="H23" s="102">
        <f t="shared" si="0"/>
        <v>6.6987646934187337</v>
      </c>
      <c r="I23" s="198"/>
    </row>
    <row r="24" spans="1:9">
      <c r="A24" s="196"/>
      <c r="B24" s="36" t="s">
        <v>237</v>
      </c>
      <c r="C24" s="95">
        <v>0.109</v>
      </c>
      <c r="D24" s="103">
        <f>C24*('Análisis sólidos'!F14/100)</f>
        <v>0.10309865182965974</v>
      </c>
      <c r="E24" s="104">
        <v>0.12470000000000001</v>
      </c>
      <c r="F24" s="95">
        <v>17.473299999999998</v>
      </c>
      <c r="G24" s="95">
        <v>17.4894</v>
      </c>
      <c r="H24" s="105">
        <f t="shared" si="0"/>
        <v>15.616111088049998</v>
      </c>
      <c r="I24" s="199"/>
    </row>
    <row r="25" spans="1:9">
      <c r="A25" s="196" t="s">
        <v>39</v>
      </c>
      <c r="B25" s="36" t="s">
        <v>236</v>
      </c>
      <c r="C25" s="95">
        <v>0.11269999999999999</v>
      </c>
      <c r="D25" s="103">
        <f>C25*('Análisis sólidos'!F15/100)</f>
        <v>0.10550335689045946</v>
      </c>
      <c r="E25" s="104">
        <v>0.10680000000000001</v>
      </c>
      <c r="F25" s="95">
        <v>17.375599999999999</v>
      </c>
      <c r="G25" s="95">
        <v>17.381399999999999</v>
      </c>
      <c r="H25" s="105">
        <f t="shared" si="0"/>
        <v>5.4974554089521872</v>
      </c>
      <c r="I25" s="197">
        <f t="shared" ref="I25" si="5">STDEV(H25:H28)</f>
        <v>4.8318221410395656</v>
      </c>
    </row>
    <row r="26" spans="1:9">
      <c r="A26" s="196"/>
      <c r="B26" s="36" t="s">
        <v>237</v>
      </c>
      <c r="C26" s="92">
        <v>0.11169999999999999</v>
      </c>
      <c r="D26" s="91">
        <f>C26*('Análisis sólidos'!F15/100)</f>
        <v>0.10456721352852104</v>
      </c>
      <c r="E26" s="101">
        <v>0.1183</v>
      </c>
      <c r="F26" s="92">
        <v>17.124199999999998</v>
      </c>
      <c r="G26" s="92">
        <v>17.139600000000002</v>
      </c>
      <c r="H26" s="102">
        <f t="shared" si="0"/>
        <v>14.727369583968869</v>
      </c>
      <c r="I26" s="198"/>
    </row>
    <row r="27" spans="1:9">
      <c r="A27" s="196" t="s">
        <v>42</v>
      </c>
      <c r="B27" s="36" t="s">
        <v>236</v>
      </c>
      <c r="C27" s="95">
        <v>0.11799999999999999</v>
      </c>
      <c r="D27" s="103">
        <f>C27*('Análisis sólidos'!F16/100)</f>
        <v>0.10694652079369391</v>
      </c>
      <c r="E27" s="104">
        <v>0.1013</v>
      </c>
      <c r="F27" s="95">
        <v>17.267099999999999</v>
      </c>
      <c r="G27" s="95">
        <v>17.276599999999998</v>
      </c>
      <c r="H27" s="105">
        <f t="shared" si="0"/>
        <v>8.8829444188513929</v>
      </c>
      <c r="I27" s="198"/>
    </row>
    <row r="28" spans="1:9">
      <c r="A28" s="196"/>
      <c r="B28" s="36" t="s">
        <v>237</v>
      </c>
      <c r="C28" s="92">
        <v>0.1157</v>
      </c>
      <c r="D28" s="91">
        <f>C28*('Análisis sólidos'!F16/100)</f>
        <v>0.10486196996466428</v>
      </c>
      <c r="E28" s="101">
        <v>0.1061</v>
      </c>
      <c r="F28" s="92">
        <v>17.331399999999999</v>
      </c>
      <c r="G28" s="92">
        <v>17.347799999999999</v>
      </c>
      <c r="H28" s="102">
        <f t="shared" si="0"/>
        <v>15.639607004834286</v>
      </c>
      <c r="I28" s="199"/>
    </row>
    <row r="29" spans="1:9">
      <c r="A29" s="196" t="s">
        <v>45</v>
      </c>
      <c r="B29" s="36" t="s">
        <v>236</v>
      </c>
      <c r="C29" s="92">
        <v>0.1158</v>
      </c>
      <c r="D29" s="91">
        <f>C29*('Análisis sólidos'!F17/100)</f>
        <v>0.11447597871331476</v>
      </c>
      <c r="E29" s="101">
        <v>0.11609999999999999</v>
      </c>
      <c r="F29" s="92">
        <v>17.549399999999999</v>
      </c>
      <c r="G29" s="92">
        <v>17.564599999999999</v>
      </c>
      <c r="H29" s="102">
        <f t="shared" si="0"/>
        <v>13.277894778314906</v>
      </c>
      <c r="I29" s="197">
        <f t="shared" ref="I29" si="6">STDEV(H29:H32)</f>
        <v>3.1806323074861322</v>
      </c>
    </row>
    <row r="30" spans="1:9">
      <c r="A30" s="196"/>
      <c r="B30" s="36" t="s">
        <v>237</v>
      </c>
      <c r="C30" s="92">
        <v>0.10580000000000001</v>
      </c>
      <c r="D30" s="91">
        <f>C30*('Análisis sólidos'!F17/100)</f>
        <v>0.10459031561199225</v>
      </c>
      <c r="E30" s="101">
        <v>0.1045</v>
      </c>
      <c r="F30" s="92">
        <v>16.9894</v>
      </c>
      <c r="G30" s="92">
        <v>17.001000000000001</v>
      </c>
      <c r="H30" s="102">
        <f t="shared" si="0"/>
        <v>11.090893006800851</v>
      </c>
      <c r="I30" s="198"/>
    </row>
    <row r="31" spans="1:9">
      <c r="A31" s="196" t="s">
        <v>49</v>
      </c>
      <c r="B31" s="36" t="s">
        <v>236</v>
      </c>
      <c r="C31" s="95">
        <v>0.1191</v>
      </c>
      <c r="D31" s="103">
        <f>C31*('Análisis sólidos'!F18/100)</f>
        <v>0.1181062207448613</v>
      </c>
      <c r="E31" s="104">
        <v>0.1066</v>
      </c>
      <c r="F31" s="95">
        <v>17.0273</v>
      </c>
      <c r="G31" s="95">
        <v>17.047899999999998</v>
      </c>
      <c r="H31" s="105">
        <f t="shared" si="0"/>
        <v>17.441926318596952</v>
      </c>
      <c r="I31" s="198"/>
    </row>
    <row r="32" spans="1:9">
      <c r="A32" s="196"/>
      <c r="B32" s="36" t="s">
        <v>237</v>
      </c>
      <c r="C32" s="92">
        <v>0.105</v>
      </c>
      <c r="D32" s="91">
        <f>C32*('Análisis sólidos'!F18/100)</f>
        <v>0.10412387219320265</v>
      </c>
      <c r="E32" s="101">
        <v>0.1095</v>
      </c>
      <c r="F32" s="92">
        <v>17.244</v>
      </c>
      <c r="G32" s="92">
        <v>17.254799999999999</v>
      </c>
      <c r="H32" s="102">
        <f t="shared" si="0"/>
        <v>10.372261204385691</v>
      </c>
      <c r="I32" s="199"/>
    </row>
    <row r="33" spans="1:9">
      <c r="A33" s="196" t="s">
        <v>50</v>
      </c>
      <c r="B33" s="36" t="s">
        <v>236</v>
      </c>
      <c r="C33" s="92">
        <v>0.1008</v>
      </c>
      <c r="D33" s="91">
        <f>C33*('Análisis sólidos'!F19/100)</f>
        <v>0.10005468287873806</v>
      </c>
      <c r="E33" s="101">
        <v>0.12230000000000001</v>
      </c>
      <c r="F33" s="92">
        <v>17.6252</v>
      </c>
      <c r="G33" s="92">
        <v>17.638999999999999</v>
      </c>
      <c r="H33" s="102">
        <f t="shared" si="0"/>
        <v>13.792457886978479</v>
      </c>
      <c r="I33" s="197">
        <f t="shared" ref="I33" si="7">STDEV(H33:H36)</f>
        <v>2.3465861239816599</v>
      </c>
    </row>
    <row r="34" spans="1:9">
      <c r="A34" s="196"/>
      <c r="B34" s="36" t="s">
        <v>237</v>
      </c>
      <c r="C34" s="92">
        <v>0.1187</v>
      </c>
      <c r="D34" s="91">
        <f>C34*('Análisis sólidos'!F19/100)</f>
        <v>0.11782232993756159</v>
      </c>
      <c r="E34" s="101">
        <v>0.1273</v>
      </c>
      <c r="F34" s="92">
        <v>16.9984</v>
      </c>
      <c r="G34" s="92">
        <v>17.015699999999999</v>
      </c>
      <c r="H34" s="102">
        <f t="shared" si="0"/>
        <v>14.6831250147291</v>
      </c>
      <c r="I34" s="198"/>
    </row>
    <row r="35" spans="1:9">
      <c r="A35" s="196" t="s">
        <v>53</v>
      </c>
      <c r="B35" s="36" t="s">
        <v>236</v>
      </c>
      <c r="C35" s="95">
        <v>0.1174</v>
      </c>
      <c r="D35" s="103">
        <f>C35*('Análisis sólidos'!F20/100)</f>
        <v>0.11391950505050495</v>
      </c>
      <c r="E35" s="104">
        <v>0.1018</v>
      </c>
      <c r="F35" s="95">
        <v>17.0505</v>
      </c>
      <c r="G35" s="106">
        <v>17.061199999999999</v>
      </c>
      <c r="H35" s="105">
        <f t="shared" si="0"/>
        <v>9.3925969878961517</v>
      </c>
      <c r="I35" s="198"/>
    </row>
    <row r="36" spans="1:9">
      <c r="A36" s="196"/>
      <c r="B36" s="36" t="s">
        <v>237</v>
      </c>
      <c r="C36" s="92">
        <v>0.1028</v>
      </c>
      <c r="D36" s="91">
        <f>C36*('Análisis sólidos'!F20/100)</f>
        <v>9.9752343434343346E-2</v>
      </c>
      <c r="E36" s="101">
        <v>0.1258</v>
      </c>
      <c r="F36" s="92">
        <v>17.1553</v>
      </c>
      <c r="G36" s="90">
        <v>17.167100000000001</v>
      </c>
      <c r="H36" s="102">
        <f t="shared" si="0"/>
        <v>11.829296028285933</v>
      </c>
      <c r="I36" s="199"/>
    </row>
    <row r="37" spans="1:9">
      <c r="A37" s="196" t="s">
        <v>54</v>
      </c>
      <c r="B37" s="36" t="s">
        <v>236</v>
      </c>
      <c r="C37" s="92">
        <v>0.1028</v>
      </c>
      <c r="D37" s="91">
        <f>C37*('Análisis sólidos'!F21/100)</f>
        <v>0.10182216708023172</v>
      </c>
      <c r="E37" s="101">
        <v>0.11070000000000001</v>
      </c>
      <c r="F37" s="92">
        <v>17.264399999999998</v>
      </c>
      <c r="G37" s="90">
        <v>17.275200000000002</v>
      </c>
      <c r="H37" s="102">
        <f t="shared" si="0"/>
        <v>10.606727699571834</v>
      </c>
      <c r="I37" s="197">
        <f t="shared" ref="I37" si="8">STDEV(H37:H40)</f>
        <v>1.270489077752371</v>
      </c>
    </row>
    <row r="38" spans="1:9">
      <c r="A38" s="196"/>
      <c r="B38" s="36" t="s">
        <v>237</v>
      </c>
      <c r="C38" s="92">
        <v>0.1003</v>
      </c>
      <c r="D38" s="91">
        <f>C38*('Análisis sólidos'!F21/100)</f>
        <v>9.9345947063689113E-2</v>
      </c>
      <c r="E38" s="101">
        <v>0.12429999999999999</v>
      </c>
      <c r="F38" s="92">
        <v>17.1982</v>
      </c>
      <c r="G38" s="90">
        <v>17.2072</v>
      </c>
      <c r="H38" s="102">
        <f t="shared" si="0"/>
        <v>9.0592523057136738</v>
      </c>
      <c r="I38" s="198"/>
    </row>
    <row r="39" spans="1:9">
      <c r="A39" s="196" t="s">
        <v>58</v>
      </c>
      <c r="B39" s="36" t="s">
        <v>236</v>
      </c>
      <c r="C39" s="92">
        <v>0.1072</v>
      </c>
      <c r="D39" s="91">
        <f>C39*('Análisis sólidos'!F22/100)</f>
        <v>0.10627932028709879</v>
      </c>
      <c r="E39" s="101">
        <v>0.1285</v>
      </c>
      <c r="F39" s="92">
        <v>17.282399999999999</v>
      </c>
      <c r="G39" s="90">
        <v>17.293399999999998</v>
      </c>
      <c r="H39" s="102">
        <f t="shared" si="0"/>
        <v>10.350085012102321</v>
      </c>
      <c r="I39" s="198"/>
    </row>
    <row r="40" spans="1:9">
      <c r="A40" s="196"/>
      <c r="B40" s="36" t="s">
        <v>237</v>
      </c>
      <c r="C40" s="92">
        <v>0.1207</v>
      </c>
      <c r="D40" s="91">
        <f>C40*('Análisis sólidos'!F22/100)</f>
        <v>0.11966337647997036</v>
      </c>
      <c r="E40" s="101">
        <v>0.10440000000000001</v>
      </c>
      <c r="F40" s="98">
        <v>17.461099999999998</v>
      </c>
      <c r="G40" s="87">
        <v>17.470500000000001</v>
      </c>
      <c r="H40" s="102">
        <f t="shared" si="0"/>
        <v>7.8553691835499597</v>
      </c>
      <c r="I40" s="199"/>
    </row>
    <row r="41" spans="1:9">
      <c r="A41" s="196" t="s">
        <v>60</v>
      </c>
      <c r="B41" s="36" t="s">
        <v>236</v>
      </c>
      <c r="C41" s="60">
        <v>0.1074</v>
      </c>
      <c r="D41" s="91">
        <f>C41*('Análisis sólidos'!F23/100)</f>
        <v>0.10486861402095096</v>
      </c>
      <c r="E41" s="107">
        <v>0.1036</v>
      </c>
      <c r="F41" s="108">
        <v>17.0303</v>
      </c>
      <c r="G41" s="82">
        <v>17.040700000000001</v>
      </c>
      <c r="H41" s="102">
        <f t="shared" si="0"/>
        <v>9.917171211896525</v>
      </c>
      <c r="I41" s="197">
        <f t="shared" ref="I41" si="9">STDEV(H41:H44)</f>
        <v>3.6967977392902291</v>
      </c>
    </row>
    <row r="42" spans="1:9">
      <c r="A42" s="196"/>
      <c r="B42" s="36" t="s">
        <v>237</v>
      </c>
      <c r="C42" s="60">
        <v>0.1022</v>
      </c>
      <c r="D42" s="91">
        <f>C42*('Análisis sólidos'!F23/100)</f>
        <v>9.9791176470588355E-2</v>
      </c>
      <c r="E42" s="107">
        <v>0.1096</v>
      </c>
      <c r="F42" s="108">
        <v>17.155200000000001</v>
      </c>
      <c r="G42" s="82">
        <v>17.165299999999998</v>
      </c>
      <c r="H42" s="102">
        <f t="shared" si="0"/>
        <v>10.121135311972768</v>
      </c>
      <c r="I42" s="198"/>
    </row>
    <row r="43" spans="1:9">
      <c r="A43" s="196" t="s">
        <v>63</v>
      </c>
      <c r="B43" s="36" t="s">
        <v>236</v>
      </c>
      <c r="C43" s="58">
        <v>0.10929999999999999</v>
      </c>
      <c r="D43" s="103">
        <f>C43*('Análisis sólidos'!F24/100)</f>
        <v>0.10699347491123458</v>
      </c>
      <c r="E43" s="109">
        <v>0.1094</v>
      </c>
      <c r="F43" s="110">
        <v>17.298100000000002</v>
      </c>
      <c r="G43" s="111">
        <v>17.3172</v>
      </c>
      <c r="H43" s="105">
        <f t="shared" si="0"/>
        <v>17.851555915764141</v>
      </c>
      <c r="I43" s="198"/>
    </row>
    <row r="44" spans="1:9">
      <c r="A44" s="196"/>
      <c r="B44" s="36" t="s">
        <v>237</v>
      </c>
      <c r="C44" s="60">
        <v>0.11210000000000001</v>
      </c>
      <c r="D44" s="91">
        <f>C44*('Análisis sólidos'!F24/100)</f>
        <v>0.10973438735177857</v>
      </c>
      <c r="E44" s="107">
        <v>0.1033</v>
      </c>
      <c r="F44" s="108">
        <v>17.264299999999999</v>
      </c>
      <c r="G44" s="82">
        <v>17.277799999999999</v>
      </c>
      <c r="H44" s="102">
        <f t="shared" si="0"/>
        <v>12.302433472128648</v>
      </c>
      <c r="I44" s="199"/>
    </row>
    <row r="45" spans="1:9">
      <c r="A45" s="196" t="s">
        <v>65</v>
      </c>
      <c r="B45" s="36" t="s">
        <v>236</v>
      </c>
      <c r="C45" s="58">
        <v>0.11650000000000001</v>
      </c>
      <c r="D45" s="103">
        <f>C45*('Análisis sólidos'!F25/100)</f>
        <v>0.11373174087043546</v>
      </c>
      <c r="E45" s="109">
        <v>0.10630000000000001</v>
      </c>
      <c r="F45" s="110">
        <v>17.2973</v>
      </c>
      <c r="G45" s="111">
        <v>17.317</v>
      </c>
      <c r="H45" s="105">
        <f t="shared" si="0"/>
        <v>17.321461756610887</v>
      </c>
      <c r="I45" s="197">
        <f t="shared" ref="I45" si="10">STDEV(H45:H48)</f>
        <v>4.1964051800304647</v>
      </c>
    </row>
    <row r="46" spans="1:9">
      <c r="A46" s="196"/>
      <c r="B46" s="36" t="s">
        <v>237</v>
      </c>
      <c r="C46" s="60">
        <v>0.12189999999999999</v>
      </c>
      <c r="D46" s="91">
        <f>C46*('Análisis sólidos'!F25/100)</f>
        <v>0.11900342671335691</v>
      </c>
      <c r="E46" s="107">
        <v>0.128</v>
      </c>
      <c r="F46" s="108">
        <v>17.0501</v>
      </c>
      <c r="G46" s="82">
        <v>17.059000000000001</v>
      </c>
      <c r="H46" s="102">
        <f t="shared" si="0"/>
        <v>7.478776238467459</v>
      </c>
      <c r="I46" s="198"/>
    </row>
    <row r="47" spans="1:9">
      <c r="A47" s="196" t="s">
        <v>67</v>
      </c>
      <c r="B47" s="36" t="s">
        <v>236</v>
      </c>
      <c r="C47" s="60">
        <v>0.12089999999999999</v>
      </c>
      <c r="D47" s="91">
        <f>C47*('Análisis sólidos'!F26/100)</f>
        <v>0.11923226145343258</v>
      </c>
      <c r="E47" s="107">
        <v>0.12280000000000001</v>
      </c>
      <c r="F47" s="108">
        <v>17.627099999999999</v>
      </c>
      <c r="G47" s="82">
        <v>17.639500000000002</v>
      </c>
      <c r="H47" s="102">
        <f t="shared" si="0"/>
        <v>10.399869841306355</v>
      </c>
      <c r="I47" s="198"/>
    </row>
    <row r="48" spans="1:9">
      <c r="A48" s="196"/>
      <c r="B48" s="36" t="s">
        <v>237</v>
      </c>
      <c r="C48" s="60">
        <v>0.1042</v>
      </c>
      <c r="D48" s="91">
        <f>C48*('Análisis sólidos'!F26/100)</f>
        <v>0.10276262732380212</v>
      </c>
      <c r="E48" s="107">
        <v>0.1018</v>
      </c>
      <c r="F48" s="108">
        <v>16.992000000000001</v>
      </c>
      <c r="G48" s="82">
        <v>17.002500000000001</v>
      </c>
      <c r="H48" s="102">
        <f t="shared" si="0"/>
        <v>10.217722408862899</v>
      </c>
      <c r="I48" s="199"/>
    </row>
    <row r="49" spans="1:10">
      <c r="A49" s="196" t="s">
        <v>68</v>
      </c>
      <c r="B49" s="36" t="s">
        <v>236</v>
      </c>
      <c r="C49" s="60">
        <v>0.1125</v>
      </c>
      <c r="D49" s="91">
        <f>C49*('Análisis sólidos'!F27/100)</f>
        <v>0.11011687363038725</v>
      </c>
      <c r="E49" s="107">
        <v>0.11559999999999999</v>
      </c>
      <c r="F49" s="108">
        <v>17.1981</v>
      </c>
      <c r="G49" s="82">
        <v>17.210899999999999</v>
      </c>
      <c r="H49" s="102">
        <f t="shared" ref="H49:H60" si="11">((G49-F49)/D49)*100</f>
        <v>11.62401326699705</v>
      </c>
      <c r="I49" s="197">
        <f t="shared" ref="I49" si="12">STDEV(H49:H52)</f>
        <v>2.0053346946719488</v>
      </c>
    </row>
    <row r="50" spans="1:10">
      <c r="A50" s="196"/>
      <c r="B50" s="36" t="s">
        <v>237</v>
      </c>
      <c r="C50" s="60">
        <v>0.1163</v>
      </c>
      <c r="D50" s="91">
        <f>C50*('Análisis sólidos'!F27/100)</f>
        <v>0.1138363769174581</v>
      </c>
      <c r="E50" s="107">
        <v>0.12759999999999999</v>
      </c>
      <c r="F50" s="108">
        <v>17.7286</v>
      </c>
      <c r="G50" s="82">
        <v>17.7453</v>
      </c>
      <c r="H50" s="102">
        <f t="shared" si="11"/>
        <v>14.670178770806455</v>
      </c>
      <c r="I50" s="198"/>
    </row>
    <row r="51" spans="1:10">
      <c r="A51" s="196" t="s">
        <v>71</v>
      </c>
      <c r="B51" s="36" t="s">
        <v>236</v>
      </c>
      <c r="C51" s="60">
        <v>0.1139</v>
      </c>
      <c r="D51" s="91">
        <f>C51*('Análisis sólidos'!F28/100)</f>
        <v>0.1113734766097015</v>
      </c>
      <c r="E51" s="107">
        <v>0.1326</v>
      </c>
      <c r="F51" s="108">
        <v>17.282699999999998</v>
      </c>
      <c r="G51" s="82">
        <v>17.297599999999999</v>
      </c>
      <c r="H51" s="102">
        <f t="shared" si="11"/>
        <v>13.378409701814853</v>
      </c>
      <c r="I51" s="198"/>
    </row>
    <row r="52" spans="1:10">
      <c r="A52" s="196"/>
      <c r="B52" s="36" t="s">
        <v>237</v>
      </c>
      <c r="C52" s="60">
        <v>0.115</v>
      </c>
      <c r="D52" s="91">
        <f>C52*('Análisis sólidos'!F28/100)</f>
        <v>0.11244907647160379</v>
      </c>
      <c r="E52" s="107">
        <v>0.1237</v>
      </c>
      <c r="F52" s="108">
        <v>17.5533</v>
      </c>
      <c r="G52" s="82">
        <v>17.5717</v>
      </c>
      <c r="H52" s="102">
        <f t="shared" si="11"/>
        <v>16.36296230911795</v>
      </c>
      <c r="I52" s="199"/>
    </row>
    <row r="53" spans="1:10">
      <c r="A53" s="196" t="s">
        <v>72</v>
      </c>
      <c r="B53" s="36" t="s">
        <v>236</v>
      </c>
      <c r="C53" s="60">
        <v>0.1181</v>
      </c>
      <c r="D53" s="91">
        <f>C53*('Análisis sólidos'!F29/100)</f>
        <v>0.11544616918475319</v>
      </c>
      <c r="E53" s="107">
        <v>0.1046</v>
      </c>
      <c r="F53" s="108">
        <v>16.992599999999999</v>
      </c>
      <c r="G53" s="82">
        <v>17.014199999999999</v>
      </c>
      <c r="H53" s="102">
        <f t="shared" si="11"/>
        <v>18.710018836079385</v>
      </c>
      <c r="I53" s="197">
        <f t="shared" ref="I53" si="13">STDEV(H53:H56)</f>
        <v>3.1295828397874619</v>
      </c>
    </row>
    <row r="54" spans="1:10">
      <c r="A54" s="196"/>
      <c r="B54" s="36" t="s">
        <v>237</v>
      </c>
      <c r="C54" s="58">
        <v>0.11360000000000001</v>
      </c>
      <c r="D54" s="103">
        <f>C54*('Análisis sólidos'!F29/100)</f>
        <v>0.11104728890252298</v>
      </c>
      <c r="E54" s="109">
        <v>0.1166</v>
      </c>
      <c r="F54" s="110">
        <v>17.389500000000002</v>
      </c>
      <c r="G54" s="111">
        <v>17.406700000000001</v>
      </c>
      <c r="H54" s="105">
        <f t="shared" si="11"/>
        <v>15.488896820432158</v>
      </c>
      <c r="I54" s="198"/>
    </row>
    <row r="55" spans="1:10">
      <c r="A55" s="196" t="s">
        <v>73</v>
      </c>
      <c r="B55" s="36" t="s">
        <v>236</v>
      </c>
      <c r="C55" s="60">
        <v>0.1232</v>
      </c>
      <c r="D55" s="91">
        <f>C55*('Análisis sólidos'!F30/100)</f>
        <v>0.1199629303650015</v>
      </c>
      <c r="E55" s="107">
        <v>0.1104</v>
      </c>
      <c r="F55" s="108">
        <v>17.050599999999999</v>
      </c>
      <c r="G55" s="82">
        <v>17.075500000000002</v>
      </c>
      <c r="H55" s="102">
        <f t="shared" si="11"/>
        <v>20.756411938455614</v>
      </c>
      <c r="I55" s="198"/>
      <c r="J55" s="14"/>
    </row>
    <row r="56" spans="1:10">
      <c r="A56" s="196"/>
      <c r="B56" s="36" t="s">
        <v>237</v>
      </c>
      <c r="C56" s="60">
        <v>0.112</v>
      </c>
      <c r="D56" s="91">
        <f>C56*('Análisis sólidos'!F30/100)</f>
        <v>0.10905720942272863</v>
      </c>
      <c r="E56" s="107">
        <v>0.1108</v>
      </c>
      <c r="F56" s="108">
        <v>17.460699999999999</v>
      </c>
      <c r="G56" s="82">
        <v>17.485600000000002</v>
      </c>
      <c r="H56" s="102">
        <f t="shared" si="11"/>
        <v>22.832053132301176</v>
      </c>
      <c r="I56" s="199"/>
    </row>
    <row r="57" spans="1:10">
      <c r="A57" s="196" t="s">
        <v>74</v>
      </c>
      <c r="B57" s="36" t="s">
        <v>236</v>
      </c>
      <c r="C57" s="58">
        <v>0.10589999999999999</v>
      </c>
      <c r="D57" s="103">
        <f>C57*('Análisis sólidos'!F31/100)</f>
        <v>0.10266859456806264</v>
      </c>
      <c r="E57" s="109">
        <v>0.1019</v>
      </c>
      <c r="F57" s="110">
        <v>17.197800000000001</v>
      </c>
      <c r="G57" s="111">
        <v>17.2102</v>
      </c>
      <c r="H57" s="105">
        <f t="shared" si="11"/>
        <v>12.077695279815217</v>
      </c>
      <c r="I57" s="197">
        <f t="shared" ref="I57" si="14">STDEV(H57:H60)</f>
        <v>6.707409695010444</v>
      </c>
    </row>
    <row r="58" spans="1:10">
      <c r="A58" s="196"/>
      <c r="B58" s="36" t="s">
        <v>237</v>
      </c>
      <c r="C58" s="60">
        <v>0.1061</v>
      </c>
      <c r="D58" s="91">
        <f>C58*('Análisis sólidos'!F31/100)</f>
        <v>0.10286249181937154</v>
      </c>
      <c r="E58" s="107">
        <v>0.10979999999999999</v>
      </c>
      <c r="F58" s="108">
        <v>17.2636</v>
      </c>
      <c r="G58" s="82">
        <v>17.280200000000001</v>
      </c>
      <c r="H58" s="102">
        <f t="shared" si="11"/>
        <v>16.138049648991881</v>
      </c>
      <c r="I58" s="198"/>
    </row>
    <row r="59" spans="1:10">
      <c r="A59" s="196" t="s">
        <v>75</v>
      </c>
      <c r="B59" s="36" t="s">
        <v>236</v>
      </c>
      <c r="C59" s="60">
        <v>0.10340000000000001</v>
      </c>
      <c r="D59" s="91">
        <f>C59*('Análisis sólidos'!F32/100)</f>
        <v>0.10175191019598112</v>
      </c>
      <c r="E59" s="107">
        <v>0.1021</v>
      </c>
      <c r="F59" s="108">
        <v>17.282299999999999</v>
      </c>
      <c r="G59" s="82">
        <v>17.302900000000001</v>
      </c>
      <c r="H59" s="102">
        <f t="shared" si="11"/>
        <v>20.245320171704613</v>
      </c>
      <c r="I59" s="198"/>
    </row>
    <row r="60" spans="1:10">
      <c r="A60" s="196"/>
      <c r="B60" s="36" t="s">
        <v>237</v>
      </c>
      <c r="C60" s="58">
        <v>0.1053</v>
      </c>
      <c r="D60" s="103">
        <f>C60*('Análisis sólidos'!F32/100)</f>
        <v>0.10362162614735795</v>
      </c>
      <c r="E60" s="109">
        <v>0.1113</v>
      </c>
      <c r="F60" s="110">
        <v>17.727900000000002</v>
      </c>
      <c r="G60" s="111">
        <v>17.756699999999999</v>
      </c>
      <c r="H60" s="105">
        <f t="shared" si="11"/>
        <v>27.793426016149375</v>
      </c>
      <c r="I60" s="199"/>
    </row>
    <row r="61" spans="1:10">
      <c r="A61" s="196" t="s">
        <v>92</v>
      </c>
      <c r="B61" s="36" t="s">
        <v>236</v>
      </c>
      <c r="C61" s="60">
        <v>0.1142</v>
      </c>
      <c r="D61" s="91">
        <f>C61*('Análisis sólidos'!F33/100)</f>
        <v>0.11167976072942679</v>
      </c>
      <c r="E61" s="107">
        <v>0.1258</v>
      </c>
      <c r="F61" s="108">
        <v>17.306899999999999</v>
      </c>
      <c r="G61" s="82">
        <v>17.331399999999999</v>
      </c>
      <c r="H61" s="102">
        <f t="shared" ref="H61:H64" si="15">((G61-F61)/D61)*100</f>
        <v>21.937726083920754</v>
      </c>
      <c r="I61" s="197">
        <f>STDEV(H61:H62)</f>
        <v>3.5321994409872906</v>
      </c>
    </row>
    <row r="62" spans="1:10">
      <c r="A62" s="196"/>
      <c r="B62" s="36" t="s">
        <v>237</v>
      </c>
      <c r="C62" s="60">
        <v>0.11890000000000001</v>
      </c>
      <c r="D62" s="91">
        <f>C62*('Análisis sólidos'!F33/100)</f>
        <v>0.11627603809745048</v>
      </c>
      <c r="E62" s="107">
        <v>0.11509999999999999</v>
      </c>
      <c r="F62" s="108">
        <v>17.375800000000002</v>
      </c>
      <c r="G62" s="82">
        <v>17.395499999999998</v>
      </c>
      <c r="H62" s="102">
        <f t="shared" si="15"/>
        <v>16.942441729469859</v>
      </c>
      <c r="I62" s="198"/>
    </row>
    <row r="63" spans="1:10">
      <c r="A63" s="196" t="s">
        <v>93</v>
      </c>
      <c r="B63" s="36" t="s">
        <v>236</v>
      </c>
      <c r="C63" s="60">
        <v>0.1096</v>
      </c>
      <c r="D63" s="91">
        <f>C63*('Análisis sólidos'!F34/100)</f>
        <v>0.10709625979843221</v>
      </c>
      <c r="E63" s="60">
        <v>0.1137</v>
      </c>
      <c r="F63" s="112">
        <v>17.3065</v>
      </c>
      <c r="G63" s="112">
        <v>17.3154</v>
      </c>
      <c r="H63" s="102">
        <f t="shared" si="15"/>
        <v>8.3102808788574158</v>
      </c>
      <c r="I63" s="197">
        <f t="shared" ref="I63" si="16">STDEV(H63:H66)</f>
        <v>1.7479026477844131</v>
      </c>
    </row>
    <row r="64" spans="1:10">
      <c r="A64" s="196"/>
      <c r="B64" s="36" t="s">
        <v>237</v>
      </c>
      <c r="C64" s="60">
        <v>0.1101</v>
      </c>
      <c r="D64" s="91">
        <f>C64*('Análisis sólidos'!F34/100)</f>
        <v>0.1075848376259798</v>
      </c>
      <c r="E64" s="60">
        <v>0.1186</v>
      </c>
      <c r="F64" s="60">
        <v>17.3675</v>
      </c>
      <c r="G64" s="60">
        <v>17.379100000000001</v>
      </c>
      <c r="H64" s="102">
        <f t="shared" si="15"/>
        <v>10.782188509061983</v>
      </c>
      <c r="I64" s="199"/>
    </row>
  </sheetData>
  <mergeCells count="47">
    <mergeCell ref="A61:A62"/>
    <mergeCell ref="A63:A64"/>
    <mergeCell ref="I61:I62"/>
    <mergeCell ref="I63:I64"/>
    <mergeCell ref="I57:I60"/>
    <mergeCell ref="A55:A56"/>
    <mergeCell ref="A57:A58"/>
    <mergeCell ref="A59:A60"/>
    <mergeCell ref="I49:I52"/>
    <mergeCell ref="I53:I56"/>
    <mergeCell ref="A49:A50"/>
    <mergeCell ref="A51:A52"/>
    <mergeCell ref="A53:A54"/>
    <mergeCell ref="A13:A14"/>
    <mergeCell ref="A15:A16"/>
    <mergeCell ref="A17:A18"/>
    <mergeCell ref="A19:A20"/>
    <mergeCell ref="I5:I8"/>
    <mergeCell ref="I9:I12"/>
    <mergeCell ref="I13:I16"/>
    <mergeCell ref="I17:I20"/>
    <mergeCell ref="B3:I3"/>
    <mergeCell ref="A5:A6"/>
    <mergeCell ref="A7:A8"/>
    <mergeCell ref="A9:A10"/>
    <mergeCell ref="A11:A12"/>
    <mergeCell ref="I25:I28"/>
    <mergeCell ref="I29:I32"/>
    <mergeCell ref="A23:A24"/>
    <mergeCell ref="A25:A26"/>
    <mergeCell ref="A27:A28"/>
    <mergeCell ref="A29:A30"/>
    <mergeCell ref="A31:A32"/>
    <mergeCell ref="I21:I24"/>
    <mergeCell ref="A21:A22"/>
    <mergeCell ref="I33:I36"/>
    <mergeCell ref="I37:I40"/>
    <mergeCell ref="A35:A36"/>
    <mergeCell ref="A37:A38"/>
    <mergeCell ref="A39:A40"/>
    <mergeCell ref="A33:A34"/>
    <mergeCell ref="A41:A42"/>
    <mergeCell ref="A43:A44"/>
    <mergeCell ref="A45:A46"/>
    <mergeCell ref="A47:A48"/>
    <mergeCell ref="I41:I44"/>
    <mergeCell ref="I45:I4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T89"/>
  <sheetViews>
    <sheetView tabSelected="1" topLeftCell="T64" zoomScale="90" zoomScaleNormal="90" workbookViewId="0">
      <selection activeCell="N95" sqref="N95"/>
    </sheetView>
  </sheetViews>
  <sheetFormatPr defaultColWidth="11.42578125" defaultRowHeight="15"/>
  <cols>
    <col min="1" max="1" width="12.42578125" bestFit="1" customWidth="1"/>
    <col min="3" max="3" width="14.42578125" bestFit="1" customWidth="1"/>
    <col min="4" max="4" width="12.85546875" bestFit="1" customWidth="1"/>
    <col min="5" max="5" width="12.28515625" bestFit="1" customWidth="1"/>
    <col min="11" max="11" width="12.42578125" bestFit="1" customWidth="1"/>
    <col min="13" max="13" width="14.42578125" bestFit="1" customWidth="1"/>
    <col min="14" max="14" width="12.85546875" bestFit="1" customWidth="1"/>
    <col min="15" max="15" width="11.85546875" bestFit="1" customWidth="1"/>
    <col min="18" max="18" width="12" bestFit="1" customWidth="1"/>
    <col min="19" max="19" width="11.85546875" bestFit="1" customWidth="1"/>
    <col min="23" max="23" width="12.42578125" customWidth="1"/>
    <col min="24" max="24" width="11.7109375" bestFit="1" customWidth="1"/>
    <col min="25" max="25" width="10.42578125" bestFit="1" customWidth="1"/>
    <col min="26" max="27" width="7.140625" bestFit="1" customWidth="1"/>
    <col min="28" max="28" width="6" bestFit="1" customWidth="1"/>
    <col min="29" max="33" width="7.140625" bestFit="1" customWidth="1"/>
    <col min="34" max="34" width="6" bestFit="1" customWidth="1"/>
    <col min="35" max="35" width="7.140625" bestFit="1" customWidth="1"/>
    <col min="36" max="36" width="6" bestFit="1" customWidth="1"/>
    <col min="37" max="39" width="7.140625" bestFit="1" customWidth="1"/>
    <col min="40" max="40" width="8.5703125" customWidth="1"/>
    <col min="41" max="41" width="6.85546875" customWidth="1"/>
    <col min="44" max="46" width="0" hidden="1" customWidth="1"/>
  </cols>
  <sheetData>
    <row r="3" spans="1:46">
      <c r="B3" s="181" t="s">
        <v>100</v>
      </c>
      <c r="C3" s="181"/>
      <c r="D3" s="181"/>
      <c r="E3" s="181"/>
      <c r="F3" s="181"/>
      <c r="G3" s="181"/>
      <c r="H3" s="181"/>
      <c r="I3" s="181"/>
      <c r="L3" s="182" t="s">
        <v>101</v>
      </c>
      <c r="M3" s="182"/>
      <c r="N3" s="182"/>
      <c r="O3" s="182"/>
      <c r="P3" s="182"/>
      <c r="Q3" s="182"/>
      <c r="R3" s="182"/>
      <c r="S3" s="182"/>
      <c r="X3" s="200" t="s">
        <v>238</v>
      </c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</row>
    <row r="4" spans="1:46">
      <c r="A4" s="7" t="s">
        <v>0</v>
      </c>
      <c r="B4" s="7" t="s">
        <v>228</v>
      </c>
      <c r="C4" s="7" t="s">
        <v>229</v>
      </c>
      <c r="D4" s="7" t="s">
        <v>230</v>
      </c>
      <c r="E4" s="7" t="s">
        <v>239</v>
      </c>
      <c r="F4" s="7" t="s">
        <v>240</v>
      </c>
      <c r="G4" s="7" t="s">
        <v>241</v>
      </c>
      <c r="H4" s="7" t="s">
        <v>242</v>
      </c>
      <c r="I4" s="7" t="s">
        <v>235</v>
      </c>
      <c r="K4" s="7" t="s">
        <v>0</v>
      </c>
      <c r="L4" s="7" t="s">
        <v>228</v>
      </c>
      <c r="M4" s="7" t="s">
        <v>243</v>
      </c>
      <c r="N4" s="7" t="s">
        <v>239</v>
      </c>
      <c r="O4" s="7" t="s">
        <v>240</v>
      </c>
      <c r="P4" s="7" t="s">
        <v>244</v>
      </c>
      <c r="Q4" s="7" t="s">
        <v>245</v>
      </c>
      <c r="R4" s="7" t="s">
        <v>246</v>
      </c>
      <c r="S4" s="7" t="s">
        <v>235</v>
      </c>
      <c r="W4" s="7" t="s">
        <v>0</v>
      </c>
      <c r="X4" s="7" t="s">
        <v>228</v>
      </c>
      <c r="Y4" s="7" t="s">
        <v>247</v>
      </c>
      <c r="Z4" s="7" t="s">
        <v>248</v>
      </c>
      <c r="AA4" s="7" t="s">
        <v>249</v>
      </c>
      <c r="AB4" s="7" t="s">
        <v>250</v>
      </c>
      <c r="AC4" s="7" t="s">
        <v>251</v>
      </c>
      <c r="AD4" s="7" t="s">
        <v>252</v>
      </c>
      <c r="AE4" s="7" t="s">
        <v>253</v>
      </c>
      <c r="AF4" s="7" t="s">
        <v>254</v>
      </c>
      <c r="AG4" s="7" t="s">
        <v>255</v>
      </c>
      <c r="AH4" s="7" t="s">
        <v>256</v>
      </c>
      <c r="AI4" s="7" t="s">
        <v>257</v>
      </c>
      <c r="AJ4" s="7" t="s">
        <v>258</v>
      </c>
      <c r="AK4" s="7" t="s">
        <v>259</v>
      </c>
      <c r="AL4" s="7" t="s">
        <v>260</v>
      </c>
      <c r="AM4" s="7" t="s">
        <v>261</v>
      </c>
      <c r="AN4" s="7" t="s">
        <v>262</v>
      </c>
      <c r="AO4" s="7" t="s">
        <v>263</v>
      </c>
      <c r="AP4" s="7" t="s">
        <v>264</v>
      </c>
      <c r="AQ4" s="7" t="s">
        <v>265</v>
      </c>
      <c r="AR4" s="7" t="s">
        <v>266</v>
      </c>
      <c r="AS4" s="7" t="s">
        <v>267</v>
      </c>
      <c r="AT4" s="7" t="s">
        <v>268</v>
      </c>
    </row>
    <row r="5" spans="1:46">
      <c r="A5" s="196" t="s">
        <v>13</v>
      </c>
      <c r="B5" s="2" t="s">
        <v>236</v>
      </c>
      <c r="C5" s="26">
        <v>0.16830000000000001</v>
      </c>
      <c r="D5" s="33">
        <f>C5*('Análisis sólidos'!F5/100)</f>
        <v>0.15490307675462653</v>
      </c>
      <c r="E5" s="26">
        <v>8.81</v>
      </c>
      <c r="F5" s="26">
        <v>0.02</v>
      </c>
      <c r="G5" s="34">
        <f>((E5*F5)*1.4)/D5</f>
        <v>1.5924796664352399</v>
      </c>
      <c r="H5" s="34">
        <f>G5*$U$6</f>
        <v>6.9105210325541506</v>
      </c>
      <c r="I5" s="197">
        <f>STDEV(H5:H6,H8)</f>
        <v>10.947533879079076</v>
      </c>
      <c r="K5" s="196" t="s">
        <v>13</v>
      </c>
      <c r="L5" s="2" t="s">
        <v>236</v>
      </c>
      <c r="M5" s="26">
        <v>2</v>
      </c>
      <c r="N5" s="26">
        <f>N65</f>
        <v>1.83</v>
      </c>
      <c r="O5" s="26">
        <v>0.1</v>
      </c>
      <c r="P5" s="26">
        <f>((N5*O5)*14000)/M5</f>
        <v>1281.0000000000002</v>
      </c>
      <c r="Q5" s="26">
        <f>P5*$U$6</f>
        <v>5558.8637200736666</v>
      </c>
      <c r="R5" s="47">
        <f>(Q5*Experimentos!R33)/(1000*1000)</f>
        <v>1.1904306656537758</v>
      </c>
      <c r="S5" s="197">
        <f>STDEV(R5,R7)</f>
        <v>5.8889771822414469E-3</v>
      </c>
      <c r="U5" s="12" t="s">
        <v>155</v>
      </c>
      <c r="W5" s="196" t="s">
        <v>54</v>
      </c>
      <c r="X5" s="2" t="s">
        <v>269</v>
      </c>
      <c r="Y5" s="140">
        <v>36.770000000000003</v>
      </c>
      <c r="Z5" s="140">
        <v>40.85</v>
      </c>
      <c r="AA5" s="140">
        <v>18.86</v>
      </c>
      <c r="AB5" s="140">
        <v>7.79</v>
      </c>
      <c r="AC5" s="140">
        <v>24.45</v>
      </c>
      <c r="AD5" s="140">
        <v>18.3</v>
      </c>
      <c r="AE5" s="140">
        <v>21.97</v>
      </c>
      <c r="AF5" s="140">
        <v>31.3</v>
      </c>
      <c r="AG5" s="140">
        <v>14.07</v>
      </c>
      <c r="AH5" s="140">
        <v>2.81</v>
      </c>
      <c r="AI5" s="140">
        <v>15.42</v>
      </c>
      <c r="AJ5" s="140">
        <v>8.09</v>
      </c>
      <c r="AK5" s="140">
        <v>19.88</v>
      </c>
      <c r="AL5" s="140">
        <v>12.22</v>
      </c>
      <c r="AM5" s="140">
        <v>34.11</v>
      </c>
      <c r="AN5" s="140">
        <v>23.49</v>
      </c>
      <c r="AO5" s="140">
        <v>12.22</v>
      </c>
      <c r="AP5" s="23">
        <f>SUM(Y5:AO5)</f>
        <v>342.60000000000008</v>
      </c>
      <c r="AQ5" s="23">
        <f>(AP5/((G37+G38)/2))/10</f>
        <v>3.9484592782979937</v>
      </c>
      <c r="AR5" s="23">
        <v>6.1</v>
      </c>
      <c r="AS5" s="23">
        <v>3.4</v>
      </c>
      <c r="AT5" s="23">
        <v>4.8</v>
      </c>
    </row>
    <row r="6" spans="1:46">
      <c r="A6" s="196"/>
      <c r="B6" s="2" t="s">
        <v>237</v>
      </c>
      <c r="C6" s="2">
        <v>0.1056</v>
      </c>
      <c r="D6" s="18">
        <f>C6*('Análisis sólidos'!F5/100)</f>
        <v>9.7194087375451932E-2</v>
      </c>
      <c r="E6" s="2">
        <v>4.1900000000000004</v>
      </c>
      <c r="F6" s="2">
        <v>0.1</v>
      </c>
      <c r="G6" s="23">
        <f t="shared" ref="G6:G40" si="0">((E6*F6)*1.4)/D6</f>
        <v>6.0353465508042428</v>
      </c>
      <c r="H6" s="23">
        <f t="shared" ref="H6:H40" si="1">G6*$U$6</f>
        <v>26.190217782464821</v>
      </c>
      <c r="I6" s="198"/>
      <c r="K6" s="196"/>
      <c r="L6" s="2" t="s">
        <v>237</v>
      </c>
      <c r="M6" s="58">
        <v>2</v>
      </c>
      <c r="N6" s="58">
        <v>5.69</v>
      </c>
      <c r="O6" s="58">
        <v>0.1</v>
      </c>
      <c r="P6" s="58">
        <f t="shared" ref="P6:P48" si="2">((N6*O6)*14000)/M6</f>
        <v>3983.0000000000005</v>
      </c>
      <c r="Q6" s="58">
        <f t="shared" ref="Q6:Q40" si="3">P6*$U$6</f>
        <v>17284.117249846535</v>
      </c>
      <c r="R6" s="59">
        <f>(Q6*Experimentos!R33)/(1000*1000)</f>
        <v>3.7013937090546354</v>
      </c>
      <c r="S6" s="198"/>
      <c r="U6" s="23">
        <f>AQ17</f>
        <v>4.3394720687538371</v>
      </c>
      <c r="W6" s="196"/>
      <c r="X6" s="2" t="s">
        <v>270</v>
      </c>
      <c r="Y6" s="141">
        <v>0.45</v>
      </c>
      <c r="Z6" s="141">
        <v>0.5</v>
      </c>
      <c r="AA6" s="141">
        <v>0.18</v>
      </c>
      <c r="AB6" s="141">
        <v>7.0000000000000007E-2</v>
      </c>
      <c r="AC6" s="141">
        <v>0.31</v>
      </c>
      <c r="AD6" s="141">
        <v>0.24</v>
      </c>
      <c r="AE6" s="141">
        <v>0.14000000000000001</v>
      </c>
      <c r="AF6" s="141">
        <v>0.28000000000000003</v>
      </c>
      <c r="AG6" s="141">
        <v>0.16</v>
      </c>
      <c r="AH6" s="141">
        <v>0.03</v>
      </c>
      <c r="AI6" s="141">
        <v>0.2</v>
      </c>
      <c r="AJ6" s="141">
        <v>0.09</v>
      </c>
      <c r="AK6" s="141">
        <v>0.18</v>
      </c>
      <c r="AL6" s="141">
        <v>0.1</v>
      </c>
      <c r="AM6" s="141">
        <v>0.31</v>
      </c>
      <c r="AN6" s="141">
        <v>0.3</v>
      </c>
      <c r="AO6" s="141">
        <v>0.23</v>
      </c>
      <c r="AP6" s="17">
        <f>SUM(Y6:AO6)</f>
        <v>3.77</v>
      </c>
      <c r="AQ6" s="23">
        <f>(AP6/((P38+P37)/2))*1000</f>
        <v>3.4523809523809517</v>
      </c>
      <c r="AR6" s="23">
        <v>6.4</v>
      </c>
      <c r="AS6" s="23">
        <v>0.3</v>
      </c>
      <c r="AT6" s="23">
        <v>3.3</v>
      </c>
    </row>
    <row r="7" spans="1:46">
      <c r="A7" s="196" t="s">
        <v>18</v>
      </c>
      <c r="B7" s="2" t="s">
        <v>236</v>
      </c>
      <c r="C7" s="58">
        <v>0.1094</v>
      </c>
      <c r="D7" s="53">
        <f>C7*('Análisis sólidos'!F6/100)</f>
        <v>0.10042842164388709</v>
      </c>
      <c r="E7" s="58">
        <v>4.68</v>
      </c>
      <c r="F7" s="58">
        <v>0.1</v>
      </c>
      <c r="G7" s="54">
        <f t="shared" si="0"/>
        <v>6.5240495596286294</v>
      </c>
      <c r="H7" s="54">
        <f t="shared" si="1"/>
        <v>28.310930839174208</v>
      </c>
      <c r="I7" s="198"/>
      <c r="K7" s="196" t="s">
        <v>18</v>
      </c>
      <c r="L7" s="2" t="s">
        <v>236</v>
      </c>
      <c r="M7" s="26">
        <v>2</v>
      </c>
      <c r="N7" s="26">
        <f>N66</f>
        <v>1.86</v>
      </c>
      <c r="O7" s="26">
        <v>0.1</v>
      </c>
      <c r="P7" s="26">
        <f t="shared" si="2"/>
        <v>1302.0000000000002</v>
      </c>
      <c r="Q7" s="26">
        <f t="shared" si="3"/>
        <v>5649.9926335174969</v>
      </c>
      <c r="R7" s="47">
        <f>(Q7*Experimentos!R34)/(1000*1000)</f>
        <v>1.1987589370534073</v>
      </c>
      <c r="S7" s="198"/>
      <c r="W7" s="196" t="s">
        <v>60</v>
      </c>
      <c r="X7" s="2" t="s">
        <v>269</v>
      </c>
      <c r="Y7" s="140">
        <v>33.520000000000003</v>
      </c>
      <c r="Z7" s="140">
        <v>35.119999999999997</v>
      </c>
      <c r="AA7" s="140">
        <v>16.62</v>
      </c>
      <c r="AB7" s="140">
        <v>7.28</v>
      </c>
      <c r="AC7" s="140">
        <v>22.61</v>
      </c>
      <c r="AD7" s="140">
        <v>16.09</v>
      </c>
      <c r="AE7" s="140">
        <v>20.36</v>
      </c>
      <c r="AF7" s="140">
        <v>27.41</v>
      </c>
      <c r="AG7" s="140">
        <v>13.17</v>
      </c>
      <c r="AH7" s="140">
        <v>2.74</v>
      </c>
      <c r="AI7" s="140">
        <v>13.88</v>
      </c>
      <c r="AJ7" s="140">
        <v>7.6</v>
      </c>
      <c r="AK7" s="140">
        <v>19.32</v>
      </c>
      <c r="AL7" s="140">
        <v>11.28</v>
      </c>
      <c r="AM7" s="140">
        <v>31.85</v>
      </c>
      <c r="AN7" s="140">
        <v>20.39</v>
      </c>
      <c r="AO7" s="140">
        <v>11.98</v>
      </c>
      <c r="AP7" s="2">
        <f t="shared" ref="AP7:AP11" si="4">SUM(Y7:AO7)</f>
        <v>311.22000000000003</v>
      </c>
      <c r="AQ7" s="23">
        <f>(AP7/((G41+G42)/2))/10</f>
        <v>4.0255926544137086</v>
      </c>
      <c r="AR7" s="23">
        <v>6.1</v>
      </c>
      <c r="AS7" s="23">
        <v>3.4</v>
      </c>
      <c r="AT7" s="23">
        <v>4.8</v>
      </c>
    </row>
    <row r="8" spans="1:46">
      <c r="A8" s="196"/>
      <c r="B8" s="2" t="s">
        <v>237</v>
      </c>
      <c r="C8" s="26">
        <v>0.11899999999999999</v>
      </c>
      <c r="D8" s="33">
        <f>C8*('Análisis sólidos'!F6/100)</f>
        <v>0.10924115334207096</v>
      </c>
      <c r="E8" s="26">
        <v>2.72</v>
      </c>
      <c r="F8" s="26">
        <v>0.05</v>
      </c>
      <c r="G8" s="34">
        <f t="shared" si="0"/>
        <v>1.7429328982255732</v>
      </c>
      <c r="H8" s="34">
        <f t="shared" si="1"/>
        <v>7.5634086295620486</v>
      </c>
      <c r="I8" s="199"/>
      <c r="K8" s="196"/>
      <c r="L8" s="2" t="s">
        <v>237</v>
      </c>
      <c r="M8" s="58">
        <v>2</v>
      </c>
      <c r="N8" s="58">
        <v>5.22</v>
      </c>
      <c r="O8" s="58">
        <v>0.1</v>
      </c>
      <c r="P8" s="58">
        <f t="shared" si="2"/>
        <v>3654</v>
      </c>
      <c r="Q8" s="58">
        <f t="shared" si="3"/>
        <v>15856.43093922652</v>
      </c>
      <c r="R8" s="59">
        <f>(Q8*Experimentos!R34)/(1000*1000)</f>
        <v>3.3642589523756903</v>
      </c>
      <c r="S8" s="199"/>
      <c r="W8" s="196"/>
      <c r="X8" s="2" t="s">
        <v>270</v>
      </c>
      <c r="Y8" s="141">
        <v>1.07</v>
      </c>
      <c r="Z8" s="141">
        <v>1.17</v>
      </c>
      <c r="AA8" s="141">
        <v>0.45</v>
      </c>
      <c r="AB8" s="141">
        <v>0.14000000000000001</v>
      </c>
      <c r="AC8" s="141">
        <v>0.59</v>
      </c>
      <c r="AD8" s="141">
        <v>0.47</v>
      </c>
      <c r="AE8" s="141">
        <v>0.39</v>
      </c>
      <c r="AF8" s="141">
        <v>0.88</v>
      </c>
      <c r="AG8" s="141">
        <v>0.33</v>
      </c>
      <c r="AH8" s="141">
        <v>0.04</v>
      </c>
      <c r="AI8" s="141">
        <v>0.31</v>
      </c>
      <c r="AJ8" s="141">
        <v>0.17</v>
      </c>
      <c r="AK8" s="141">
        <v>0.34</v>
      </c>
      <c r="AL8" s="141">
        <v>0.19</v>
      </c>
      <c r="AM8" s="141">
        <v>0.46</v>
      </c>
      <c r="AN8" s="141">
        <v>0.6</v>
      </c>
      <c r="AO8" s="141">
        <v>0.45</v>
      </c>
      <c r="AP8" s="2">
        <f t="shared" si="4"/>
        <v>8.0499999999999989</v>
      </c>
      <c r="AQ8" s="23">
        <f>(AP8/((P42+P41)/2))*1000</f>
        <v>3.4048852701702437</v>
      </c>
      <c r="AR8" s="23">
        <v>6.2</v>
      </c>
      <c r="AS8" s="23">
        <v>0.3</v>
      </c>
      <c r="AT8" s="23">
        <v>3.2</v>
      </c>
    </row>
    <row r="9" spans="1:46">
      <c r="A9" s="196" t="s">
        <v>19</v>
      </c>
      <c r="B9" s="2" t="s">
        <v>236</v>
      </c>
      <c r="C9" s="58">
        <v>0.1215</v>
      </c>
      <c r="D9" s="53">
        <f>C9*('Análisis sólidos'!F7/100)</f>
        <v>0.10243202379477015</v>
      </c>
      <c r="E9" s="58">
        <v>14.17</v>
      </c>
      <c r="F9" s="58">
        <v>0.05</v>
      </c>
      <c r="G9" s="54">
        <f t="shared" si="0"/>
        <v>9.6834950951212502</v>
      </c>
      <c r="H9" s="54">
        <f t="shared" si="1"/>
        <v>42.021256493193448</v>
      </c>
      <c r="I9" s="197">
        <f>STDEV(H9:H12)</f>
        <v>18.304031444655337</v>
      </c>
      <c r="K9" s="196" t="s">
        <v>19</v>
      </c>
      <c r="L9" s="2" t="s">
        <v>236</v>
      </c>
      <c r="M9" s="2">
        <v>2</v>
      </c>
      <c r="N9" s="2">
        <v>1.22</v>
      </c>
      <c r="O9" s="2">
        <v>0.1</v>
      </c>
      <c r="P9" s="2">
        <f t="shared" si="2"/>
        <v>854</v>
      </c>
      <c r="Q9" s="2">
        <f t="shared" si="3"/>
        <v>3705.9091467157768</v>
      </c>
      <c r="R9" s="17">
        <f>(Q9*Experimentos!R35)/(1000*1000)</f>
        <v>0.81170528040515666</v>
      </c>
      <c r="S9" s="197">
        <f t="shared" ref="S9" si="5">STDEV(R9:R12)</f>
        <v>9.2487945311838488E-2</v>
      </c>
      <c r="W9" s="196" t="s">
        <v>65</v>
      </c>
      <c r="X9" s="2" t="s">
        <v>269</v>
      </c>
      <c r="Y9" s="140">
        <v>32.82</v>
      </c>
      <c r="Z9" s="140">
        <v>37.03</v>
      </c>
      <c r="AA9" s="140">
        <v>16.72</v>
      </c>
      <c r="AB9" s="140">
        <v>6.83</v>
      </c>
      <c r="AC9" s="140">
        <v>21.63</v>
      </c>
      <c r="AD9" s="140">
        <v>15.82</v>
      </c>
      <c r="AE9" s="140">
        <v>20.010000000000002</v>
      </c>
      <c r="AF9" s="140">
        <v>27.36</v>
      </c>
      <c r="AG9" s="140">
        <v>12.01</v>
      </c>
      <c r="AH9" s="140">
        <v>2.33</v>
      </c>
      <c r="AI9" s="140">
        <v>13.69</v>
      </c>
      <c r="AJ9" s="140">
        <v>7.46</v>
      </c>
      <c r="AK9" s="140">
        <v>16.5</v>
      </c>
      <c r="AL9" s="140">
        <v>10.54</v>
      </c>
      <c r="AM9" s="140">
        <v>29.17</v>
      </c>
      <c r="AN9" s="140">
        <v>21.33</v>
      </c>
      <c r="AO9" s="140">
        <v>9.14</v>
      </c>
      <c r="AP9" s="2">
        <f t="shared" si="4"/>
        <v>300.38999999999993</v>
      </c>
      <c r="AQ9" s="23">
        <f>(AP9/((G45+G46)/2))/10</f>
        <v>3.6392825428219986</v>
      </c>
      <c r="AR9" s="23">
        <v>6.1</v>
      </c>
      <c r="AS9" s="23">
        <v>2.9</v>
      </c>
      <c r="AT9" s="23">
        <v>4.5</v>
      </c>
    </row>
    <row r="10" spans="1:46">
      <c r="A10" s="196"/>
      <c r="B10" s="2" t="s">
        <v>237</v>
      </c>
      <c r="C10" s="26">
        <v>0.1021</v>
      </c>
      <c r="D10" s="33">
        <f>C10*('Análisis sólidos'!F7/100)</f>
        <v>8.6076622464576397E-2</v>
      </c>
      <c r="E10" s="26">
        <v>1.61</v>
      </c>
      <c r="F10" s="26">
        <v>0.1</v>
      </c>
      <c r="G10" s="34">
        <f t="shared" si="0"/>
        <v>2.6185971701289761</v>
      </c>
      <c r="H10" s="34">
        <f t="shared" si="1"/>
        <v>11.363329279092531</v>
      </c>
      <c r="I10" s="198"/>
      <c r="K10" s="196"/>
      <c r="L10" s="2" t="s">
        <v>237</v>
      </c>
      <c r="M10" s="2">
        <v>2</v>
      </c>
      <c r="N10" s="2">
        <v>1.23</v>
      </c>
      <c r="O10" s="2">
        <v>0.1</v>
      </c>
      <c r="P10" s="2">
        <f t="shared" si="2"/>
        <v>861</v>
      </c>
      <c r="Q10" s="2">
        <f t="shared" si="3"/>
        <v>3736.2854511970536</v>
      </c>
      <c r="R10" s="17">
        <f>(Q10*Experimentos!R35)/(1000*1000)</f>
        <v>0.81835860237569069</v>
      </c>
      <c r="S10" s="198"/>
      <c r="W10" s="196"/>
      <c r="X10" s="2" t="s">
        <v>270</v>
      </c>
      <c r="Y10" s="141">
        <v>0.38</v>
      </c>
      <c r="Z10" s="141">
        <v>0.56999999999999995</v>
      </c>
      <c r="AA10" s="141">
        <v>0.17</v>
      </c>
      <c r="AB10" s="141">
        <v>0.04</v>
      </c>
      <c r="AC10" s="141">
        <v>0.22</v>
      </c>
      <c r="AD10" s="141">
        <v>0.17</v>
      </c>
      <c r="AE10" s="141">
        <v>0.21</v>
      </c>
      <c r="AF10" s="141">
        <v>0.43</v>
      </c>
      <c r="AG10" s="141">
        <v>0.1</v>
      </c>
      <c r="AH10" s="141">
        <v>0.02</v>
      </c>
      <c r="AI10" s="141">
        <v>0.11</v>
      </c>
      <c r="AJ10" s="141">
        <v>0.05</v>
      </c>
      <c r="AK10" s="141">
        <v>0.11</v>
      </c>
      <c r="AL10" s="141">
        <v>0.17</v>
      </c>
      <c r="AM10" s="141">
        <v>0.21</v>
      </c>
      <c r="AN10" s="141">
        <v>0.2</v>
      </c>
      <c r="AO10" s="141">
        <v>0.16</v>
      </c>
      <c r="AP10" s="2">
        <f t="shared" si="4"/>
        <v>3.32</v>
      </c>
      <c r="AQ10" s="23">
        <f>(AP10/((P46+P45)/2))*1000</f>
        <v>3.3637284701114485</v>
      </c>
      <c r="AR10" s="23">
        <v>6.2</v>
      </c>
      <c r="AS10" s="23">
        <v>0.2</v>
      </c>
      <c r="AT10" s="23">
        <v>3.2</v>
      </c>
    </row>
    <row r="11" spans="1:46">
      <c r="A11" s="196" t="s">
        <v>22</v>
      </c>
      <c r="B11" s="2" t="s">
        <v>236</v>
      </c>
      <c r="C11" s="58">
        <v>0.10829999999999999</v>
      </c>
      <c r="D11" s="53">
        <f>C11*('Análisis sólidos'!F8/100)</f>
        <v>0.10067295624729244</v>
      </c>
      <c r="E11" s="58">
        <v>13.79</v>
      </c>
      <c r="F11" s="58">
        <v>0.05</v>
      </c>
      <c r="G11" s="54">
        <f t="shared" si="0"/>
        <v>9.5884737667665458</v>
      </c>
      <c r="H11" s="54">
        <f t="shared" si="1"/>
        <v>41.608914092862321</v>
      </c>
      <c r="I11" s="198"/>
      <c r="K11" s="196" t="s">
        <v>22</v>
      </c>
      <c r="L11" s="2" t="s">
        <v>236</v>
      </c>
      <c r="M11" s="2">
        <v>2</v>
      </c>
      <c r="N11" s="2">
        <v>1.45</v>
      </c>
      <c r="O11" s="2">
        <v>0.1</v>
      </c>
      <c r="P11" s="2">
        <f t="shared" si="2"/>
        <v>1014.9999999999999</v>
      </c>
      <c r="Q11" s="2">
        <f t="shared" si="3"/>
        <v>4404.5641497851439</v>
      </c>
      <c r="R11" s="17">
        <f>(Q11*Experimentos!R36)/(1000*1000)</f>
        <v>0.96455550316144867</v>
      </c>
      <c r="S11" s="198"/>
      <c r="W11" s="196" t="s">
        <v>68</v>
      </c>
      <c r="X11" s="2" t="s">
        <v>269</v>
      </c>
      <c r="Y11" s="140">
        <v>35.53</v>
      </c>
      <c r="Z11" s="140">
        <v>39.799999999999997</v>
      </c>
      <c r="AA11" s="140">
        <v>18.420000000000002</v>
      </c>
      <c r="AB11" s="140">
        <v>7.56</v>
      </c>
      <c r="AC11" s="140">
        <v>23.97</v>
      </c>
      <c r="AD11" s="140">
        <v>17.66</v>
      </c>
      <c r="AE11" s="140">
        <v>22.14</v>
      </c>
      <c r="AF11" s="140">
        <v>30.76</v>
      </c>
      <c r="AG11" s="140">
        <v>13.86</v>
      </c>
      <c r="AH11" s="140">
        <v>3.04</v>
      </c>
      <c r="AI11" s="140">
        <v>14.94</v>
      </c>
      <c r="AJ11" s="140">
        <v>8.5500000000000007</v>
      </c>
      <c r="AK11" s="140">
        <v>19.32</v>
      </c>
      <c r="AL11" s="140">
        <v>11.67</v>
      </c>
      <c r="AM11" s="140">
        <v>33.33</v>
      </c>
      <c r="AN11" s="140">
        <v>22.7</v>
      </c>
      <c r="AO11" s="140">
        <v>11.68</v>
      </c>
      <c r="AP11" s="2">
        <f t="shared" si="4"/>
        <v>334.92999999999995</v>
      </c>
      <c r="AQ11" s="23">
        <f>(AP11/((G49+G50)/2))/10</f>
        <v>4.1521265533301346</v>
      </c>
      <c r="AR11" s="23">
        <v>6.1</v>
      </c>
      <c r="AS11" s="23">
        <v>3.5</v>
      </c>
      <c r="AT11" s="23">
        <v>4.8</v>
      </c>
    </row>
    <row r="12" spans="1:46">
      <c r="A12" s="196"/>
      <c r="B12" s="2" t="s">
        <v>237</v>
      </c>
      <c r="C12" s="26">
        <v>0.1343</v>
      </c>
      <c r="D12" s="33">
        <f>C12*('Análisis sólidos'!F8/100)</f>
        <v>0.12484190234544207</v>
      </c>
      <c r="E12" s="26">
        <v>1.84</v>
      </c>
      <c r="F12" s="26">
        <v>0.1</v>
      </c>
      <c r="G12" s="34">
        <f t="shared" si="0"/>
        <v>2.0634097619500498</v>
      </c>
      <c r="H12" s="34">
        <f t="shared" si="1"/>
        <v>8.9541090283762443</v>
      </c>
      <c r="I12" s="199"/>
      <c r="K12" s="196"/>
      <c r="L12" s="2" t="s">
        <v>237</v>
      </c>
      <c r="M12" s="2">
        <v>2</v>
      </c>
      <c r="N12" s="2">
        <v>1.48</v>
      </c>
      <c r="O12" s="2">
        <v>0.1</v>
      </c>
      <c r="P12" s="2">
        <f t="shared" si="2"/>
        <v>1036</v>
      </c>
      <c r="Q12" s="2">
        <f t="shared" si="3"/>
        <v>4495.693063228975</v>
      </c>
      <c r="R12" s="17">
        <f>(Q12*Experimentos!R36)/(1000*1000)</f>
        <v>0.98451182391651326</v>
      </c>
      <c r="S12" s="199"/>
      <c r="W12" s="196"/>
      <c r="X12" s="2" t="s">
        <v>270</v>
      </c>
      <c r="Y12" s="141">
        <v>0.44</v>
      </c>
      <c r="Z12" s="141">
        <v>0.45</v>
      </c>
      <c r="AA12" s="141">
        <v>0.18</v>
      </c>
      <c r="AB12" s="141">
        <v>0.21</v>
      </c>
      <c r="AC12" s="141">
        <v>0.28000000000000003</v>
      </c>
      <c r="AD12" s="141">
        <v>0.21</v>
      </c>
      <c r="AE12" s="141">
        <v>0.13</v>
      </c>
      <c r="AF12" s="141">
        <v>0.28999999999999998</v>
      </c>
      <c r="AG12" s="141">
        <v>0.14000000000000001</v>
      </c>
      <c r="AH12" s="141">
        <v>0.03</v>
      </c>
      <c r="AI12" s="141">
        <v>0.16</v>
      </c>
      <c r="AJ12" s="141">
        <v>7.0000000000000007E-2</v>
      </c>
      <c r="AK12" s="141">
        <v>0.15</v>
      </c>
      <c r="AL12" s="141">
        <v>0.05</v>
      </c>
      <c r="AM12" s="141">
        <v>0.28000000000000003</v>
      </c>
      <c r="AN12" s="141">
        <v>0.23</v>
      </c>
      <c r="AO12" s="141">
        <v>0.24</v>
      </c>
      <c r="AP12" s="26">
        <f>SUM(Y12:AO12)</f>
        <v>3.5399999999999991</v>
      </c>
      <c r="AQ12" s="23">
        <f>(AP12/((P49+P50)/2))*1000</f>
        <v>2.2728731942215084</v>
      </c>
      <c r="AR12" s="23">
        <v>6.1</v>
      </c>
      <c r="AS12" s="23">
        <v>0.2</v>
      </c>
      <c r="AT12" s="23">
        <v>3.1</v>
      </c>
    </row>
    <row r="13" spans="1:46">
      <c r="A13" s="196" t="s">
        <v>25</v>
      </c>
      <c r="B13" s="2" t="s">
        <v>236</v>
      </c>
      <c r="C13" s="26">
        <v>0.1023</v>
      </c>
      <c r="D13" s="33">
        <f>C13*('Análisis sólidos'!F9/100)</f>
        <v>9.4121747191011115E-2</v>
      </c>
      <c r="E13" s="26">
        <v>3.72</v>
      </c>
      <c r="F13" s="26">
        <v>0.05</v>
      </c>
      <c r="G13" s="34">
        <f t="shared" si="0"/>
        <v>2.7666294748177913</v>
      </c>
      <c r="H13" s="34">
        <f t="shared" si="1"/>
        <v>12.005711330562903</v>
      </c>
      <c r="I13" s="197">
        <f>STDEV(H13:H15)</f>
        <v>15.501210697901721</v>
      </c>
      <c r="K13" s="196" t="s">
        <v>25</v>
      </c>
      <c r="L13" s="2" t="s">
        <v>236</v>
      </c>
      <c r="M13" s="2">
        <v>2</v>
      </c>
      <c r="N13" s="2">
        <v>1.04</v>
      </c>
      <c r="O13" s="2">
        <v>0.1</v>
      </c>
      <c r="P13" s="2">
        <f t="shared" si="2"/>
        <v>728.00000000000011</v>
      </c>
      <c r="Q13" s="2">
        <f t="shared" si="3"/>
        <v>3159.135666052794</v>
      </c>
      <c r="R13" s="17">
        <f>(Q13*Experimentos!R37)/(1000*1000)</f>
        <v>0.64901283123388598</v>
      </c>
      <c r="S13" s="197">
        <f t="shared" ref="S13" si="6">STDEV(R13:R16)</f>
        <v>5.1963759139262315E-2</v>
      </c>
      <c r="W13" s="196" t="s">
        <v>72</v>
      </c>
      <c r="X13" s="2" t="s">
        <v>269</v>
      </c>
      <c r="Y13" s="140">
        <v>36.64</v>
      </c>
      <c r="Z13" s="140">
        <v>39.11</v>
      </c>
      <c r="AA13" s="140">
        <v>18.420000000000002</v>
      </c>
      <c r="AB13" s="140">
        <v>8.52</v>
      </c>
      <c r="AC13" s="140">
        <v>24.45</v>
      </c>
      <c r="AD13" s="140">
        <v>18.47</v>
      </c>
      <c r="AE13" s="140">
        <v>22.62</v>
      </c>
      <c r="AF13" s="140">
        <v>29.97</v>
      </c>
      <c r="AG13" s="140">
        <v>14.94</v>
      </c>
      <c r="AH13" s="140">
        <v>2.17</v>
      </c>
      <c r="AI13" s="140">
        <v>16.25</v>
      </c>
      <c r="AJ13" s="140">
        <v>8.14</v>
      </c>
      <c r="AK13" s="140">
        <v>21.52</v>
      </c>
      <c r="AL13" s="140">
        <v>12.89</v>
      </c>
      <c r="AM13" s="140">
        <v>35.159999999999997</v>
      </c>
      <c r="AN13" s="140">
        <v>22.3</v>
      </c>
      <c r="AO13" s="140">
        <v>9.4600000000000009</v>
      </c>
      <c r="AP13" s="2">
        <f t="shared" ref="AP13:AP17" si="7">SUM(Y13:AO13)</f>
        <v>341.03</v>
      </c>
      <c r="AQ13" s="23">
        <f>(AP13/((G53+G54)/2))/10</f>
        <v>4.3879424989377105</v>
      </c>
      <c r="AR13" s="23">
        <v>6.1</v>
      </c>
      <c r="AS13" s="23">
        <v>3.8</v>
      </c>
      <c r="AT13" s="23">
        <v>4.9000000000000004</v>
      </c>
    </row>
    <row r="14" spans="1:46">
      <c r="A14" s="196"/>
      <c r="B14" s="2" t="s">
        <v>237</v>
      </c>
      <c r="C14" s="2">
        <v>0.13469999999999999</v>
      </c>
      <c r="D14" s="18">
        <f>C14*('Análisis sólidos'!F9/100)</f>
        <v>0.12393156741573015</v>
      </c>
      <c r="E14" s="2">
        <v>7.85</v>
      </c>
      <c r="F14" s="2">
        <v>0.1</v>
      </c>
      <c r="G14" s="23">
        <f t="shared" si="0"/>
        <v>8.8677971473836799</v>
      </c>
      <c r="H14" s="23">
        <f t="shared" si="1"/>
        <v>38.481558032446429</v>
      </c>
      <c r="I14" s="198"/>
      <c r="K14" s="196"/>
      <c r="L14" s="2" t="s">
        <v>237</v>
      </c>
      <c r="M14" s="2">
        <v>2</v>
      </c>
      <c r="N14" s="2">
        <v>1.1399999999999999</v>
      </c>
      <c r="O14" s="2">
        <v>0.1</v>
      </c>
      <c r="P14" s="2">
        <f t="shared" si="2"/>
        <v>797.99999999999989</v>
      </c>
      <c r="Q14" s="2">
        <f t="shared" si="3"/>
        <v>3462.8987108655615</v>
      </c>
      <c r="R14" s="17">
        <f>(Q14*Experimentos!R37)/(1000*1000)</f>
        <v>0.71141791116022102</v>
      </c>
      <c r="S14" s="198"/>
      <c r="W14" s="196"/>
      <c r="X14" s="2" t="s">
        <v>270</v>
      </c>
      <c r="Y14" s="141">
        <v>1.1499999999999999</v>
      </c>
      <c r="Z14" s="141">
        <v>1.18</v>
      </c>
      <c r="AA14" s="141">
        <v>0.5</v>
      </c>
      <c r="AB14" s="141">
        <v>0.18</v>
      </c>
      <c r="AC14" s="141">
        <v>0.66</v>
      </c>
      <c r="AD14" s="141">
        <v>0.33</v>
      </c>
      <c r="AE14" s="141">
        <v>0.5</v>
      </c>
      <c r="AF14" s="141">
        <v>0.86</v>
      </c>
      <c r="AG14" s="141">
        <v>0.37</v>
      </c>
      <c r="AH14" s="141">
        <v>0.06</v>
      </c>
      <c r="AI14" s="141">
        <v>0.37</v>
      </c>
      <c r="AJ14" s="141">
        <v>0.22</v>
      </c>
      <c r="AK14" s="141">
        <v>0.44</v>
      </c>
      <c r="AL14" s="141">
        <v>0.25</v>
      </c>
      <c r="AM14" s="141">
        <v>0.8</v>
      </c>
      <c r="AN14" s="141">
        <v>0.59</v>
      </c>
      <c r="AO14" s="141">
        <v>0.54</v>
      </c>
      <c r="AP14" s="23">
        <f t="shared" si="7"/>
        <v>9</v>
      </c>
      <c r="AQ14" s="23">
        <f>(AP14/((P53+P54)/2))*1000</f>
        <v>4.1508128675198899</v>
      </c>
      <c r="AR14" s="23">
        <v>6.2</v>
      </c>
      <c r="AS14" s="23">
        <v>0.3</v>
      </c>
      <c r="AT14" s="23">
        <v>3.3</v>
      </c>
    </row>
    <row r="15" spans="1:46">
      <c r="A15" s="196" t="s">
        <v>27</v>
      </c>
      <c r="B15" s="2" t="s">
        <v>236</v>
      </c>
      <c r="C15" s="26">
        <v>0.109</v>
      </c>
      <c r="D15" s="33">
        <f>C15*('Análisis sólidos'!F10/100)</f>
        <v>9.9417147627863203E-2</v>
      </c>
      <c r="E15" s="26">
        <v>3.69</v>
      </c>
      <c r="F15" s="26">
        <v>0.05</v>
      </c>
      <c r="G15" s="34">
        <f t="shared" si="0"/>
        <v>2.5981433400892242</v>
      </c>
      <c r="H15" s="34">
        <f t="shared" si="1"/>
        <v>11.27457045493599</v>
      </c>
      <c r="I15" s="198"/>
      <c r="K15" s="196" t="s">
        <v>27</v>
      </c>
      <c r="L15" s="2" t="s">
        <v>236</v>
      </c>
      <c r="M15" s="2">
        <v>2</v>
      </c>
      <c r="N15" s="2">
        <v>1.21</v>
      </c>
      <c r="O15" s="2">
        <v>0.1</v>
      </c>
      <c r="P15" s="2">
        <f t="shared" si="2"/>
        <v>847</v>
      </c>
      <c r="Q15" s="2">
        <f t="shared" si="3"/>
        <v>3675.5328422345001</v>
      </c>
      <c r="R15" s="17">
        <f>(Q15*Experimentos!R38)/(1000*1000)</f>
        <v>0.76168067089625546</v>
      </c>
      <c r="S15" s="198"/>
      <c r="W15" s="196" t="s">
        <v>74</v>
      </c>
      <c r="X15" s="2" t="s">
        <v>269</v>
      </c>
      <c r="Y15" s="140">
        <v>38.340000000000003</v>
      </c>
      <c r="Z15" s="140">
        <v>42.44</v>
      </c>
      <c r="AA15" s="140">
        <v>19.03</v>
      </c>
      <c r="AB15" s="140">
        <v>8.34</v>
      </c>
      <c r="AC15" s="140">
        <v>24.8</v>
      </c>
      <c r="AD15" s="140">
        <v>19.03</v>
      </c>
      <c r="AE15" s="140">
        <v>22.9</v>
      </c>
      <c r="AF15" s="140">
        <v>32.07</v>
      </c>
      <c r="AG15" s="140">
        <v>14.6</v>
      </c>
      <c r="AH15" s="140">
        <v>3.98</v>
      </c>
      <c r="AI15" s="140">
        <v>16.739999999999998</v>
      </c>
      <c r="AJ15" s="140">
        <v>8.56</v>
      </c>
      <c r="AK15" s="140">
        <v>21.02</v>
      </c>
      <c r="AL15" s="140">
        <v>13.35</v>
      </c>
      <c r="AM15" s="140">
        <v>35.26</v>
      </c>
      <c r="AN15" s="140">
        <v>24.35</v>
      </c>
      <c r="AO15" s="140">
        <v>12.31</v>
      </c>
      <c r="AP15" s="47">
        <f>SUM(Y15:AO15)</f>
        <v>357.12000000000006</v>
      </c>
      <c r="AQ15" s="23">
        <f>(AP15/((G58+G58)/2))/10</f>
        <v>5.1181568954605527</v>
      </c>
      <c r="AR15" s="23">
        <v>6.1</v>
      </c>
      <c r="AS15" s="23">
        <v>4.3</v>
      </c>
      <c r="AT15" s="23">
        <v>5.2</v>
      </c>
    </row>
    <row r="16" spans="1:46">
      <c r="A16" s="196"/>
      <c r="B16" s="2" t="s">
        <v>237</v>
      </c>
      <c r="C16" s="58">
        <v>0.12759999999999999</v>
      </c>
      <c r="D16" s="53">
        <f>C16*('Análisis sólidos'!F10/100)</f>
        <v>0.11638190859922333</v>
      </c>
      <c r="E16" s="58">
        <v>7.7</v>
      </c>
      <c r="F16" s="58">
        <v>0.1</v>
      </c>
      <c r="G16" s="54">
        <f t="shared" si="0"/>
        <v>9.2626080202227747</v>
      </c>
      <c r="H16" s="54">
        <f t="shared" si="1"/>
        <v>40.194828787572007</v>
      </c>
      <c r="I16" s="199"/>
      <c r="K16" s="196"/>
      <c r="L16" s="2" t="s">
        <v>237</v>
      </c>
      <c r="M16" s="2">
        <v>2</v>
      </c>
      <c r="N16" s="2">
        <v>1.2</v>
      </c>
      <c r="O16" s="2">
        <v>0.1</v>
      </c>
      <c r="P16" s="2">
        <f t="shared" si="2"/>
        <v>840</v>
      </c>
      <c r="Q16" s="2">
        <f t="shared" si="3"/>
        <v>3645.1565377532233</v>
      </c>
      <c r="R16" s="17">
        <f>(Q16*Experimentos!R38)/(1000*1000)</f>
        <v>0.75538578931860045</v>
      </c>
      <c r="S16" s="199"/>
      <c r="W16" s="196"/>
      <c r="X16" s="2" t="s">
        <v>270</v>
      </c>
      <c r="Y16" s="141">
        <v>0.47</v>
      </c>
      <c r="Z16" s="141">
        <v>0.7</v>
      </c>
      <c r="AA16" s="141">
        <v>0.22</v>
      </c>
      <c r="AB16" s="141">
        <v>0.04</v>
      </c>
      <c r="AC16" s="141">
        <v>0.25</v>
      </c>
      <c r="AD16" s="141">
        <v>0.2</v>
      </c>
      <c r="AE16" s="141">
        <v>0.25</v>
      </c>
      <c r="AF16" s="141">
        <v>0.5</v>
      </c>
      <c r="AG16" s="141">
        <v>0.12</v>
      </c>
      <c r="AH16" s="141">
        <v>0.02</v>
      </c>
      <c r="AI16" s="141">
        <v>0.13</v>
      </c>
      <c r="AJ16" s="141">
        <v>0.05</v>
      </c>
      <c r="AK16" s="141">
        <v>0.13</v>
      </c>
      <c r="AL16" s="141">
        <v>7.0000000000000007E-2</v>
      </c>
      <c r="AM16" s="141">
        <v>0.25</v>
      </c>
      <c r="AN16" s="141">
        <v>0.23</v>
      </c>
      <c r="AO16" s="141">
        <v>0.18</v>
      </c>
      <c r="AP16" s="2">
        <f t="shared" si="7"/>
        <v>3.8099999999999996</v>
      </c>
      <c r="AQ16" s="23">
        <f>(AP16/((P58+P57)/2))*1000</f>
        <v>3.6529242569511022</v>
      </c>
      <c r="AR16" s="2">
        <v>3.1</v>
      </c>
      <c r="AS16" s="2">
        <v>0.3</v>
      </c>
      <c r="AT16" s="2">
        <v>3.2</v>
      </c>
    </row>
    <row r="17" spans="1:46">
      <c r="A17" s="196" t="s">
        <v>29</v>
      </c>
      <c r="B17" s="2" t="s">
        <v>236</v>
      </c>
      <c r="C17" s="2">
        <v>0.10440000000000001</v>
      </c>
      <c r="D17" s="18">
        <f>C17*('Análisis sólidos'!F11/100)</f>
        <v>9.1787337567171515E-2</v>
      </c>
      <c r="E17" s="2">
        <v>3.5</v>
      </c>
      <c r="F17" s="2">
        <v>0.05</v>
      </c>
      <c r="G17" s="23">
        <f t="shared" si="0"/>
        <v>2.6692134938624283</v>
      </c>
      <c r="H17" s="23">
        <f t="shared" si="1"/>
        <v>11.58297740215685</v>
      </c>
      <c r="I17" s="197">
        <f t="shared" ref="I17" si="8">STDEV(H17:H20)</f>
        <v>2.3858674134167561</v>
      </c>
      <c r="K17" s="196" t="s">
        <v>29</v>
      </c>
      <c r="L17" s="2" t="s">
        <v>236</v>
      </c>
      <c r="M17" s="26">
        <v>2</v>
      </c>
      <c r="N17" s="26">
        <f>N67</f>
        <v>1.36</v>
      </c>
      <c r="O17" s="26">
        <v>0.1</v>
      </c>
      <c r="P17" s="26">
        <f t="shared" si="2"/>
        <v>952.00000000000011</v>
      </c>
      <c r="Q17" s="26">
        <f t="shared" si="3"/>
        <v>4131.1774094536531</v>
      </c>
      <c r="R17" s="47">
        <f>(Q17*Experimentos!R39)/(1000*1000)</f>
        <v>0.90191865203192156</v>
      </c>
      <c r="S17" s="197">
        <f>STDEV(R17,R19)</f>
        <v>4.84615760972145E-2</v>
      </c>
      <c r="W17" s="8" t="s">
        <v>218</v>
      </c>
      <c r="X17" s="2" t="s">
        <v>271</v>
      </c>
      <c r="Y17" s="140">
        <v>37.340000000000003</v>
      </c>
      <c r="Z17" s="140">
        <v>49.28</v>
      </c>
      <c r="AA17" s="140">
        <v>20.04</v>
      </c>
      <c r="AB17" s="140">
        <v>7.61</v>
      </c>
      <c r="AC17" s="140">
        <v>23.32</v>
      </c>
      <c r="AD17" s="140">
        <v>16.61</v>
      </c>
      <c r="AE17" s="140">
        <v>22.8</v>
      </c>
      <c r="AF17" s="140">
        <v>34.270000000000003</v>
      </c>
      <c r="AG17" s="140">
        <v>13.1</v>
      </c>
      <c r="AH17" s="140">
        <v>3.11</v>
      </c>
      <c r="AI17" s="140">
        <v>14.49</v>
      </c>
      <c r="AJ17" s="140">
        <v>7.85</v>
      </c>
      <c r="AK17" s="140">
        <v>18.45</v>
      </c>
      <c r="AL17" s="140">
        <v>10.94</v>
      </c>
      <c r="AM17" s="140">
        <v>31.52</v>
      </c>
      <c r="AN17" s="140">
        <v>22.58</v>
      </c>
      <c r="AO17" s="140">
        <v>20.14</v>
      </c>
      <c r="AP17" s="2">
        <f t="shared" si="7"/>
        <v>353.45</v>
      </c>
      <c r="AQ17" s="23">
        <f>(AP17/8.145)/10</f>
        <v>4.3394720687538371</v>
      </c>
      <c r="AR17" s="2">
        <v>6.2</v>
      </c>
      <c r="AS17" s="2">
        <v>3.7</v>
      </c>
      <c r="AT17" s="2">
        <v>4.9000000000000004</v>
      </c>
    </row>
    <row r="18" spans="1:46">
      <c r="A18" s="196"/>
      <c r="B18" s="2" t="s">
        <v>237</v>
      </c>
      <c r="C18" s="2">
        <v>0.1024</v>
      </c>
      <c r="D18" s="18">
        <f>C18*('Análisis sólidos'!F11/100)</f>
        <v>9.0028959452857896E-2</v>
      </c>
      <c r="E18" s="2">
        <v>3.83</v>
      </c>
      <c r="F18" s="2">
        <v>0.05</v>
      </c>
      <c r="G18" s="23">
        <f t="shared" si="0"/>
        <v>2.977930675077789</v>
      </c>
      <c r="H18" s="23">
        <f t="shared" si="1"/>
        <v>12.922646987185324</v>
      </c>
      <c r="I18" s="198"/>
      <c r="K18" s="196"/>
      <c r="L18" s="2" t="s">
        <v>237</v>
      </c>
      <c r="M18" s="58">
        <v>2</v>
      </c>
      <c r="N18" s="58">
        <v>5.9</v>
      </c>
      <c r="O18" s="58">
        <v>0.1</v>
      </c>
      <c r="P18" s="58">
        <f t="shared" si="2"/>
        <v>4130.0000000000009</v>
      </c>
      <c r="Q18" s="58">
        <f t="shared" si="3"/>
        <v>17922.01964395335</v>
      </c>
      <c r="R18" s="59">
        <f>(Q18*Experimentos!R39)/(1000*1000)</f>
        <v>3.9127353286678952</v>
      </c>
      <c r="S18" s="198"/>
      <c r="W18" s="85"/>
      <c r="X18" s="14" t="s">
        <v>272</v>
      </c>
    </row>
    <row r="19" spans="1:46">
      <c r="A19" s="196" t="s">
        <v>33</v>
      </c>
      <c r="B19" s="2" t="s">
        <v>236</v>
      </c>
      <c r="C19" s="2">
        <v>0.13059999999999999</v>
      </c>
      <c r="D19" s="18">
        <f>C19*('Análisis sólidos'!F12/100)</f>
        <v>0.10693428269386233</v>
      </c>
      <c r="E19" s="2">
        <v>2.86</v>
      </c>
      <c r="F19" s="2">
        <v>0.05</v>
      </c>
      <c r="G19" s="23">
        <f t="shared" si="0"/>
        <v>1.8721778924084069</v>
      </c>
      <c r="H19" s="23">
        <f t="shared" si="1"/>
        <v>8.1242636718447088</v>
      </c>
      <c r="I19" s="198"/>
      <c r="K19" s="196" t="s">
        <v>33</v>
      </c>
      <c r="L19" s="2" t="s">
        <v>236</v>
      </c>
      <c r="M19" s="26">
        <v>2</v>
      </c>
      <c r="N19" s="26">
        <f>N68</f>
        <v>1.46</v>
      </c>
      <c r="O19" s="26">
        <v>0.1</v>
      </c>
      <c r="P19" s="26">
        <f t="shared" si="2"/>
        <v>1021.9999999999999</v>
      </c>
      <c r="Q19" s="26">
        <f t="shared" si="3"/>
        <v>4434.9404542664206</v>
      </c>
      <c r="R19" s="47">
        <f>(Q19*Experimentos!R40)/(1000*1000)</f>
        <v>0.97045367020257811</v>
      </c>
      <c r="S19" s="198"/>
      <c r="W19" s="7" t="s">
        <v>0</v>
      </c>
      <c r="X19" s="7" t="s">
        <v>228</v>
      </c>
      <c r="Y19" s="160" t="s">
        <v>247</v>
      </c>
      <c r="Z19" s="160" t="s">
        <v>248</v>
      </c>
      <c r="AA19" s="160" t="s">
        <v>249</v>
      </c>
      <c r="AB19" s="7" t="s">
        <v>250</v>
      </c>
      <c r="AC19" s="160" t="s">
        <v>251</v>
      </c>
      <c r="AD19" s="7" t="s">
        <v>252</v>
      </c>
      <c r="AE19" s="160" t="s">
        <v>253</v>
      </c>
      <c r="AF19" s="160" t="s">
        <v>254</v>
      </c>
      <c r="AG19" s="160" t="s">
        <v>255</v>
      </c>
      <c r="AH19" s="160" t="s">
        <v>256</v>
      </c>
      <c r="AI19" s="7" t="s">
        <v>257</v>
      </c>
      <c r="AJ19" s="7" t="s">
        <v>258</v>
      </c>
      <c r="AK19" s="7" t="s">
        <v>259</v>
      </c>
      <c r="AL19" s="7" t="s">
        <v>260</v>
      </c>
      <c r="AM19" s="7" t="s">
        <v>261</v>
      </c>
      <c r="AN19" s="7" t="s">
        <v>262</v>
      </c>
      <c r="AO19" s="160" t="s">
        <v>263</v>
      </c>
      <c r="AP19" s="7" t="s">
        <v>264</v>
      </c>
    </row>
    <row r="20" spans="1:46">
      <c r="A20" s="196"/>
      <c r="B20" s="2" t="s">
        <v>237</v>
      </c>
      <c r="C20" s="2">
        <v>0.1552</v>
      </c>
      <c r="D20" s="18">
        <f>C20*('Análisis sólidos'!F12/100)</f>
        <v>0.12707657483987317</v>
      </c>
      <c r="E20" s="2">
        <v>3.49</v>
      </c>
      <c r="F20" s="2">
        <v>0.05</v>
      </c>
      <c r="G20" s="23">
        <f t="shared" si="0"/>
        <v>1.9224628953671272</v>
      </c>
      <c r="H20" s="23">
        <f t="shared" si="1"/>
        <v>8.3424740376612796</v>
      </c>
      <c r="I20" s="199"/>
      <c r="K20" s="196"/>
      <c r="L20" s="2" t="s">
        <v>237</v>
      </c>
      <c r="M20" s="58">
        <v>2</v>
      </c>
      <c r="N20" s="58">
        <v>5.89</v>
      </c>
      <c r="O20" s="58">
        <v>0.1</v>
      </c>
      <c r="P20" s="58">
        <f t="shared" si="2"/>
        <v>4123</v>
      </c>
      <c r="Q20" s="58">
        <f t="shared" si="3"/>
        <v>17891.64333947207</v>
      </c>
      <c r="R20" s="59">
        <f>(Q20*Experimentos!R40)/(1000*1000)</f>
        <v>3.9150493955432784</v>
      </c>
      <c r="S20" s="199"/>
      <c r="V20" t="s">
        <v>47</v>
      </c>
      <c r="W20" s="196" t="s">
        <v>54</v>
      </c>
      <c r="X20" s="2" t="s">
        <v>269</v>
      </c>
      <c r="Y20" s="23">
        <f>(Y5/$AP$5)*100</f>
        <v>10.732632807939286</v>
      </c>
      <c r="Z20" s="23">
        <f t="shared" ref="Z20:AO20" si="9">(Z5/$AP$5)*100</f>
        <v>11.923525977816693</v>
      </c>
      <c r="AA20" s="23">
        <f t="shared" si="9"/>
        <v>5.504962054874488</v>
      </c>
      <c r="AB20" s="23">
        <f t="shared" si="9"/>
        <v>2.2737886748394622</v>
      </c>
      <c r="AC20" s="23">
        <f t="shared" si="9"/>
        <v>7.1366024518388773</v>
      </c>
      <c r="AD20" s="23">
        <f t="shared" si="9"/>
        <v>5.3415061295971968</v>
      </c>
      <c r="AE20" s="23">
        <f t="shared" si="9"/>
        <v>6.4127262113251593</v>
      </c>
      <c r="AF20" s="23">
        <f t="shared" si="9"/>
        <v>9.1360186806771733</v>
      </c>
      <c r="AG20" s="23">
        <f t="shared" si="9"/>
        <v>4.1068301225919432</v>
      </c>
      <c r="AH20" s="23">
        <f t="shared" si="9"/>
        <v>0.82019848219497937</v>
      </c>
      <c r="AI20" s="23">
        <f t="shared" si="9"/>
        <v>4.5008756567425561</v>
      </c>
      <c r="AJ20" s="23">
        <f t="shared" si="9"/>
        <v>2.3613543490951541</v>
      </c>
      <c r="AK20" s="23">
        <f t="shared" si="9"/>
        <v>5.8026853473438393</v>
      </c>
      <c r="AL20" s="23">
        <f t="shared" si="9"/>
        <v>3.5668417980151772</v>
      </c>
      <c r="AM20" s="23">
        <f t="shared" si="9"/>
        <v>9.9562171628721519</v>
      </c>
      <c r="AN20" s="23">
        <f t="shared" si="9"/>
        <v>6.8563922942206634</v>
      </c>
      <c r="AO20" s="23">
        <f t="shared" si="9"/>
        <v>3.5668417980151772</v>
      </c>
      <c r="AP20" s="84">
        <f>SUM(Y20:AO20)</f>
        <v>99.999999999999986</v>
      </c>
    </row>
    <row r="21" spans="1:46">
      <c r="A21" s="196" t="s">
        <v>35</v>
      </c>
      <c r="B21" s="2" t="s">
        <v>236</v>
      </c>
      <c r="C21" s="2">
        <v>0.1206</v>
      </c>
      <c r="D21" s="18">
        <f>C21*('Análisis sólidos'!F13/100)</f>
        <v>0.11132874452703391</v>
      </c>
      <c r="E21" s="2">
        <v>7.6</v>
      </c>
      <c r="F21" s="2">
        <v>0.05</v>
      </c>
      <c r="G21" s="23">
        <f t="shared" si="0"/>
        <v>4.7786400741348034</v>
      </c>
      <c r="H21" s="23">
        <f t="shared" si="1"/>
        <v>20.736775128335744</v>
      </c>
      <c r="I21" s="197">
        <f t="shared" ref="I21" si="10">STDEV(H21:H24)</f>
        <v>1.3888596084967681</v>
      </c>
      <c r="K21" s="196" t="s">
        <v>35</v>
      </c>
      <c r="L21" s="2" t="s">
        <v>236</v>
      </c>
      <c r="M21" s="2">
        <v>2</v>
      </c>
      <c r="N21" s="2">
        <v>7.03</v>
      </c>
      <c r="O21" s="2">
        <v>0.05</v>
      </c>
      <c r="P21" s="2">
        <f t="shared" si="2"/>
        <v>2460.5000000000005</v>
      </c>
      <c r="Q21" s="2">
        <f t="shared" si="3"/>
        <v>10677.271025168819</v>
      </c>
      <c r="R21" s="17">
        <f>(Q21*Experimentos!R41)/(1000*1000)</f>
        <v>2.3532705339472075</v>
      </c>
      <c r="S21" s="197">
        <f>STDEV(R21:R24)</f>
        <v>0.15873873585067658</v>
      </c>
      <c r="V21" t="s">
        <v>207</v>
      </c>
      <c r="W21" s="196"/>
      <c r="X21" s="2" t="s">
        <v>270</v>
      </c>
      <c r="Y21" s="23">
        <f>(Y6/$AP$6)*100</f>
        <v>11.936339522546421</v>
      </c>
      <c r="Z21" s="23">
        <f t="shared" ref="Z21:AO21" si="11">(Z6/$AP$6)*100</f>
        <v>13.262599469496022</v>
      </c>
      <c r="AA21" s="23">
        <f t="shared" si="11"/>
        <v>4.774535809018567</v>
      </c>
      <c r="AB21" s="23">
        <f t="shared" si="11"/>
        <v>1.8567639257294433</v>
      </c>
      <c r="AC21" s="23">
        <f t="shared" si="11"/>
        <v>8.2228116710875341</v>
      </c>
      <c r="AD21" s="23">
        <f t="shared" si="11"/>
        <v>6.3660477453580899</v>
      </c>
      <c r="AE21" s="23">
        <f t="shared" si="11"/>
        <v>3.7135278514588865</v>
      </c>
      <c r="AF21" s="23">
        <f t="shared" si="11"/>
        <v>7.4270557029177731</v>
      </c>
      <c r="AG21" s="23">
        <f t="shared" si="11"/>
        <v>4.2440318302387263</v>
      </c>
      <c r="AH21" s="23">
        <f t="shared" si="11"/>
        <v>0.79575596816976124</v>
      </c>
      <c r="AI21" s="23">
        <f t="shared" si="11"/>
        <v>5.3050397877984086</v>
      </c>
      <c r="AJ21" s="23">
        <f t="shared" si="11"/>
        <v>2.3872679045092835</v>
      </c>
      <c r="AK21" s="23">
        <f t="shared" si="11"/>
        <v>4.774535809018567</v>
      </c>
      <c r="AL21" s="23">
        <f t="shared" si="11"/>
        <v>2.6525198938992043</v>
      </c>
      <c r="AM21" s="23">
        <f t="shared" si="11"/>
        <v>8.2228116710875341</v>
      </c>
      <c r="AN21" s="23">
        <f t="shared" si="11"/>
        <v>7.957559681697612</v>
      </c>
      <c r="AO21" s="23">
        <f t="shared" si="11"/>
        <v>6.1007957559681696</v>
      </c>
      <c r="AP21" s="2">
        <f t="shared" ref="AP21:AP26" si="12">SUM(Y21:AO21)</f>
        <v>100.00000000000001</v>
      </c>
    </row>
    <row r="22" spans="1:46">
      <c r="A22" s="196"/>
      <c r="B22" s="2" t="s">
        <v>237</v>
      </c>
      <c r="C22" s="2">
        <v>0.1326</v>
      </c>
      <c r="D22" s="18">
        <f>C22*('Análisis sólidos'!F13/100)</f>
        <v>0.12240623154464923</v>
      </c>
      <c r="E22" s="2">
        <v>8.6999999999999993</v>
      </c>
      <c r="F22" s="2">
        <v>0.05</v>
      </c>
      <c r="G22" s="23">
        <f t="shared" si="0"/>
        <v>4.9752369002378725</v>
      </c>
      <c r="H22" s="23">
        <f t="shared" si="1"/>
        <v>21.589901564015669</v>
      </c>
      <c r="I22" s="198"/>
      <c r="K22" s="196"/>
      <c r="L22" s="2" t="s">
        <v>237</v>
      </c>
      <c r="M22" s="2">
        <v>2</v>
      </c>
      <c r="N22" s="2">
        <v>3.02</v>
      </c>
      <c r="O22" s="2">
        <v>0.1</v>
      </c>
      <c r="P22" s="2">
        <f t="shared" si="2"/>
        <v>2114.0000000000005</v>
      </c>
      <c r="Q22" s="2">
        <f t="shared" si="3"/>
        <v>9173.6439533456141</v>
      </c>
      <c r="R22" s="17">
        <f>(Q22*Experimentos!R41)/(1000*1000)</f>
        <v>2.0218711273173735</v>
      </c>
      <c r="S22" s="198"/>
      <c r="V22" t="s">
        <v>208</v>
      </c>
      <c r="W22" s="196" t="s">
        <v>60</v>
      </c>
      <c r="X22" s="2" t="s">
        <v>269</v>
      </c>
      <c r="Y22" s="23">
        <f>(Y7/$AP$7)*100</f>
        <v>10.770516033673928</v>
      </c>
      <c r="Z22" s="23">
        <f t="shared" ref="Z22:AO22" si="13">(Z7/$AP$7)*100</f>
        <v>11.284621810937599</v>
      </c>
      <c r="AA22" s="23">
        <f t="shared" si="13"/>
        <v>5.3402737613263929</v>
      </c>
      <c r="AB22" s="23">
        <f t="shared" si="13"/>
        <v>2.3391812865497075</v>
      </c>
      <c r="AC22" s="23">
        <f t="shared" si="13"/>
        <v>7.264957264957264</v>
      </c>
      <c r="AD22" s="23">
        <f t="shared" si="13"/>
        <v>5.1699762226078017</v>
      </c>
      <c r="AE22" s="23">
        <f t="shared" si="13"/>
        <v>6.5419960156802253</v>
      </c>
      <c r="AF22" s="23">
        <f t="shared" si="13"/>
        <v>8.8072745967482788</v>
      </c>
      <c r="AG22" s="23">
        <f t="shared" si="13"/>
        <v>4.2317331791015995</v>
      </c>
      <c r="AH22" s="23">
        <f t="shared" si="13"/>
        <v>0.88040614356403835</v>
      </c>
      <c r="AI22" s="23">
        <f t="shared" si="13"/>
        <v>4.4598676177623542</v>
      </c>
      <c r="AJ22" s="23">
        <f t="shared" si="13"/>
        <v>2.4420024420024418</v>
      </c>
      <c r="AK22" s="23">
        <f t="shared" si="13"/>
        <v>6.2078272604588394</v>
      </c>
      <c r="AL22" s="23">
        <f t="shared" si="13"/>
        <v>3.6244457297088868</v>
      </c>
      <c r="AM22" s="23">
        <f t="shared" si="13"/>
        <v>10.23391812865497</v>
      </c>
      <c r="AN22" s="23">
        <f t="shared" si="13"/>
        <v>6.5516354990039201</v>
      </c>
      <c r="AO22" s="23">
        <f t="shared" si="13"/>
        <v>3.8493670072617441</v>
      </c>
      <c r="AP22" s="2">
        <f t="shared" si="12"/>
        <v>99.999999999999986</v>
      </c>
    </row>
    <row r="23" spans="1:46">
      <c r="A23" s="196" t="s">
        <v>36</v>
      </c>
      <c r="B23" s="2" t="s">
        <v>236</v>
      </c>
      <c r="C23" s="2">
        <v>0.13980000000000001</v>
      </c>
      <c r="D23" s="18">
        <f>C23*('Análisis sólidos'!F14/100)</f>
        <v>0.13223111491547188</v>
      </c>
      <c r="E23" s="27">
        <v>9.1300000000000008</v>
      </c>
      <c r="F23" s="2">
        <v>0.05</v>
      </c>
      <c r="G23" s="23">
        <f t="shared" si="0"/>
        <v>4.8332043514005143</v>
      </c>
      <c r="H23" s="23">
        <f t="shared" si="1"/>
        <v>20.973555285482036</v>
      </c>
      <c r="I23" s="198"/>
      <c r="K23" s="196" t="s">
        <v>36</v>
      </c>
      <c r="L23" s="2" t="s">
        <v>236</v>
      </c>
      <c r="M23" s="2">
        <v>2</v>
      </c>
      <c r="N23" s="2">
        <v>7.03</v>
      </c>
      <c r="O23" s="2">
        <v>0.05</v>
      </c>
      <c r="P23" s="2">
        <f t="shared" si="2"/>
        <v>2460.5000000000005</v>
      </c>
      <c r="Q23" s="2">
        <f t="shared" si="3"/>
        <v>10677.271025168819</v>
      </c>
      <c r="R23" s="17">
        <f>(Q23*Experimentos!R42)/(1000*1000)</f>
        <v>2.3605310782443225</v>
      </c>
      <c r="S23" s="198"/>
      <c r="V23" t="s">
        <v>209</v>
      </c>
      <c r="W23" s="196"/>
      <c r="X23" s="2" t="s">
        <v>270</v>
      </c>
      <c r="Y23" s="23">
        <f>(Y8/$AP$8)*100</f>
        <v>13.291925465838512</v>
      </c>
      <c r="Z23" s="23">
        <f t="shared" ref="Z23:AO23" si="14">(Z8/$AP$8)*100</f>
        <v>14.534161490683232</v>
      </c>
      <c r="AA23" s="23">
        <f t="shared" si="14"/>
        <v>5.5900621118012435</v>
      </c>
      <c r="AB23" s="23">
        <f t="shared" si="14"/>
        <v>1.7391304347826091</v>
      </c>
      <c r="AC23" s="23">
        <f t="shared" si="14"/>
        <v>7.329192546583851</v>
      </c>
      <c r="AD23" s="23">
        <f t="shared" si="14"/>
        <v>5.8385093167701863</v>
      </c>
      <c r="AE23" s="23">
        <f t="shared" si="14"/>
        <v>4.8447204968944106</v>
      </c>
      <c r="AF23" s="23">
        <f t="shared" si="14"/>
        <v>10.931677018633541</v>
      </c>
      <c r="AG23" s="23">
        <f t="shared" si="14"/>
        <v>4.0993788819875778</v>
      </c>
      <c r="AH23" s="23">
        <f t="shared" si="14"/>
        <v>0.4968944099378883</v>
      </c>
      <c r="AI23" s="23">
        <f t="shared" si="14"/>
        <v>3.8509316770186341</v>
      </c>
      <c r="AJ23" s="23">
        <f t="shared" si="14"/>
        <v>2.1118012422360253</v>
      </c>
      <c r="AK23" s="23">
        <f t="shared" si="14"/>
        <v>4.2236024844720506</v>
      </c>
      <c r="AL23" s="23">
        <f t="shared" si="14"/>
        <v>2.3602484472049694</v>
      </c>
      <c r="AM23" s="23">
        <f t="shared" si="14"/>
        <v>5.7142857142857153</v>
      </c>
      <c r="AN23" s="23">
        <f t="shared" si="14"/>
        <v>7.4534161490683228</v>
      </c>
      <c r="AO23" s="23">
        <f t="shared" si="14"/>
        <v>5.5900621118012435</v>
      </c>
      <c r="AP23" s="2">
        <f t="shared" si="12"/>
        <v>100</v>
      </c>
    </row>
    <row r="24" spans="1:46">
      <c r="A24" s="196"/>
      <c r="B24" s="2" t="s">
        <v>237</v>
      </c>
      <c r="C24" s="2">
        <v>0.15379999999999999</v>
      </c>
      <c r="D24" s="18">
        <f>C24*('Análisis sólidos'!F14/100)</f>
        <v>0.14547314359084099</v>
      </c>
      <c r="E24" s="2">
        <v>8.82</v>
      </c>
      <c r="F24" s="2">
        <v>0.05</v>
      </c>
      <c r="G24" s="23">
        <f t="shared" si="0"/>
        <v>4.2440823423497642</v>
      </c>
      <c r="H24" s="23">
        <f t="shared" si="1"/>
        <v>18.417076782118162</v>
      </c>
      <c r="I24" s="199"/>
      <c r="K24" s="196"/>
      <c r="L24" s="2" t="s">
        <v>237</v>
      </c>
      <c r="M24" s="2">
        <v>2</v>
      </c>
      <c r="N24" s="2">
        <v>3.39</v>
      </c>
      <c r="O24" s="2">
        <v>0.1</v>
      </c>
      <c r="P24" s="2">
        <f t="shared" si="2"/>
        <v>2373</v>
      </c>
      <c r="Q24" s="2">
        <f t="shared" si="3"/>
        <v>10297.567219152856</v>
      </c>
      <c r="R24" s="17">
        <f>(Q24*Experimentos!R42)/(1000*1000)</f>
        <v>2.2765861608103135</v>
      </c>
      <c r="S24" s="199"/>
      <c r="V24" t="s">
        <v>210</v>
      </c>
      <c r="W24" s="196" t="s">
        <v>65</v>
      </c>
      <c r="X24" s="2" t="s">
        <v>269</v>
      </c>
      <c r="Y24" s="23">
        <f>(Y9/$AP$9)*100</f>
        <v>10.925796464596029</v>
      </c>
      <c r="Z24" s="23">
        <f t="shared" ref="Z24:AO24" si="15">(Z9/$AP$9)*100</f>
        <v>12.327307833150241</v>
      </c>
      <c r="AA24" s="23">
        <f t="shared" si="15"/>
        <v>5.5660974067046185</v>
      </c>
      <c r="AB24" s="23">
        <f t="shared" si="15"/>
        <v>2.2737108425713246</v>
      </c>
      <c r="AC24" s="23">
        <f t="shared" si="15"/>
        <v>7.2006391690801976</v>
      </c>
      <c r="AD24" s="23">
        <f t="shared" si="15"/>
        <v>5.2664869003628629</v>
      </c>
      <c r="AE24" s="23">
        <f t="shared" si="15"/>
        <v>6.6613402576650369</v>
      </c>
      <c r="AF24" s="23">
        <f t="shared" si="15"/>
        <v>9.1081593927893767</v>
      </c>
      <c r="AG24" s="23">
        <f t="shared" si="15"/>
        <v>3.9981357568494302</v>
      </c>
      <c r="AH24" s="23">
        <f t="shared" si="15"/>
        <v>0.77565831086254555</v>
      </c>
      <c r="AI24" s="23">
        <f t="shared" si="15"/>
        <v>4.557408702020707</v>
      </c>
      <c r="AJ24" s="23">
        <f t="shared" si="15"/>
        <v>2.4834381970105537</v>
      </c>
      <c r="AK24" s="23">
        <f t="shared" si="15"/>
        <v>5.4928592829321898</v>
      </c>
      <c r="AL24" s="23">
        <f t="shared" si="15"/>
        <v>3.5087719298245621</v>
      </c>
      <c r="AM24" s="23">
        <f t="shared" si="15"/>
        <v>9.7107094110989074</v>
      </c>
      <c r="AN24" s="23">
        <f t="shared" si="15"/>
        <v>7.1007690002996116</v>
      </c>
      <c r="AO24" s="23">
        <f t="shared" si="15"/>
        <v>3.0427111421818314</v>
      </c>
      <c r="AP24" s="2">
        <f t="shared" si="12"/>
        <v>100.00000000000001</v>
      </c>
    </row>
    <row r="25" spans="1:46">
      <c r="A25" s="196" t="s">
        <v>39</v>
      </c>
      <c r="B25" s="2" t="s">
        <v>236</v>
      </c>
      <c r="C25" s="6">
        <v>0.11219999999999999</v>
      </c>
      <c r="D25" s="18">
        <f>C25*('Análisis sólidos'!F15/100)</f>
        <v>0.10503528520949025</v>
      </c>
      <c r="E25" s="2">
        <v>8.4499999999999993</v>
      </c>
      <c r="F25" s="2">
        <v>0.05</v>
      </c>
      <c r="G25" s="23">
        <f t="shared" si="0"/>
        <v>5.631440889794967</v>
      </c>
      <c r="H25" s="23">
        <f t="shared" si="1"/>
        <v>24.437480448103514</v>
      </c>
      <c r="I25" s="197">
        <f>STDEV(H25:H28)</f>
        <v>1.2894729205229638</v>
      </c>
      <c r="K25" s="196" t="s">
        <v>39</v>
      </c>
      <c r="L25" s="2" t="s">
        <v>236</v>
      </c>
      <c r="M25" s="60">
        <v>2</v>
      </c>
      <c r="N25" s="60">
        <v>2.61</v>
      </c>
      <c r="O25" s="60">
        <v>0.1</v>
      </c>
      <c r="P25" s="60">
        <f t="shared" si="2"/>
        <v>1827</v>
      </c>
      <c r="Q25" s="60">
        <f t="shared" si="3"/>
        <v>7928.2154696132602</v>
      </c>
      <c r="R25" s="61">
        <f>(Q25*Experimentos!R43)/(1000*1000)</f>
        <v>1.6056221969060775</v>
      </c>
      <c r="S25" s="197">
        <f t="shared" ref="S25" si="16">STDEV(R25:R28)</f>
        <v>9.8242928788901507E-2</v>
      </c>
      <c r="V25" t="s">
        <v>211</v>
      </c>
      <c r="W25" s="196"/>
      <c r="X25" s="2" t="s">
        <v>270</v>
      </c>
      <c r="Y25" s="23">
        <f>(Y10/$AP$10)*100</f>
        <v>11.445783132530121</v>
      </c>
      <c r="Z25" s="23">
        <f t="shared" ref="Z25:AO25" si="17">(Z10/$AP$10)*100</f>
        <v>17.168674698795179</v>
      </c>
      <c r="AA25" s="23">
        <f t="shared" si="17"/>
        <v>5.120481927710844</v>
      </c>
      <c r="AB25" s="23">
        <f t="shared" si="17"/>
        <v>1.2048192771084338</v>
      </c>
      <c r="AC25" s="23">
        <f t="shared" si="17"/>
        <v>6.6265060240963862</v>
      </c>
      <c r="AD25" s="23">
        <f t="shared" si="17"/>
        <v>5.120481927710844</v>
      </c>
      <c r="AE25" s="23">
        <f t="shared" si="17"/>
        <v>6.3253012048192767</v>
      </c>
      <c r="AF25" s="23">
        <f t="shared" si="17"/>
        <v>12.951807228915662</v>
      </c>
      <c r="AG25" s="23">
        <f t="shared" si="17"/>
        <v>3.0120481927710845</v>
      </c>
      <c r="AH25" s="23">
        <f t="shared" si="17"/>
        <v>0.60240963855421692</v>
      </c>
      <c r="AI25" s="23">
        <f t="shared" si="17"/>
        <v>3.3132530120481931</v>
      </c>
      <c r="AJ25" s="23">
        <f t="shared" si="17"/>
        <v>1.5060240963855422</v>
      </c>
      <c r="AK25" s="23">
        <f t="shared" si="17"/>
        <v>3.3132530120481931</v>
      </c>
      <c r="AL25" s="23">
        <f t="shared" si="17"/>
        <v>5.120481927710844</v>
      </c>
      <c r="AM25" s="23">
        <f t="shared" si="17"/>
        <v>6.3253012048192767</v>
      </c>
      <c r="AN25" s="23">
        <f t="shared" si="17"/>
        <v>6.024096385542169</v>
      </c>
      <c r="AO25" s="23">
        <f t="shared" si="17"/>
        <v>4.8192771084337354</v>
      </c>
      <c r="AP25" s="2">
        <f t="shared" si="12"/>
        <v>100.00000000000001</v>
      </c>
    </row>
    <row r="26" spans="1:46">
      <c r="A26" s="196"/>
      <c r="B26" s="2" t="s">
        <v>237</v>
      </c>
      <c r="C26" s="6">
        <v>0.1195</v>
      </c>
      <c r="D26" s="18">
        <f>C26*('Análisis sólidos'!F15/100)</f>
        <v>0.11186913175164069</v>
      </c>
      <c r="E26" s="2">
        <v>8.2100000000000009</v>
      </c>
      <c r="F26" s="2">
        <v>0.05</v>
      </c>
      <c r="G26" s="23">
        <f t="shared" si="0"/>
        <v>5.1372527077074723</v>
      </c>
      <c r="H26" s="23">
        <f t="shared" si="1"/>
        <v>22.292964635226596</v>
      </c>
      <c r="I26" s="198"/>
      <c r="K26" s="196"/>
      <c r="L26" s="2" t="s">
        <v>237</v>
      </c>
      <c r="M26" s="58">
        <v>2</v>
      </c>
      <c r="N26" s="58">
        <v>2.48</v>
      </c>
      <c r="O26" s="58">
        <v>0.1</v>
      </c>
      <c r="P26" s="58">
        <f t="shared" si="2"/>
        <v>1736</v>
      </c>
      <c r="Q26" s="58">
        <f t="shared" si="3"/>
        <v>7533.3235113566616</v>
      </c>
      <c r="R26" s="59">
        <f>(Q26*Experimentos!R43)/(1000*1000)</f>
        <v>1.5256486775199511</v>
      </c>
      <c r="S26" s="198"/>
      <c r="W26" s="196" t="s">
        <v>68</v>
      </c>
      <c r="X26" s="2" t="s">
        <v>269</v>
      </c>
      <c r="Y26" s="23">
        <f>(Y11/$AP$11)*100</f>
        <v>10.608186785298422</v>
      </c>
      <c r="Z26" s="23">
        <f t="shared" ref="Z26:AO26" si="18">(Z11/$AP$11)*100</f>
        <v>11.883080046576898</v>
      </c>
      <c r="AA26" s="23">
        <f t="shared" si="18"/>
        <v>5.4996566446720223</v>
      </c>
      <c r="AB26" s="23">
        <f t="shared" si="18"/>
        <v>2.2571880691487776</v>
      </c>
      <c r="AC26" s="23">
        <f t="shared" si="18"/>
        <v>7.1567193144836239</v>
      </c>
      <c r="AD26" s="23">
        <f t="shared" si="18"/>
        <v>5.2727435583554785</v>
      </c>
      <c r="AE26" s="23">
        <f t="shared" si="18"/>
        <v>6.6103364882214199</v>
      </c>
      <c r="AF26" s="23">
        <f t="shared" si="18"/>
        <v>9.184008598811694</v>
      </c>
      <c r="AG26" s="23">
        <f t="shared" si="18"/>
        <v>4.1381781267727593</v>
      </c>
      <c r="AH26" s="23">
        <f t="shared" si="18"/>
        <v>0.90765234526617511</v>
      </c>
      <c r="AI26" s="23">
        <f t="shared" si="18"/>
        <v>4.4606335652225848</v>
      </c>
      <c r="AJ26" s="23">
        <f t="shared" si="18"/>
        <v>2.5527722210611179</v>
      </c>
      <c r="AK26" s="23">
        <f t="shared" si="18"/>
        <v>5.7683695100468766</v>
      </c>
      <c r="AL26" s="23">
        <f t="shared" si="18"/>
        <v>3.4843101543606134</v>
      </c>
      <c r="AM26" s="23">
        <f t="shared" si="18"/>
        <v>9.9513331143821109</v>
      </c>
      <c r="AN26" s="23">
        <f t="shared" si="18"/>
        <v>6.7775356044546626</v>
      </c>
      <c r="AO26" s="23">
        <f t="shared" si="18"/>
        <v>3.4872958528647779</v>
      </c>
      <c r="AP26" s="2">
        <f t="shared" si="12"/>
        <v>100</v>
      </c>
    </row>
    <row r="27" spans="1:46">
      <c r="A27" s="196" t="s">
        <v>42</v>
      </c>
      <c r="B27" s="2" t="s">
        <v>236</v>
      </c>
      <c r="C27" s="43">
        <v>0.13800000000000001</v>
      </c>
      <c r="D27" s="33">
        <f>C27*('Análisis sólidos'!F16/100)</f>
        <v>0.12507304974177763</v>
      </c>
      <c r="E27" s="26">
        <v>10.43</v>
      </c>
      <c r="F27" s="26">
        <v>0.05</v>
      </c>
      <c r="G27" s="34">
        <f t="shared" si="0"/>
        <v>5.8373886421362888</v>
      </c>
      <c r="H27" s="34">
        <f t="shared" si="1"/>
        <v>25.331184967011314</v>
      </c>
      <c r="I27" s="198"/>
      <c r="K27" s="196" t="s">
        <v>42</v>
      </c>
      <c r="L27" s="2" t="s">
        <v>236</v>
      </c>
      <c r="M27" s="60">
        <v>2</v>
      </c>
      <c r="N27" s="60">
        <v>2.82</v>
      </c>
      <c r="O27" s="60">
        <v>0.1</v>
      </c>
      <c r="P27" s="60">
        <f t="shared" si="2"/>
        <v>1973.9999999999998</v>
      </c>
      <c r="Q27" s="60">
        <f t="shared" si="3"/>
        <v>8566.1178637200737</v>
      </c>
      <c r="R27" s="61">
        <f>(Q27*Experimentos!R44)/(1000*1000)</f>
        <v>1.7409777946224678</v>
      </c>
      <c r="S27" s="198"/>
      <c r="W27" s="196"/>
      <c r="X27" s="2" t="s">
        <v>270</v>
      </c>
      <c r="Y27" s="23">
        <f>(Y12/$AP$12)*100</f>
        <v>12.42937853107345</v>
      </c>
      <c r="Z27" s="23">
        <f t="shared" ref="Z27:AO27" si="19">(Z12/$AP$12)*100</f>
        <v>12.711864406779663</v>
      </c>
      <c r="AA27" s="23">
        <f t="shared" si="19"/>
        <v>5.0847457627118651</v>
      </c>
      <c r="AB27" s="23">
        <f t="shared" si="19"/>
        <v>5.9322033898305104</v>
      </c>
      <c r="AC27" s="23">
        <f t="shared" si="19"/>
        <v>7.909604519774013</v>
      </c>
      <c r="AD27" s="23">
        <f t="shared" si="19"/>
        <v>5.9322033898305104</v>
      </c>
      <c r="AE27" s="23">
        <f t="shared" si="19"/>
        <v>3.672316384180792</v>
      </c>
      <c r="AF27" s="23">
        <f t="shared" si="19"/>
        <v>8.1920903954802267</v>
      </c>
      <c r="AG27" s="23">
        <f t="shared" si="19"/>
        <v>3.9548022598870065</v>
      </c>
      <c r="AH27" s="23">
        <f t="shared" si="19"/>
        <v>0.84745762711864425</v>
      </c>
      <c r="AI27" s="23">
        <f t="shared" si="19"/>
        <v>4.519774011299436</v>
      </c>
      <c r="AJ27" s="23">
        <f t="shared" si="19"/>
        <v>1.9774011299435033</v>
      </c>
      <c r="AK27" s="23">
        <f t="shared" si="19"/>
        <v>4.2372881355932215</v>
      </c>
      <c r="AL27" s="23">
        <f t="shared" si="19"/>
        <v>1.4124293785310738</v>
      </c>
      <c r="AM27" s="23">
        <f t="shared" si="19"/>
        <v>7.909604519774013</v>
      </c>
      <c r="AN27" s="23">
        <f t="shared" si="19"/>
        <v>6.4971751412429395</v>
      </c>
      <c r="AO27" s="23">
        <f t="shared" si="19"/>
        <v>6.779661016949154</v>
      </c>
      <c r="AP27" s="2">
        <f>SUM(Y27:AO27)</f>
        <v>100</v>
      </c>
    </row>
    <row r="28" spans="1:46">
      <c r="A28" s="196"/>
      <c r="B28" s="2" t="s">
        <v>237</v>
      </c>
      <c r="C28" s="28">
        <v>0.124</v>
      </c>
      <c r="D28" s="18">
        <f>C28*('Análisis sólidos'!F16/100)</f>
        <v>0.11238447947811903</v>
      </c>
      <c r="E28" s="2">
        <v>9.0299999999999994</v>
      </c>
      <c r="F28" s="2">
        <v>0.05</v>
      </c>
      <c r="G28" s="23">
        <f t="shared" si="0"/>
        <v>5.6244421199020485</v>
      </c>
      <c r="H28" s="23">
        <f t="shared" si="1"/>
        <v>24.407109481637558</v>
      </c>
      <c r="I28" s="199"/>
      <c r="K28" s="196"/>
      <c r="L28" s="2" t="s">
        <v>237</v>
      </c>
      <c r="M28" s="58">
        <v>2</v>
      </c>
      <c r="N28" s="58">
        <v>4.99</v>
      </c>
      <c r="O28" s="58">
        <v>0.05</v>
      </c>
      <c r="P28" s="58">
        <f t="shared" si="2"/>
        <v>1746.5000000000002</v>
      </c>
      <c r="Q28" s="58">
        <f t="shared" si="3"/>
        <v>7578.8879680785776</v>
      </c>
      <c r="R28" s="59">
        <f>(Q28*Experimentos!R44)/(1000*1000)</f>
        <v>1.5403331906322901</v>
      </c>
      <c r="S28" s="199"/>
      <c r="W28" s="196" t="s">
        <v>72</v>
      </c>
      <c r="X28" s="2" t="s">
        <v>269</v>
      </c>
      <c r="Y28" s="23">
        <f>(Y13/$AP$13)*100</f>
        <v>10.743922822039117</v>
      </c>
      <c r="Z28" s="23">
        <f t="shared" ref="Z28:AO28" si="20">(Z13/$AP$13)*100</f>
        <v>11.468199278655836</v>
      </c>
      <c r="AA28" s="23">
        <f t="shared" si="20"/>
        <v>5.4012843444858234</v>
      </c>
      <c r="AB28" s="23">
        <f t="shared" si="20"/>
        <v>2.4983139313256899</v>
      </c>
      <c r="AC28" s="23">
        <f t="shared" si="20"/>
        <v>7.1694572325015402</v>
      </c>
      <c r="AD28" s="23">
        <f t="shared" si="20"/>
        <v>5.415945811218954</v>
      </c>
      <c r="AE28" s="23">
        <f t="shared" si="20"/>
        <v>6.6328475500689095</v>
      </c>
      <c r="AF28" s="23">
        <f t="shared" si="20"/>
        <v>8.7880831598393101</v>
      </c>
      <c r="AG28" s="23">
        <f t="shared" si="20"/>
        <v>4.3808462598598368</v>
      </c>
      <c r="AH28" s="23">
        <f t="shared" si="20"/>
        <v>0.63630765621792806</v>
      </c>
      <c r="AI28" s="23">
        <f t="shared" si="20"/>
        <v>4.764976688267895</v>
      </c>
      <c r="AJ28" s="23">
        <f t="shared" si="20"/>
        <v>2.3868867841538872</v>
      </c>
      <c r="AK28" s="23">
        <f t="shared" si="20"/>
        <v>6.3102952819400056</v>
      </c>
      <c r="AL28" s="23">
        <f t="shared" si="20"/>
        <v>3.7797261238014253</v>
      </c>
      <c r="AM28" s="23">
        <f t="shared" si="20"/>
        <v>10.309943406738411</v>
      </c>
      <c r="AN28" s="23">
        <f t="shared" si="20"/>
        <v>6.5390141629768657</v>
      </c>
      <c r="AO28" s="23">
        <f t="shared" si="20"/>
        <v>2.7739495059085715</v>
      </c>
      <c r="AP28" s="2">
        <f t="shared" ref="AP28:AP31" si="21">SUM(Y28:AO28)</f>
        <v>100.00000000000001</v>
      </c>
    </row>
    <row r="29" spans="1:46">
      <c r="A29" s="196" t="s">
        <v>45</v>
      </c>
      <c r="B29" s="30" t="s">
        <v>236</v>
      </c>
      <c r="C29" s="82">
        <v>0.1129</v>
      </c>
      <c r="D29" s="113">
        <f>C29*('Análisis sólidos'!F17/100)</f>
        <v>0.11160913641393123</v>
      </c>
      <c r="E29" s="60">
        <v>12.03</v>
      </c>
      <c r="F29" s="60">
        <v>0.05</v>
      </c>
      <c r="G29" s="57">
        <f t="shared" si="0"/>
        <v>7.5450812277308117</v>
      </c>
      <c r="H29" s="57">
        <f t="shared" si="1"/>
        <v>32.741669244216766</v>
      </c>
      <c r="I29" s="197">
        <f>STDEV(H29,H31:H32)</f>
        <v>2.2765991072118275</v>
      </c>
      <c r="K29" s="196" t="s">
        <v>45</v>
      </c>
      <c r="L29" s="2" t="s">
        <v>236</v>
      </c>
      <c r="M29" s="60">
        <v>2</v>
      </c>
      <c r="N29" s="60">
        <v>2.31</v>
      </c>
      <c r="O29" s="60">
        <v>0.1</v>
      </c>
      <c r="P29" s="60">
        <f t="shared" si="2"/>
        <v>1617</v>
      </c>
      <c r="Q29" s="60">
        <f t="shared" si="3"/>
        <v>7016.9263351749541</v>
      </c>
      <c r="R29" s="61">
        <f>(Q29*Experimentos!R45)/(1000*1000)</f>
        <v>1.4802206104051563</v>
      </c>
      <c r="S29" s="197">
        <f t="shared" ref="S29" si="22">STDEV(R29:R32)</f>
        <v>4.5148594244618159E-2</v>
      </c>
      <c r="W29" s="196"/>
      <c r="X29" s="2" t="s">
        <v>270</v>
      </c>
      <c r="Y29" s="23">
        <f>(Y14/$AP$14)*100</f>
        <v>12.777777777777777</v>
      </c>
      <c r="Z29" s="23">
        <f t="shared" ref="Z29:AO29" si="23">(Z14/$AP$14)*100</f>
        <v>13.111111111111109</v>
      </c>
      <c r="AA29" s="23">
        <f t="shared" si="23"/>
        <v>5.5555555555555554</v>
      </c>
      <c r="AB29" s="23">
        <f t="shared" si="23"/>
        <v>2</v>
      </c>
      <c r="AC29" s="23">
        <f t="shared" si="23"/>
        <v>7.333333333333333</v>
      </c>
      <c r="AD29" s="23">
        <f t="shared" si="23"/>
        <v>3.6666666666666665</v>
      </c>
      <c r="AE29" s="23">
        <f t="shared" si="23"/>
        <v>5.5555555555555554</v>
      </c>
      <c r="AF29" s="23">
        <f t="shared" si="23"/>
        <v>9.5555555555555554</v>
      </c>
      <c r="AG29" s="23">
        <f t="shared" si="23"/>
        <v>4.1111111111111116</v>
      </c>
      <c r="AH29" s="23">
        <f t="shared" si="23"/>
        <v>0.66666666666666663</v>
      </c>
      <c r="AI29" s="23">
        <f t="shared" si="23"/>
        <v>4.1111111111111116</v>
      </c>
      <c r="AJ29" s="23">
        <f t="shared" si="23"/>
        <v>2.4444444444444446</v>
      </c>
      <c r="AK29" s="23">
        <f t="shared" si="23"/>
        <v>4.8888888888888893</v>
      </c>
      <c r="AL29" s="23">
        <f t="shared" si="23"/>
        <v>2.7777777777777777</v>
      </c>
      <c r="AM29" s="23">
        <f t="shared" si="23"/>
        <v>8.8888888888888893</v>
      </c>
      <c r="AN29" s="23">
        <f t="shared" si="23"/>
        <v>6.5555555555555545</v>
      </c>
      <c r="AO29" s="23">
        <f t="shared" si="23"/>
        <v>6.0000000000000009</v>
      </c>
      <c r="AP29" s="84">
        <f t="shared" si="21"/>
        <v>100</v>
      </c>
    </row>
    <row r="30" spans="1:46">
      <c r="A30" s="196"/>
      <c r="B30" s="30" t="s">
        <v>237</v>
      </c>
      <c r="C30" s="26">
        <v>0.107</v>
      </c>
      <c r="D30" s="47">
        <f>C30*('Análisis sólidos'!F17/100)</f>
        <v>0.10577659518415095</v>
      </c>
      <c r="E30" s="26">
        <v>9.83</v>
      </c>
      <c r="F30" s="26">
        <v>0.05</v>
      </c>
      <c r="G30" s="34">
        <f t="shared" si="0"/>
        <v>6.5052197870621349</v>
      </c>
      <c r="H30" s="34">
        <f t="shared" si="1"/>
        <v>28.22921956706092</v>
      </c>
      <c r="I30" s="198"/>
      <c r="K30" s="196"/>
      <c r="L30" s="2" t="s">
        <v>237</v>
      </c>
      <c r="M30" s="60">
        <v>2</v>
      </c>
      <c r="N30" s="60">
        <v>2.35</v>
      </c>
      <c r="O30" s="60">
        <v>0.1</v>
      </c>
      <c r="P30" s="60">
        <f t="shared" si="2"/>
        <v>1645</v>
      </c>
      <c r="Q30" s="60">
        <f t="shared" si="3"/>
        <v>7138.431553100062</v>
      </c>
      <c r="R30" s="61">
        <f>(Q30*Experimentos!R45)/(1000*1000)</f>
        <v>1.5058521361264579</v>
      </c>
      <c r="S30" s="198"/>
      <c r="W30" s="196" t="s">
        <v>74</v>
      </c>
      <c r="X30" s="2" t="s">
        <v>269</v>
      </c>
      <c r="Y30" s="23">
        <f>(Y15/$AP$15)*100</f>
        <v>10.735887096774192</v>
      </c>
      <c r="Z30" s="23">
        <f t="shared" ref="Z30:AO30" si="24">(Z15/$AP$15)*100</f>
        <v>11.883960573476699</v>
      </c>
      <c r="AA30" s="23">
        <f t="shared" si="24"/>
        <v>5.3287410394265224</v>
      </c>
      <c r="AB30" s="23">
        <f t="shared" si="24"/>
        <v>2.335349462365591</v>
      </c>
      <c r="AC30" s="23">
        <f t="shared" si="24"/>
        <v>6.9444444444444438</v>
      </c>
      <c r="AD30" s="23">
        <f t="shared" si="24"/>
        <v>5.3287410394265224</v>
      </c>
      <c r="AE30" s="23">
        <f t="shared" si="24"/>
        <v>6.4124103942652315</v>
      </c>
      <c r="AF30" s="23">
        <f t="shared" si="24"/>
        <v>8.9801747311827942</v>
      </c>
      <c r="AG30" s="23">
        <f t="shared" si="24"/>
        <v>4.0882616487455188</v>
      </c>
      <c r="AH30" s="23">
        <f t="shared" si="24"/>
        <v>1.1144713261648742</v>
      </c>
      <c r="AI30" s="23">
        <f t="shared" si="24"/>
        <v>4.6874999999999982</v>
      </c>
      <c r="AJ30" s="23">
        <f t="shared" si="24"/>
        <v>2.3969534050179209</v>
      </c>
      <c r="AK30" s="23">
        <f t="shared" si="24"/>
        <v>5.8859767025089598</v>
      </c>
      <c r="AL30" s="23">
        <f t="shared" si="24"/>
        <v>3.7382392473118276</v>
      </c>
      <c r="AM30" s="23">
        <f t="shared" si="24"/>
        <v>9.8734318996415738</v>
      </c>
      <c r="AN30" s="23">
        <f t="shared" si="24"/>
        <v>6.8184363799283148</v>
      </c>
      <c r="AO30" s="23">
        <f t="shared" si="24"/>
        <v>3.4470206093189959</v>
      </c>
      <c r="AP30" s="2">
        <f t="shared" si="21"/>
        <v>99.999999999999986</v>
      </c>
    </row>
    <row r="31" spans="1:46">
      <c r="A31" s="196" t="s">
        <v>49</v>
      </c>
      <c r="B31" s="30" t="s">
        <v>236</v>
      </c>
      <c r="C31" s="82">
        <v>0.1159</v>
      </c>
      <c r="D31" s="113">
        <f>C31*('Análisis sólidos'!F18/100)</f>
        <v>0.11493292178278273</v>
      </c>
      <c r="E31" s="60">
        <v>13.37</v>
      </c>
      <c r="F31" s="60">
        <v>0.05</v>
      </c>
      <c r="G31" s="57">
        <f t="shared" si="0"/>
        <v>8.1430105968140474</v>
      </c>
      <c r="H31" s="57">
        <f t="shared" si="1"/>
        <v>35.336367040441068</v>
      </c>
      <c r="I31" s="198"/>
      <c r="K31" s="196" t="s">
        <v>49</v>
      </c>
      <c r="L31" s="2" t="s">
        <v>236</v>
      </c>
      <c r="M31" s="60">
        <v>2</v>
      </c>
      <c r="N31" s="60">
        <v>2.39</v>
      </c>
      <c r="O31" s="60">
        <v>0.1</v>
      </c>
      <c r="P31" s="60">
        <f t="shared" si="2"/>
        <v>1673.0000000000002</v>
      </c>
      <c r="Q31" s="60">
        <f t="shared" si="3"/>
        <v>7259.9367710251699</v>
      </c>
      <c r="R31" s="61">
        <f>(Q31*Experimentos!R46)/(1000*1000)</f>
        <v>1.5726475033394725</v>
      </c>
      <c r="S31" s="198"/>
      <c r="W31" s="196"/>
      <c r="X31" s="2" t="s">
        <v>270</v>
      </c>
      <c r="Y31" s="23">
        <f>(Y16/$AP$16)*100</f>
        <v>12.335958005249346</v>
      </c>
      <c r="Z31" s="23">
        <f t="shared" ref="Z31:AO31" si="25">(Z16/$AP$16)*100</f>
        <v>18.372703412073491</v>
      </c>
      <c r="AA31" s="23">
        <f t="shared" si="25"/>
        <v>5.7742782152230978</v>
      </c>
      <c r="AB31" s="23">
        <f t="shared" si="25"/>
        <v>1.0498687664041997</v>
      </c>
      <c r="AC31" s="23">
        <f t="shared" si="25"/>
        <v>6.5616797900262478</v>
      </c>
      <c r="AD31" s="23">
        <f t="shared" si="25"/>
        <v>5.2493438320209984</v>
      </c>
      <c r="AE31" s="23">
        <f t="shared" si="25"/>
        <v>6.5616797900262478</v>
      </c>
      <c r="AF31" s="23">
        <f t="shared" si="25"/>
        <v>13.123359580052496</v>
      </c>
      <c r="AG31" s="23">
        <f t="shared" si="25"/>
        <v>3.1496062992125982</v>
      </c>
      <c r="AH31" s="23">
        <f t="shared" si="25"/>
        <v>0.52493438320209984</v>
      </c>
      <c r="AI31" s="23">
        <f t="shared" si="25"/>
        <v>3.4120734908136487</v>
      </c>
      <c r="AJ31" s="23">
        <f t="shared" si="25"/>
        <v>1.3123359580052496</v>
      </c>
      <c r="AK31" s="23">
        <f t="shared" si="25"/>
        <v>3.4120734908136487</v>
      </c>
      <c r="AL31" s="23">
        <f t="shared" si="25"/>
        <v>1.8372703412073494</v>
      </c>
      <c r="AM31" s="23">
        <f t="shared" si="25"/>
        <v>6.5616797900262478</v>
      </c>
      <c r="AN31" s="23">
        <f t="shared" si="25"/>
        <v>6.0367454068241475</v>
      </c>
      <c r="AO31" s="23">
        <f t="shared" si="25"/>
        <v>4.7244094488188981</v>
      </c>
      <c r="AP31" s="2">
        <f t="shared" si="21"/>
        <v>100.00000000000001</v>
      </c>
    </row>
    <row r="32" spans="1:46">
      <c r="A32" s="196"/>
      <c r="B32" s="30" t="s">
        <v>237</v>
      </c>
      <c r="C32" s="82">
        <v>0.1023</v>
      </c>
      <c r="D32" s="113">
        <f>C32*('Análisis sólidos'!F18/100)</f>
        <v>0.10144640119394888</v>
      </c>
      <c r="E32" s="60">
        <v>12.45</v>
      </c>
      <c r="F32" s="60">
        <v>0.05</v>
      </c>
      <c r="G32" s="57">
        <f t="shared" si="0"/>
        <v>8.5907433851087038</v>
      </c>
      <c r="H32" s="57">
        <f t="shared" si="1"/>
        <v>37.27929096951101</v>
      </c>
      <c r="I32" s="199"/>
      <c r="K32" s="196"/>
      <c r="L32" s="2" t="s">
        <v>237</v>
      </c>
      <c r="M32" s="60">
        <v>2</v>
      </c>
      <c r="N32" s="60">
        <v>2.2400000000000002</v>
      </c>
      <c r="O32" s="60">
        <v>0.1</v>
      </c>
      <c r="P32" s="60">
        <f t="shared" si="2"/>
        <v>1568.0000000000002</v>
      </c>
      <c r="Q32" s="60">
        <f t="shared" si="3"/>
        <v>6804.2922038060178</v>
      </c>
      <c r="R32" s="61">
        <f>(Q32*Experimentos!R46)/(1000*1000)</f>
        <v>1.4739457771884596</v>
      </c>
      <c r="S32" s="199"/>
      <c r="W32" s="8" t="s">
        <v>218</v>
      </c>
      <c r="X32" s="2" t="s">
        <v>271</v>
      </c>
      <c r="Y32" s="23">
        <f>(Y17/$AP$17)*100</f>
        <v>10.564436271042583</v>
      </c>
      <c r="Z32" s="23">
        <f t="shared" ref="Z32:AO32" si="26">(Z17/$AP$17)*100</f>
        <v>13.942566133823739</v>
      </c>
      <c r="AA32" s="23">
        <f t="shared" si="26"/>
        <v>5.6698260008487757</v>
      </c>
      <c r="AB32" s="23">
        <f t="shared" si="26"/>
        <v>2.1530626679869855</v>
      </c>
      <c r="AC32" s="23">
        <f t="shared" si="26"/>
        <v>6.5978214740415906</v>
      </c>
      <c r="AD32" s="23">
        <f t="shared" si="26"/>
        <v>4.6993917102843401</v>
      </c>
      <c r="AE32" s="23">
        <f t="shared" si="26"/>
        <v>6.4507002404866318</v>
      </c>
      <c r="AF32" s="23">
        <f t="shared" si="26"/>
        <v>9.6958551421700392</v>
      </c>
      <c r="AG32" s="23">
        <f t="shared" si="26"/>
        <v>3.7063233837883716</v>
      </c>
      <c r="AH32" s="23">
        <f t="shared" si="26"/>
        <v>0.87989814683830814</v>
      </c>
      <c r="AI32" s="23">
        <f t="shared" si="26"/>
        <v>4.099589758098741</v>
      </c>
      <c r="AJ32" s="23">
        <f t="shared" si="26"/>
        <v>2.2209647757815816</v>
      </c>
      <c r="AK32" s="23">
        <f t="shared" si="26"/>
        <v>5.2199745367095769</v>
      </c>
      <c r="AL32" s="23">
        <f t="shared" si="26"/>
        <v>3.0952044136370067</v>
      </c>
      <c r="AM32" s="23">
        <f t="shared" si="26"/>
        <v>8.9178101570236237</v>
      </c>
      <c r="AN32" s="23">
        <f t="shared" si="26"/>
        <v>6.3884566416749182</v>
      </c>
      <c r="AO32" s="23">
        <f t="shared" si="26"/>
        <v>5.6981185457631911</v>
      </c>
      <c r="AP32" s="2">
        <f t="shared" ref="AP32" si="27">SUM(Y32:AO32)</f>
        <v>100</v>
      </c>
    </row>
    <row r="33" spans="1:39">
      <c r="A33" s="196" t="s">
        <v>50</v>
      </c>
      <c r="B33" s="30" t="s">
        <v>236</v>
      </c>
      <c r="C33" s="82">
        <v>0.1196</v>
      </c>
      <c r="D33" s="113">
        <f>C33*('Análisis sólidos'!F19/100)</f>
        <v>0.11871567532040746</v>
      </c>
      <c r="E33" s="60">
        <v>15.27</v>
      </c>
      <c r="F33" s="60">
        <v>0.05</v>
      </c>
      <c r="G33" s="57">
        <f t="shared" si="0"/>
        <v>9.0038657246828961</v>
      </c>
      <c r="H33" s="57">
        <f t="shared" si="1"/>
        <v>39.072023823071454</v>
      </c>
      <c r="I33" s="197">
        <f>STDEV(H33:H35)</f>
        <v>0.82355963714804148</v>
      </c>
      <c r="K33" s="196" t="s">
        <v>50</v>
      </c>
      <c r="L33" s="2" t="s">
        <v>236</v>
      </c>
      <c r="M33" s="60">
        <v>2</v>
      </c>
      <c r="N33" s="60">
        <v>2.42</v>
      </c>
      <c r="O33" s="60">
        <v>0.1</v>
      </c>
      <c r="P33" s="60">
        <f t="shared" si="2"/>
        <v>1694</v>
      </c>
      <c r="Q33" s="60">
        <f t="shared" si="3"/>
        <v>7351.0656844690002</v>
      </c>
      <c r="R33" s="61">
        <f>(Q33*Experimentos!R47)/(1000*1000)</f>
        <v>1.2187331798281156</v>
      </c>
      <c r="S33" s="197">
        <f t="shared" ref="S33" si="28">STDEV(R33:R36)</f>
        <v>0.15234624516663317</v>
      </c>
      <c r="X33" s="14" t="s">
        <v>273</v>
      </c>
    </row>
    <row r="34" spans="1:39">
      <c r="A34" s="196"/>
      <c r="B34" s="30" t="s">
        <v>237</v>
      </c>
      <c r="C34" s="82">
        <v>0.12529999999999999</v>
      </c>
      <c r="D34" s="113">
        <f>C34*('Análisis sólidos'!F19/100)</f>
        <v>0.12437352941176467</v>
      </c>
      <c r="E34" s="60">
        <v>15.33</v>
      </c>
      <c r="F34" s="60">
        <v>0.05</v>
      </c>
      <c r="G34" s="57">
        <f t="shared" si="0"/>
        <v>8.6280417149478588</v>
      </c>
      <c r="H34" s="57">
        <f t="shared" si="1"/>
        <v>37.441146030059187</v>
      </c>
      <c r="I34" s="198"/>
      <c r="K34" s="196"/>
      <c r="L34" s="2" t="s">
        <v>237</v>
      </c>
      <c r="M34" s="58">
        <v>2</v>
      </c>
      <c r="N34" s="58">
        <v>2.15</v>
      </c>
      <c r="O34" s="58">
        <v>0.1</v>
      </c>
      <c r="P34" s="58">
        <f t="shared" si="2"/>
        <v>1505</v>
      </c>
      <c r="Q34" s="58">
        <f t="shared" si="3"/>
        <v>6530.9054634745244</v>
      </c>
      <c r="R34" s="59">
        <f>(Q34*Experimentos!R47)/(1000*1000)</f>
        <v>1.0827588167894413</v>
      </c>
      <c r="S34" s="198"/>
    </row>
    <row r="35" spans="1:39">
      <c r="A35" s="196" t="s">
        <v>53</v>
      </c>
      <c r="B35" s="30" t="s">
        <v>236</v>
      </c>
      <c r="C35" s="82">
        <v>0.1103</v>
      </c>
      <c r="D35" s="113">
        <f>C35*('Análisis sólidos'!F20/100)</f>
        <v>0.10702999494949485</v>
      </c>
      <c r="E35" s="60">
        <v>13.55</v>
      </c>
      <c r="F35" s="60">
        <v>0.05</v>
      </c>
      <c r="G35" s="57">
        <f t="shared" si="0"/>
        <v>8.8620017262224184</v>
      </c>
      <c r="H35" s="57">
        <f t="shared" si="1"/>
        <v>38.456408964190473</v>
      </c>
      <c r="I35" s="198"/>
      <c r="K35" s="196" t="s">
        <v>53</v>
      </c>
      <c r="L35" s="2" t="s">
        <v>236</v>
      </c>
      <c r="M35" s="60">
        <v>2</v>
      </c>
      <c r="N35" s="60">
        <v>2.33</v>
      </c>
      <c r="O35" s="60">
        <v>0.1</v>
      </c>
      <c r="P35" s="60">
        <f t="shared" si="2"/>
        <v>1631</v>
      </c>
      <c r="Q35" s="60">
        <f t="shared" si="3"/>
        <v>7077.6789441375086</v>
      </c>
      <c r="R35" s="61">
        <f>(Q35*Experimentos!R48)/(1000*1000)</f>
        <v>1.377457876108042</v>
      </c>
      <c r="S35" s="198"/>
    </row>
    <row r="36" spans="1:39">
      <c r="A36" s="196"/>
      <c r="B36" s="30" t="s">
        <v>237</v>
      </c>
      <c r="C36" s="58">
        <v>0.1003</v>
      </c>
      <c r="D36" s="53">
        <f>C36*('Análisis sólidos'!F20/100)</f>
        <v>9.7326459595959508E-2</v>
      </c>
      <c r="E36" s="58">
        <v>5.49</v>
      </c>
      <c r="F36" s="58">
        <v>0.1</v>
      </c>
      <c r="G36" s="54">
        <f t="shared" si="0"/>
        <v>7.8971330426562476</v>
      </c>
      <c r="H36" s="54">
        <f t="shared" si="1"/>
        <v>34.269388261839794</v>
      </c>
      <c r="I36" s="199"/>
      <c r="K36" s="196"/>
      <c r="L36" s="2" t="s">
        <v>237</v>
      </c>
      <c r="M36" s="60">
        <v>2</v>
      </c>
      <c r="N36" s="60">
        <v>2.39</v>
      </c>
      <c r="O36" s="60">
        <v>0.1</v>
      </c>
      <c r="P36" s="60">
        <f t="shared" si="2"/>
        <v>1673.0000000000002</v>
      </c>
      <c r="Q36" s="60">
        <f t="shared" si="3"/>
        <v>7259.9367710251699</v>
      </c>
      <c r="R36" s="61">
        <f>(Q36*Experimentos!R48)/(1000*1000)</f>
        <v>1.4129288943769187</v>
      </c>
      <c r="S36" s="199"/>
    </row>
    <row r="37" spans="1:39">
      <c r="A37" s="196" t="s">
        <v>54</v>
      </c>
      <c r="B37" s="30" t="s">
        <v>236</v>
      </c>
      <c r="C37" s="82">
        <v>0.12870000000000001</v>
      </c>
      <c r="D37" s="113">
        <f>C37*('Análisis sólidos'!F21/100)</f>
        <v>0.12747580645161308</v>
      </c>
      <c r="E37" s="60">
        <v>15.84</v>
      </c>
      <c r="F37" s="60">
        <v>0.05</v>
      </c>
      <c r="G37" s="57">
        <f t="shared" si="0"/>
        <v>8.6981210855949769</v>
      </c>
      <c r="H37" s="57">
        <f t="shared" si="1"/>
        <v>37.745253501578205</v>
      </c>
      <c r="I37" s="197">
        <f t="shared" ref="I37" si="29">STDEV(H37:H40)</f>
        <v>0.72307747752488361</v>
      </c>
      <c r="K37" s="196" t="s">
        <v>54</v>
      </c>
      <c r="L37" s="2" t="s">
        <v>236</v>
      </c>
      <c r="M37" s="60">
        <v>2</v>
      </c>
      <c r="N37" s="60">
        <v>1.54</v>
      </c>
      <c r="O37" s="60">
        <v>0.1</v>
      </c>
      <c r="P37" s="60">
        <f t="shared" si="2"/>
        <v>1078.0000000000002</v>
      </c>
      <c r="Q37" s="60">
        <f t="shared" si="3"/>
        <v>4677.9508901166373</v>
      </c>
      <c r="R37" s="61">
        <f>(Q37*Experimentos!R49)/(1000*1000)</f>
        <v>0.9743703909023943</v>
      </c>
      <c r="S37" s="197">
        <f t="shared" ref="S37" si="30">STDEV(R37:R40)</f>
        <v>7.8053980911932469E-2</v>
      </c>
      <c r="AM37" t="s">
        <v>274</v>
      </c>
    </row>
    <row r="38" spans="1:39">
      <c r="A38" s="196"/>
      <c r="B38" s="30" t="s">
        <v>237</v>
      </c>
      <c r="C38" s="114">
        <v>0.1326</v>
      </c>
      <c r="D38" s="113">
        <f>C38*('Análisis sólidos'!F21/100)</f>
        <v>0.13133870967741951</v>
      </c>
      <c r="E38" s="60">
        <v>16.239999999999998</v>
      </c>
      <c r="F38" s="60">
        <v>0.05</v>
      </c>
      <c r="G38" s="57">
        <f t="shared" si="0"/>
        <v>8.6554832371361794</v>
      </c>
      <c r="H38" s="57">
        <f t="shared" si="1"/>
        <v>37.560227749119498</v>
      </c>
      <c r="I38" s="198"/>
      <c r="K38" s="196"/>
      <c r="L38" s="2" t="s">
        <v>237</v>
      </c>
      <c r="M38" s="60">
        <v>2</v>
      </c>
      <c r="N38" s="60">
        <v>1.58</v>
      </c>
      <c r="O38" s="60">
        <v>0.1</v>
      </c>
      <c r="P38" s="60">
        <f t="shared" si="2"/>
        <v>1106.0000000000002</v>
      </c>
      <c r="Q38" s="60">
        <f t="shared" si="3"/>
        <v>4799.4561080417452</v>
      </c>
      <c r="R38" s="61">
        <f>(Q38*Experimentos!R49)/(1000*1000)</f>
        <v>0.99967871274401499</v>
      </c>
      <c r="S38" s="198"/>
      <c r="AM38" t="s">
        <v>275</v>
      </c>
    </row>
    <row r="39" spans="1:39">
      <c r="A39" s="196" t="s">
        <v>58</v>
      </c>
      <c r="B39" s="30" t="s">
        <v>236</v>
      </c>
      <c r="C39" s="82">
        <v>0.1114</v>
      </c>
      <c r="D39" s="113">
        <f>C39*('Análisis sólidos'!F22/100)</f>
        <v>0.11044324888043661</v>
      </c>
      <c r="E39" s="60">
        <v>14.16</v>
      </c>
      <c r="F39" s="60">
        <v>0.05</v>
      </c>
      <c r="G39" s="57">
        <f t="shared" si="0"/>
        <v>8.9747450391743815</v>
      </c>
      <c r="H39" s="57">
        <f t="shared" si="1"/>
        <v>38.945655421684293</v>
      </c>
      <c r="I39" s="198"/>
      <c r="K39" s="196" t="s">
        <v>58</v>
      </c>
      <c r="L39" s="2" t="s">
        <v>236</v>
      </c>
      <c r="M39" s="60">
        <v>2</v>
      </c>
      <c r="N39" s="60">
        <v>1.34</v>
      </c>
      <c r="O39" s="60">
        <v>0.1</v>
      </c>
      <c r="P39" s="60">
        <f t="shared" si="2"/>
        <v>938</v>
      </c>
      <c r="Q39" s="60">
        <f t="shared" si="3"/>
        <v>4070.4248004910992</v>
      </c>
      <c r="R39" s="61">
        <f>(Q39*Experimentos!R50)/(1000*1000)</f>
        <v>0.84164173599754455</v>
      </c>
      <c r="S39" s="198"/>
      <c r="AM39" t="s">
        <v>276</v>
      </c>
    </row>
    <row r="40" spans="1:39">
      <c r="A40" s="196"/>
      <c r="B40" s="30" t="s">
        <v>237</v>
      </c>
      <c r="C40" s="114">
        <v>0.13850000000000001</v>
      </c>
      <c r="D40" s="113">
        <f>C40*('Análisis sólidos'!F22/100)</f>
        <v>0.137310502423164</v>
      </c>
      <c r="E40" s="60">
        <v>16.87</v>
      </c>
      <c r="F40" s="60">
        <v>0.05</v>
      </c>
      <c r="G40" s="57">
        <f t="shared" si="0"/>
        <v>8.6002161463272362</v>
      </c>
      <c r="H40" s="57">
        <f t="shared" si="1"/>
        <v>37.320397752232807</v>
      </c>
      <c r="I40" s="199"/>
      <c r="K40" s="196"/>
      <c r="L40" s="2" t="s">
        <v>237</v>
      </c>
      <c r="M40" s="60">
        <v>2</v>
      </c>
      <c r="N40" s="60">
        <v>1.38</v>
      </c>
      <c r="O40" s="60">
        <v>0.1</v>
      </c>
      <c r="P40" s="60">
        <f t="shared" si="2"/>
        <v>965.99999999999989</v>
      </c>
      <c r="Q40" s="60">
        <f t="shared" si="3"/>
        <v>4191.9300184162057</v>
      </c>
      <c r="R40" s="61">
        <f>(Q40*Experimentos!R50)/(1000*1000)</f>
        <v>0.86676536990791886</v>
      </c>
      <c r="S40" s="199"/>
      <c r="AM40" t="s">
        <v>277</v>
      </c>
    </row>
    <row r="41" spans="1:39">
      <c r="A41" s="196" t="s">
        <v>60</v>
      </c>
      <c r="B41" s="36" t="s">
        <v>236</v>
      </c>
      <c r="C41" s="82">
        <v>0.10349999999999999</v>
      </c>
      <c r="D41" s="113">
        <f>C41*('Análisis sólidos'!F23/100)</f>
        <v>0.10106053585817899</v>
      </c>
      <c r="E41" s="60">
        <v>5.42</v>
      </c>
      <c r="F41" s="60">
        <v>0.1</v>
      </c>
      <c r="G41" s="57">
        <f t="shared" ref="G41:G48" si="31">((E41*F41)*1.4)/D41</f>
        <v>7.5083710328316959</v>
      </c>
      <c r="H41" s="57">
        <f t="shared" ref="H41:H48" si="32">G41*$U$6</f>
        <v>32.582366378813546</v>
      </c>
      <c r="I41" s="197">
        <f t="shared" ref="I41" si="33">STDEV(H41:H44)</f>
        <v>1.7124821317002255</v>
      </c>
      <c r="K41" s="196" t="s">
        <v>60</v>
      </c>
      <c r="L41" s="36" t="s">
        <v>236</v>
      </c>
      <c r="M41" s="60">
        <v>2</v>
      </c>
      <c r="N41" s="60">
        <v>5.99</v>
      </c>
      <c r="O41" s="60">
        <v>0.05</v>
      </c>
      <c r="P41" s="60">
        <f t="shared" si="2"/>
        <v>2096.5000000000005</v>
      </c>
      <c r="Q41" s="60">
        <f t="shared" ref="Q41:Q48" si="34">P41*$U$6</f>
        <v>9097.7031921424223</v>
      </c>
      <c r="R41" s="61">
        <f>(Q41*Experimentos!R51)/(1000*1000)</f>
        <v>1.9643760732473918</v>
      </c>
      <c r="S41" s="197">
        <f t="shared" ref="S41" si="35">STDEV(R41:R44)</f>
        <v>0.22579681614952632</v>
      </c>
      <c r="AM41" t="s">
        <v>278</v>
      </c>
    </row>
    <row r="42" spans="1:39">
      <c r="A42" s="196"/>
      <c r="B42" s="36" t="s">
        <v>237</v>
      </c>
      <c r="C42" s="82">
        <v>0.10780000000000001</v>
      </c>
      <c r="D42" s="113">
        <f>C42*('Análisis sólidos'!F23/100)</f>
        <v>0.10525918614020964</v>
      </c>
      <c r="E42" s="60">
        <v>5.98</v>
      </c>
      <c r="F42" s="60">
        <v>0.1</v>
      </c>
      <c r="G42" s="57">
        <f t="shared" si="31"/>
        <v>7.9537001063718531</v>
      </c>
      <c r="H42" s="57">
        <f t="shared" si="32"/>
        <v>34.51485945484508</v>
      </c>
      <c r="I42" s="198"/>
      <c r="K42" s="196"/>
      <c r="L42" s="36" t="s">
        <v>237</v>
      </c>
      <c r="M42" s="60">
        <v>2</v>
      </c>
      <c r="N42" s="60">
        <v>3.76</v>
      </c>
      <c r="O42" s="60">
        <v>0.1</v>
      </c>
      <c r="P42" s="60">
        <f t="shared" si="2"/>
        <v>2632</v>
      </c>
      <c r="Q42" s="60">
        <f t="shared" si="34"/>
        <v>11421.490484960099</v>
      </c>
      <c r="R42" s="61">
        <f>(Q42*Experimentos!R51)/(1000*1000)</f>
        <v>2.466128225512584</v>
      </c>
      <c r="S42" s="198"/>
      <c r="AM42" t="s">
        <v>279</v>
      </c>
    </row>
    <row r="43" spans="1:39">
      <c r="A43" s="196" t="s">
        <v>63</v>
      </c>
      <c r="B43" s="36" t="s">
        <v>236</v>
      </c>
      <c r="C43" s="82">
        <v>0.1011</v>
      </c>
      <c r="D43" s="113">
        <f>C43*('Análisis sólidos'!F24/100)</f>
        <v>9.8966517049641503E-2</v>
      </c>
      <c r="E43" s="60">
        <v>5.15</v>
      </c>
      <c r="F43" s="60">
        <v>0.1</v>
      </c>
      <c r="G43" s="57">
        <f t="shared" si="31"/>
        <v>7.2852922533218694</v>
      </c>
      <c r="H43" s="57">
        <f t="shared" si="32"/>
        <v>31.614322245998956</v>
      </c>
      <c r="I43" s="198"/>
      <c r="K43" s="196" t="s">
        <v>63</v>
      </c>
      <c r="L43" s="36" t="s">
        <v>236</v>
      </c>
      <c r="M43" s="60">
        <v>2</v>
      </c>
      <c r="N43" s="60">
        <v>3.56</v>
      </c>
      <c r="O43" s="60">
        <v>0.1</v>
      </c>
      <c r="P43" s="60">
        <f t="shared" si="2"/>
        <v>2492.0000000000005</v>
      </c>
      <c r="Q43" s="60">
        <f t="shared" si="34"/>
        <v>10813.964395334564</v>
      </c>
      <c r="R43" s="61">
        <f>(Q43*Experimentos!R52)/(1000*1000)</f>
        <v>2.3259756017925115</v>
      </c>
      <c r="S43" s="198"/>
    </row>
    <row r="44" spans="1:39">
      <c r="A44" s="196"/>
      <c r="B44" s="36" t="s">
        <v>237</v>
      </c>
      <c r="C44" s="82">
        <v>0.11650000000000001</v>
      </c>
      <c r="D44" s="113">
        <f>C44*('Análisis sólidos'!F24/100)</f>
        <v>0.11404153547263339</v>
      </c>
      <c r="E44" s="60">
        <v>5.72</v>
      </c>
      <c r="F44" s="60">
        <v>0.1</v>
      </c>
      <c r="G44" s="57">
        <f t="shared" si="31"/>
        <v>7.0220029630534766</v>
      </c>
      <c r="H44" s="57">
        <f t="shared" si="32"/>
        <v>30.471785724877243</v>
      </c>
      <c r="I44" s="199"/>
      <c r="K44" s="196"/>
      <c r="L44" s="36" t="s">
        <v>237</v>
      </c>
      <c r="M44" s="60">
        <v>2</v>
      </c>
      <c r="N44" s="60">
        <v>3.69</v>
      </c>
      <c r="O44" s="60">
        <v>0.1</v>
      </c>
      <c r="P44" s="60">
        <f t="shared" si="2"/>
        <v>2583</v>
      </c>
      <c r="Q44" s="60">
        <f t="shared" si="34"/>
        <v>11208.856353591162</v>
      </c>
      <c r="R44" s="61">
        <f>(Q44*Experimentos!R52)/(1000*1000)</f>
        <v>2.4109129130939233</v>
      </c>
      <c r="S44" s="199"/>
    </row>
    <row r="45" spans="1:39">
      <c r="A45" s="196" t="s">
        <v>65</v>
      </c>
      <c r="B45" s="36" t="s">
        <v>236</v>
      </c>
      <c r="C45" s="82">
        <v>0.1103</v>
      </c>
      <c r="D45" s="113">
        <f>C45*('Análisis sólidos'!F25/100)</f>
        <v>0.10767906453226635</v>
      </c>
      <c r="E45" s="60">
        <v>5.7</v>
      </c>
      <c r="F45" s="60">
        <v>0.1</v>
      </c>
      <c r="G45" s="57">
        <f t="shared" si="31"/>
        <v>7.4109113360738474</v>
      </c>
      <c r="H45" s="57">
        <f t="shared" si="32"/>
        <v>32.159442746903643</v>
      </c>
      <c r="I45" s="197">
        <f t="shared" ref="I45" si="36">STDEV(H45:H48)</f>
        <v>5.635975172640717</v>
      </c>
      <c r="K45" s="196" t="s">
        <v>65</v>
      </c>
      <c r="L45" s="36" t="s">
        <v>236</v>
      </c>
      <c r="M45" s="60">
        <v>2</v>
      </c>
      <c r="N45" s="60">
        <v>1.59</v>
      </c>
      <c r="O45" s="60">
        <v>0.1</v>
      </c>
      <c r="P45" s="60">
        <f t="shared" si="2"/>
        <v>1113.0000000000002</v>
      </c>
      <c r="Q45" s="60">
        <f t="shared" si="34"/>
        <v>4829.832412523022</v>
      </c>
      <c r="R45" s="61">
        <f>(Q45*Experimentos!R53)/(1000*1000)</f>
        <v>0.79658425979742209</v>
      </c>
      <c r="S45" s="197">
        <f t="shared" ref="S45" si="37">STDEV(R45:R48)</f>
        <v>8.8697700456808345E-2</v>
      </c>
    </row>
    <row r="46" spans="1:39">
      <c r="A46" s="196"/>
      <c r="B46" s="36" t="s">
        <v>237</v>
      </c>
      <c r="C46" s="35">
        <v>0.10009999999999999</v>
      </c>
      <c r="D46" s="131">
        <f>C46*('Análisis sólidos'!F25/100)</f>
        <v>9.7721435717859115E-2</v>
      </c>
      <c r="E46" s="26">
        <v>6.35</v>
      </c>
      <c r="F46" s="26">
        <v>0.1</v>
      </c>
      <c r="G46" s="34">
        <f t="shared" si="31"/>
        <v>9.0972875446357193</v>
      </c>
      <c r="H46" s="34">
        <f t="shared" si="32"/>
        <v>39.477425201368881</v>
      </c>
      <c r="I46" s="198"/>
      <c r="K46" s="196"/>
      <c r="L46" s="36" t="s">
        <v>237</v>
      </c>
      <c r="M46" s="60">
        <v>2</v>
      </c>
      <c r="N46" s="60">
        <v>2.46</v>
      </c>
      <c r="O46" s="60">
        <v>0.05</v>
      </c>
      <c r="P46" s="60">
        <f t="shared" si="2"/>
        <v>861</v>
      </c>
      <c r="Q46" s="60">
        <f t="shared" si="34"/>
        <v>3736.2854511970536</v>
      </c>
      <c r="R46" s="61">
        <f>(Q46*Experimentos!R53)/(1000*1000)</f>
        <v>0.61622555946593005</v>
      </c>
      <c r="S46" s="198"/>
    </row>
    <row r="47" spans="1:39">
      <c r="A47" s="196" t="s">
        <v>67</v>
      </c>
      <c r="B47" s="36" t="s">
        <v>236</v>
      </c>
      <c r="C47" s="82">
        <v>0.1182</v>
      </c>
      <c r="D47" s="113">
        <f>C47*('Análisis sólidos'!F26/100)</f>
        <v>0.11656950623486957</v>
      </c>
      <c r="E47" s="60">
        <v>6.08</v>
      </c>
      <c r="F47" s="60">
        <v>0.1</v>
      </c>
      <c r="G47" s="57">
        <f t="shared" si="31"/>
        <v>7.3020812002494324</v>
      </c>
      <c r="H47" s="57">
        <f t="shared" si="32"/>
        <v>31.687177412254908</v>
      </c>
      <c r="I47" s="198"/>
      <c r="K47" s="196" t="s">
        <v>67</v>
      </c>
      <c r="L47" s="36" t="s">
        <v>236</v>
      </c>
      <c r="M47" s="60">
        <v>2</v>
      </c>
      <c r="N47" s="60">
        <v>2.46</v>
      </c>
      <c r="O47" s="60">
        <v>0.05</v>
      </c>
      <c r="P47" s="60">
        <f t="shared" si="2"/>
        <v>861</v>
      </c>
      <c r="Q47" s="60">
        <f t="shared" si="34"/>
        <v>3736.2854511970536</v>
      </c>
      <c r="R47" s="61">
        <f>(Q47*Experimentos!R54)/(1000*1000)</f>
        <v>0.62571572451197055</v>
      </c>
      <c r="S47" s="198"/>
    </row>
    <row r="48" spans="1:39">
      <c r="A48" s="196"/>
      <c r="B48" s="36" t="s">
        <v>237</v>
      </c>
      <c r="C48" s="35">
        <v>0.1026</v>
      </c>
      <c r="D48" s="131">
        <f>C48*('Análisis sólidos'!F26/100)</f>
        <v>0.10118469830539439</v>
      </c>
      <c r="E48" s="26">
        <v>7.19</v>
      </c>
      <c r="F48" s="26">
        <v>0.1</v>
      </c>
      <c r="G48" s="34">
        <f t="shared" si="31"/>
        <v>9.9481445006822344</v>
      </c>
      <c r="H48" s="34">
        <f t="shared" si="32"/>
        <v>43.16969519663764</v>
      </c>
      <c r="I48" s="199"/>
      <c r="K48" s="196"/>
      <c r="L48" s="36" t="s">
        <v>237</v>
      </c>
      <c r="M48" s="60">
        <v>2</v>
      </c>
      <c r="N48" s="60">
        <v>1.46</v>
      </c>
      <c r="O48" s="60">
        <v>0.1</v>
      </c>
      <c r="P48" s="60">
        <f t="shared" si="2"/>
        <v>1021.9999999999999</v>
      </c>
      <c r="Q48" s="60">
        <f t="shared" si="34"/>
        <v>4434.9404542664206</v>
      </c>
      <c r="R48" s="61">
        <f>(Q48*Experimentos!R54)/(1000*1000)</f>
        <v>0.74271947787599746</v>
      </c>
      <c r="S48" s="199"/>
    </row>
    <row r="49" spans="1:43">
      <c r="A49" s="196" t="s">
        <v>68</v>
      </c>
      <c r="B49" s="36" t="s">
        <v>236</v>
      </c>
      <c r="C49" s="82">
        <v>0.1042</v>
      </c>
      <c r="D49" s="113">
        <f>C49*('Análisis sólidos'!F27/100)</f>
        <v>0.10199269539810089</v>
      </c>
      <c r="E49" s="60">
        <v>5.83</v>
      </c>
      <c r="F49" s="60">
        <v>0.1</v>
      </c>
      <c r="G49" s="57">
        <f t="shared" ref="G49:G60" si="38">((E49*F49)*1.4)/D49</f>
        <v>8.0025338757269253</v>
      </c>
      <c r="H49" s="57">
        <f t="shared" ref="H49:H60" si="39">G49*$U$6</f>
        <v>34.726772232973381</v>
      </c>
      <c r="I49" s="197">
        <f t="shared" ref="I49" si="40">STDEV(H49:H52)</f>
        <v>1.8647918087289186</v>
      </c>
      <c r="K49" s="196" t="s">
        <v>68</v>
      </c>
      <c r="L49" s="36" t="s">
        <v>236</v>
      </c>
      <c r="M49" s="60">
        <v>2</v>
      </c>
      <c r="N49" s="60">
        <v>2.2599999999999998</v>
      </c>
      <c r="O49" s="60">
        <v>0.1</v>
      </c>
      <c r="P49" s="60">
        <f t="shared" ref="P49:P60" si="41">((N49*O49)*14000)/M49</f>
        <v>1581.9999999999998</v>
      </c>
      <c r="Q49" s="60">
        <f t="shared" ref="Q49:Q60" si="42">P49*$U$6</f>
        <v>6865.0448127685695</v>
      </c>
      <c r="R49" s="61">
        <f>(Q49*Experimentos!R55)/(1000*1000)</f>
        <v>1.4573117128545121</v>
      </c>
      <c r="S49" s="197">
        <f t="shared" ref="S49" si="43">STDEV(R49:R52)</f>
        <v>2.3895932853266189E-2</v>
      </c>
    </row>
    <row r="50" spans="1:43">
      <c r="A50" s="196"/>
      <c r="B50" s="36" t="s">
        <v>237</v>
      </c>
      <c r="C50" s="82">
        <v>0.1052</v>
      </c>
      <c r="D50" s="113">
        <f>C50*('Análisis sólidos'!F27/100)</f>
        <v>0.10297151205259322</v>
      </c>
      <c r="E50" s="60">
        <v>5.98</v>
      </c>
      <c r="F50" s="60">
        <v>0.1</v>
      </c>
      <c r="G50" s="57">
        <f t="shared" si="38"/>
        <v>8.1304040633335166</v>
      </c>
      <c r="H50" s="57">
        <f t="shared" si="39"/>
        <v>35.281661340518497</v>
      </c>
      <c r="I50" s="198"/>
      <c r="K50" s="196"/>
      <c r="L50" s="36" t="s">
        <v>237</v>
      </c>
      <c r="M50" s="60">
        <v>2</v>
      </c>
      <c r="N50" s="60">
        <v>2.19</v>
      </c>
      <c r="O50" s="60">
        <v>0.1</v>
      </c>
      <c r="P50" s="60">
        <f t="shared" si="41"/>
        <v>1533</v>
      </c>
      <c r="Q50" s="60">
        <f t="shared" si="42"/>
        <v>6652.4106813996323</v>
      </c>
      <c r="R50" s="61">
        <f>(Q50*Experimentos!R55)/(1000*1000)</f>
        <v>1.412173739447514</v>
      </c>
      <c r="S50" s="198"/>
    </row>
    <row r="51" spans="1:43">
      <c r="A51" s="196" t="s">
        <v>71</v>
      </c>
      <c r="B51" s="36" t="s">
        <v>236</v>
      </c>
      <c r="C51" s="82">
        <v>0.1096</v>
      </c>
      <c r="D51" s="113">
        <f>C51*('Análisis sólidos'!F28/100)</f>
        <v>0.10716885896771979</v>
      </c>
      <c r="E51" s="60">
        <v>5.85</v>
      </c>
      <c r="F51" s="60">
        <v>0.1</v>
      </c>
      <c r="G51" s="57">
        <f t="shared" si="38"/>
        <v>7.642145375894037</v>
      </c>
      <c r="H51" s="57">
        <f t="shared" si="39"/>
        <v>33.162876404048468</v>
      </c>
      <c r="I51" s="198"/>
      <c r="K51" s="196" t="s">
        <v>71</v>
      </c>
      <c r="L51" s="36" t="s">
        <v>236</v>
      </c>
      <c r="M51" s="60">
        <v>2</v>
      </c>
      <c r="N51" s="60">
        <v>2.16</v>
      </c>
      <c r="O51" s="60">
        <v>0.1</v>
      </c>
      <c r="P51" s="60">
        <f t="shared" si="41"/>
        <v>1512.0000000000002</v>
      </c>
      <c r="Q51" s="60">
        <f t="shared" si="42"/>
        <v>6561.2817679558029</v>
      </c>
      <c r="R51" s="61">
        <f>(Q51*Experimentos!R56)/(1000*1000)</f>
        <v>1.4025395907182323</v>
      </c>
      <c r="S51" s="198"/>
    </row>
    <row r="52" spans="1:43">
      <c r="A52" s="196"/>
      <c r="B52" s="36" t="s">
        <v>237</v>
      </c>
      <c r="C52" s="111">
        <v>0.11219999999999999</v>
      </c>
      <c r="D52" s="143">
        <f>C52*('Análisis sólidos'!F28/100)</f>
        <v>0.1097111859140343</v>
      </c>
      <c r="E52" s="58">
        <v>5.62</v>
      </c>
      <c r="F52" s="58">
        <v>0.1</v>
      </c>
      <c r="G52" s="54">
        <f t="shared" si="38"/>
        <v>7.1715567874410544</v>
      </c>
      <c r="H52" s="54">
        <f t="shared" si="39"/>
        <v>31.120770368582455</v>
      </c>
      <c r="I52" s="199"/>
      <c r="K52" s="196"/>
      <c r="L52" s="36" t="s">
        <v>237</v>
      </c>
      <c r="M52" s="60">
        <v>2</v>
      </c>
      <c r="N52" s="60">
        <v>2.19</v>
      </c>
      <c r="O52" s="60">
        <v>0.1</v>
      </c>
      <c r="P52" s="60">
        <f t="shared" si="41"/>
        <v>1533</v>
      </c>
      <c r="Q52" s="60">
        <f t="shared" si="42"/>
        <v>6652.4106813996323</v>
      </c>
      <c r="R52" s="61">
        <f>(Q52*Experimentos!R56)/(1000*1000)</f>
        <v>1.4220193072559855</v>
      </c>
      <c r="S52" s="199"/>
    </row>
    <row r="53" spans="1:43">
      <c r="A53" s="196" t="s">
        <v>72</v>
      </c>
      <c r="B53" s="36" t="s">
        <v>236</v>
      </c>
      <c r="C53" s="82">
        <v>0.1038</v>
      </c>
      <c r="D53" s="113">
        <f>C53*('Análisis sólidos'!F29/100)</f>
        <v>0.10146750517677715</v>
      </c>
      <c r="E53" s="60">
        <v>5.46</v>
      </c>
      <c r="F53" s="60">
        <v>0.1</v>
      </c>
      <c r="G53" s="57">
        <f t="shared" si="38"/>
        <v>7.5334462857666482</v>
      </c>
      <c r="H53" s="57">
        <f t="shared" si="39"/>
        <v>32.691179738541706</v>
      </c>
      <c r="I53" s="197">
        <f t="shared" ref="I53" si="44">STDEV(H53:H56)</f>
        <v>0.89618748118280056</v>
      </c>
      <c r="K53" s="196" t="s">
        <v>72</v>
      </c>
      <c r="L53" s="36" t="s">
        <v>236</v>
      </c>
      <c r="M53" s="60">
        <v>2</v>
      </c>
      <c r="N53" s="60">
        <v>5.87</v>
      </c>
      <c r="O53" s="60">
        <v>0.05</v>
      </c>
      <c r="P53" s="60">
        <f t="shared" si="41"/>
        <v>2054.5000000000005</v>
      </c>
      <c r="Q53" s="60">
        <f t="shared" si="42"/>
        <v>8915.44536525476</v>
      </c>
      <c r="R53" s="61">
        <f>(Q53*Experimentos!R57)/(1000*1000)</f>
        <v>1.9108474051350528</v>
      </c>
      <c r="S53" s="197">
        <f>STDEV(R53:R55)</f>
        <v>0.20593910583860089</v>
      </c>
      <c r="Z53" t="s">
        <v>270</v>
      </c>
      <c r="AM53" t="s">
        <v>269</v>
      </c>
    </row>
    <row r="54" spans="1:43">
      <c r="A54" s="196"/>
      <c r="B54" s="36" t="s">
        <v>237</v>
      </c>
      <c r="C54" s="82">
        <v>0.1062</v>
      </c>
      <c r="D54" s="113">
        <f>C54*('Análisis sólidos'!F29/100)</f>
        <v>0.10381357466063328</v>
      </c>
      <c r="E54" s="60">
        <v>5.94</v>
      </c>
      <c r="F54" s="60">
        <v>0.1</v>
      </c>
      <c r="G54" s="57">
        <f t="shared" si="38"/>
        <v>8.0105131021497105</v>
      </c>
      <c r="H54" s="57">
        <f t="shared" si="39"/>
        <v>34.761397863165321</v>
      </c>
      <c r="I54" s="198"/>
      <c r="K54" s="196"/>
      <c r="L54" s="36" t="s">
        <v>237</v>
      </c>
      <c r="M54" s="60">
        <v>2</v>
      </c>
      <c r="N54" s="60">
        <v>3.26</v>
      </c>
      <c r="O54" s="60">
        <v>0.1</v>
      </c>
      <c r="P54" s="60">
        <f t="shared" si="41"/>
        <v>2282</v>
      </c>
      <c r="Q54" s="60">
        <f t="shared" si="42"/>
        <v>9902.6752608962561</v>
      </c>
      <c r="R54" s="61">
        <f>(Q54*Experimentos!R57)/(1000*1000)</f>
        <v>2.1224403886678944</v>
      </c>
      <c r="S54" s="198"/>
    </row>
    <row r="55" spans="1:43">
      <c r="A55" s="196" t="s">
        <v>73</v>
      </c>
      <c r="B55" s="36" t="s">
        <v>236</v>
      </c>
      <c r="C55" s="82">
        <v>0.10580000000000001</v>
      </c>
      <c r="D55" s="113">
        <f>C55*('Análisis sólidos'!F30/100)</f>
        <v>0.10302011390111329</v>
      </c>
      <c r="E55" s="60">
        <v>5.64</v>
      </c>
      <c r="F55" s="60">
        <v>0.1</v>
      </c>
      <c r="G55" s="57">
        <f t="shared" si="38"/>
        <v>7.6645226849381984</v>
      </c>
      <c r="H55" s="57">
        <f t="shared" si="39"/>
        <v>33.259982111619479</v>
      </c>
      <c r="I55" s="198"/>
      <c r="K55" s="196" t="s">
        <v>73</v>
      </c>
      <c r="L55" s="36" t="s">
        <v>236</v>
      </c>
      <c r="M55" s="2">
        <v>2</v>
      </c>
      <c r="N55" s="2">
        <v>3.53</v>
      </c>
      <c r="O55" s="2">
        <v>0.1</v>
      </c>
      <c r="P55" s="2">
        <f t="shared" si="41"/>
        <v>2471</v>
      </c>
      <c r="Q55" s="2">
        <f t="shared" si="42"/>
        <v>10722.835481890732</v>
      </c>
      <c r="R55" s="17">
        <f>(Q55*Experimentos!R58)/(1000*1000)</f>
        <v>2.3226733937323516</v>
      </c>
      <c r="S55" s="198"/>
    </row>
    <row r="56" spans="1:43">
      <c r="A56" s="196"/>
      <c r="B56" s="36" t="s">
        <v>237</v>
      </c>
      <c r="C56" s="82">
        <v>0.1067</v>
      </c>
      <c r="D56" s="113">
        <f>C56*('Análisis sólidos'!F30/100)</f>
        <v>0.10389646647683165</v>
      </c>
      <c r="E56" s="60">
        <v>5.81</v>
      </c>
      <c r="F56" s="60">
        <v>0.1</v>
      </c>
      <c r="G56" s="57">
        <f t="shared" si="38"/>
        <v>7.8289476782291114</v>
      </c>
      <c r="H56" s="57">
        <f t="shared" si="39"/>
        <v>33.973499777410431</v>
      </c>
      <c r="I56" s="199"/>
      <c r="K56" s="196"/>
      <c r="L56" s="36" t="s">
        <v>237</v>
      </c>
      <c r="M56" s="26">
        <v>2</v>
      </c>
      <c r="N56" s="26">
        <v>2.27</v>
      </c>
      <c r="O56" s="26">
        <v>0.1</v>
      </c>
      <c r="P56" s="26">
        <f t="shared" si="41"/>
        <v>1589</v>
      </c>
      <c r="Q56" s="26">
        <f t="shared" si="42"/>
        <v>6895.4211172498472</v>
      </c>
      <c r="R56" s="47">
        <f>(Q56*Experimentos!R58)/(1000*1000)</f>
        <v>1.4936171682074895</v>
      </c>
      <c r="S56" s="199"/>
      <c r="W56" s="7" t="s">
        <v>0</v>
      </c>
      <c r="X56" s="7" t="s">
        <v>228</v>
      </c>
      <c r="Y56" s="7" t="s">
        <v>247</v>
      </c>
      <c r="Z56" s="7" t="s">
        <v>248</v>
      </c>
      <c r="AA56" s="7" t="s">
        <v>249</v>
      </c>
      <c r="AB56" s="7" t="s">
        <v>250</v>
      </c>
      <c r="AC56" s="7" t="s">
        <v>251</v>
      </c>
      <c r="AD56" s="7" t="s">
        <v>252</v>
      </c>
      <c r="AE56" s="7" t="s">
        <v>253</v>
      </c>
      <c r="AF56" s="7" t="s">
        <v>254</v>
      </c>
      <c r="AG56" s="7" t="s">
        <v>255</v>
      </c>
      <c r="AH56" s="7" t="s">
        <v>256</v>
      </c>
      <c r="AI56" s="7" t="s">
        <v>257</v>
      </c>
      <c r="AJ56" s="7" t="s">
        <v>258</v>
      </c>
      <c r="AK56" s="7" t="s">
        <v>259</v>
      </c>
      <c r="AL56" s="7" t="s">
        <v>260</v>
      </c>
      <c r="AM56" s="7" t="s">
        <v>261</v>
      </c>
      <c r="AN56" s="7" t="s">
        <v>262</v>
      </c>
      <c r="AO56" s="7" t="s">
        <v>263</v>
      </c>
      <c r="AP56" s="7" t="s">
        <v>264</v>
      </c>
      <c r="AQ56" s="7" t="s">
        <v>265</v>
      </c>
    </row>
    <row r="57" spans="1:43">
      <c r="A57" s="196" t="s">
        <v>74</v>
      </c>
      <c r="B57" s="36" t="s">
        <v>236</v>
      </c>
      <c r="C57" s="35">
        <v>0.1009</v>
      </c>
      <c r="D57" s="131">
        <f>C57*('Análisis sólidos'!F31/100)</f>
        <v>9.7821163285340143E-2</v>
      </c>
      <c r="E57" s="26">
        <v>5.84</v>
      </c>
      <c r="F57" s="26">
        <v>0.1</v>
      </c>
      <c r="G57" s="34">
        <f t="shared" si="38"/>
        <v>8.3581095597390895</v>
      </c>
      <c r="H57" s="34">
        <f t="shared" si="39"/>
        <v>36.269782982072208</v>
      </c>
      <c r="I57" s="197">
        <f t="shared" ref="I57" si="45">STDEV(H57:H60)</f>
        <v>3.0917203814164238</v>
      </c>
      <c r="K57" s="196" t="s">
        <v>74</v>
      </c>
      <c r="L57" s="36" t="s">
        <v>236</v>
      </c>
      <c r="M57" s="2">
        <v>2</v>
      </c>
      <c r="N57" s="2">
        <v>1.45</v>
      </c>
      <c r="O57" s="2">
        <v>0.1</v>
      </c>
      <c r="P57" s="2">
        <f t="shared" si="41"/>
        <v>1014.9999999999999</v>
      </c>
      <c r="Q57" s="2">
        <f t="shared" si="42"/>
        <v>4404.5641497851439</v>
      </c>
      <c r="R57" s="17">
        <f>(Q57*Experimentos!R59)/(1000*1000)</f>
        <v>0.7435344741252301</v>
      </c>
      <c r="S57" s="197">
        <f t="shared" ref="S57" si="46">STDEV(R57:R60)</f>
        <v>8.288091618768402E-2</v>
      </c>
      <c r="W57" s="8" t="s">
        <v>280</v>
      </c>
      <c r="X57" s="2" t="s">
        <v>270</v>
      </c>
      <c r="Y57" s="2">
        <v>2.21</v>
      </c>
      <c r="Z57" s="2">
        <v>2.36</v>
      </c>
      <c r="AA57" s="2">
        <v>0.96</v>
      </c>
      <c r="AB57" s="2">
        <v>0.03</v>
      </c>
      <c r="AC57" s="2">
        <v>1.26</v>
      </c>
      <c r="AD57" s="2">
        <v>0.08</v>
      </c>
      <c r="AE57" s="2">
        <v>0.17</v>
      </c>
      <c r="AF57" s="6">
        <v>1.74</v>
      </c>
      <c r="AG57" s="2">
        <v>0.77</v>
      </c>
      <c r="AH57" s="2">
        <v>0.68</v>
      </c>
      <c r="AI57" s="2">
        <v>0.82</v>
      </c>
      <c r="AJ57" s="2">
        <v>0.4</v>
      </c>
      <c r="AK57" s="2">
        <v>0.85</v>
      </c>
      <c r="AL57" s="2">
        <v>0.49</v>
      </c>
      <c r="AM57" s="2">
        <v>1.47</v>
      </c>
      <c r="AN57" s="2">
        <v>0.98</v>
      </c>
      <c r="AO57" s="2">
        <v>0.82</v>
      </c>
      <c r="AP57" s="23">
        <f>SUM(Y57:AO57)/1.25</f>
        <v>12.872</v>
      </c>
      <c r="AQ57" s="23">
        <f>(AP57/P6)*1000</f>
        <v>3.2317348732111468</v>
      </c>
    </row>
    <row r="58" spans="1:43">
      <c r="A58" s="196"/>
      <c r="B58" s="36" t="s">
        <v>237</v>
      </c>
      <c r="C58" s="82">
        <v>0.113</v>
      </c>
      <c r="D58" s="113">
        <f>C58*('Análisis sólidos'!F31/100)</f>
        <v>0.10955194698952861</v>
      </c>
      <c r="E58" s="58">
        <v>5.46</v>
      </c>
      <c r="F58" s="60">
        <v>0.1</v>
      </c>
      <c r="G58" s="57">
        <f t="shared" si="38"/>
        <v>6.9775117741455039</v>
      </c>
      <c r="H58" s="57">
        <f t="shared" si="39"/>
        <v>30.278717453305447</v>
      </c>
      <c r="I58" s="198"/>
      <c r="K58" s="196"/>
      <c r="L58" s="36" t="s">
        <v>237</v>
      </c>
      <c r="M58" s="2">
        <v>2</v>
      </c>
      <c r="N58" s="2">
        <v>1.53</v>
      </c>
      <c r="O58" s="2">
        <v>0.1</v>
      </c>
      <c r="P58" s="2">
        <f t="shared" si="41"/>
        <v>1071.0000000000002</v>
      </c>
      <c r="Q58" s="2">
        <f t="shared" si="42"/>
        <v>4647.5745856353606</v>
      </c>
      <c r="R58" s="17">
        <f>(Q58*Experimentos!R59)/(1000*1000)</f>
        <v>0.78455706580110518</v>
      </c>
      <c r="S58" s="198"/>
      <c r="W58" s="8" t="s">
        <v>281</v>
      </c>
      <c r="X58" s="2" t="s">
        <v>270</v>
      </c>
      <c r="Y58" s="2">
        <v>0.11</v>
      </c>
      <c r="Z58" s="2">
        <v>0.38</v>
      </c>
      <c r="AA58" s="2">
        <v>0.06</v>
      </c>
      <c r="AB58" s="2">
        <v>0.01</v>
      </c>
      <c r="AC58" s="2">
        <v>7.0000000000000007E-2</v>
      </c>
      <c r="AD58" s="2">
        <v>0.05</v>
      </c>
      <c r="AE58" s="2">
        <v>0.12</v>
      </c>
      <c r="AF58" s="6">
        <v>0.24</v>
      </c>
      <c r="AG58" s="2">
        <v>0.02</v>
      </c>
      <c r="AH58" s="2">
        <v>0.06</v>
      </c>
      <c r="AI58" s="2">
        <v>0.03</v>
      </c>
      <c r="AJ58" s="2">
        <v>0</v>
      </c>
      <c r="AK58" s="2">
        <v>0.02</v>
      </c>
      <c r="AL58" s="2">
        <v>0.02</v>
      </c>
      <c r="AM58" s="2">
        <v>0.04</v>
      </c>
      <c r="AN58" s="2">
        <v>0.06</v>
      </c>
      <c r="AO58" s="2">
        <v>0.05</v>
      </c>
      <c r="AP58" s="2">
        <f t="shared" ref="AP58:AP64" si="47">SUM(Y58:AO58)</f>
        <v>1.3400000000000003</v>
      </c>
      <c r="AQ58" s="23">
        <f>(AP58/((P9+P10)/2))*1000</f>
        <v>1.5626822157434406</v>
      </c>
    </row>
    <row r="59" spans="1:43">
      <c r="A59" s="196" t="s">
        <v>75</v>
      </c>
      <c r="B59" s="36" t="s">
        <v>236</v>
      </c>
      <c r="C59" s="82">
        <v>0.1143</v>
      </c>
      <c r="D59" s="113">
        <f>C59*('Análisis sólidos'!F32/100)</f>
        <v>0.11247817539072187</v>
      </c>
      <c r="E59" s="58">
        <v>5.42</v>
      </c>
      <c r="F59" s="60">
        <v>0.1</v>
      </c>
      <c r="G59" s="57">
        <f t="shared" si="38"/>
        <v>6.7461976277985753</v>
      </c>
      <c r="H59" s="57">
        <f t="shared" si="39"/>
        <v>29.274936176125312</v>
      </c>
      <c r="I59" s="198"/>
      <c r="K59" s="196" t="s">
        <v>75</v>
      </c>
      <c r="L59" s="36" t="s">
        <v>236</v>
      </c>
      <c r="M59" s="2">
        <v>2</v>
      </c>
      <c r="N59" s="2">
        <v>1.76</v>
      </c>
      <c r="O59" s="2">
        <v>0.1</v>
      </c>
      <c r="P59" s="2">
        <f t="shared" si="41"/>
        <v>1232.0000000000002</v>
      </c>
      <c r="Q59" s="2">
        <f t="shared" si="42"/>
        <v>5346.2295887047285</v>
      </c>
      <c r="R59" s="17">
        <f>(Q59*Experimentos!R60)/(1000*1000)</f>
        <v>0.89934274141190951</v>
      </c>
      <c r="S59" s="198"/>
      <c r="W59" s="8" t="s">
        <v>282</v>
      </c>
      <c r="X59" s="2" t="s">
        <v>270</v>
      </c>
      <c r="Y59" s="2">
        <v>0.1</v>
      </c>
      <c r="Z59" s="2">
        <v>0.37</v>
      </c>
      <c r="AA59" s="2">
        <v>0.05</v>
      </c>
      <c r="AB59" s="2">
        <v>0.01</v>
      </c>
      <c r="AC59" s="2">
        <v>0.06</v>
      </c>
      <c r="AD59" s="2">
        <v>0.04</v>
      </c>
      <c r="AE59" s="2">
        <v>0.11</v>
      </c>
      <c r="AF59" s="6">
        <v>0.24</v>
      </c>
      <c r="AG59" s="2">
        <v>0.01</v>
      </c>
      <c r="AH59" s="2">
        <v>0.04</v>
      </c>
      <c r="AI59" s="2">
        <v>0.02</v>
      </c>
      <c r="AJ59" s="2">
        <v>0</v>
      </c>
      <c r="AK59" s="2">
        <v>0.02</v>
      </c>
      <c r="AL59" s="2">
        <v>0.02</v>
      </c>
      <c r="AM59" s="2">
        <v>0.03</v>
      </c>
      <c r="AN59" s="2">
        <v>0.05</v>
      </c>
      <c r="AO59" s="2">
        <v>0.04</v>
      </c>
      <c r="AP59" s="2">
        <f t="shared" si="47"/>
        <v>1.2100000000000002</v>
      </c>
      <c r="AQ59" s="23">
        <f>(AP59/((P13+P14)/2))*1000</f>
        <v>1.5858453473132375</v>
      </c>
    </row>
    <row r="60" spans="1:43">
      <c r="A60" s="196"/>
      <c r="B60" s="36" t="s">
        <v>237</v>
      </c>
      <c r="C60" s="82">
        <v>0.1116</v>
      </c>
      <c r="D60" s="113">
        <f>C60*('Análisis sólidos'!F32/100)</f>
        <v>0.10982121061771269</v>
      </c>
      <c r="E60" s="58">
        <v>5.72</v>
      </c>
      <c r="F60" s="60">
        <v>0.1</v>
      </c>
      <c r="G60" s="57">
        <f t="shared" si="38"/>
        <v>7.2918518699232182</v>
      </c>
      <c r="H60" s="57">
        <f t="shared" si="39"/>
        <v>31.642787519022242</v>
      </c>
      <c r="I60" s="199"/>
      <c r="K60" s="196"/>
      <c r="L60" s="36" t="s">
        <v>237</v>
      </c>
      <c r="M60" s="2">
        <v>2</v>
      </c>
      <c r="N60" s="2">
        <v>1.78</v>
      </c>
      <c r="O60" s="2">
        <v>0.1</v>
      </c>
      <c r="P60" s="2">
        <f t="shared" si="41"/>
        <v>1246.0000000000002</v>
      </c>
      <c r="Q60" s="2">
        <f t="shared" si="42"/>
        <v>5406.982197667282</v>
      </c>
      <c r="R60" s="17">
        <f>(Q60*Experimentos!R60)/(1000*1000)</f>
        <v>0.9095625452915902</v>
      </c>
      <c r="S60" s="199"/>
      <c r="W60" s="8" t="s">
        <v>283</v>
      </c>
      <c r="X60" s="16" t="s">
        <v>270</v>
      </c>
      <c r="Y60" s="2">
        <v>2.2400000000000002</v>
      </c>
      <c r="Z60" s="2">
        <v>2.68</v>
      </c>
      <c r="AA60" s="2">
        <v>0.28999999999999998</v>
      </c>
      <c r="AB60" s="2">
        <v>0.09</v>
      </c>
      <c r="AC60" s="2">
        <v>1.69</v>
      </c>
      <c r="AD60" s="2">
        <v>0.04</v>
      </c>
      <c r="AE60" s="2">
        <v>0.04</v>
      </c>
      <c r="AF60" s="6">
        <v>2.12</v>
      </c>
      <c r="AG60" s="2">
        <v>0.82</v>
      </c>
      <c r="AH60" s="2">
        <v>0.85</v>
      </c>
      <c r="AI60" s="2">
        <v>0.87</v>
      </c>
      <c r="AJ60" s="2">
        <v>0.4</v>
      </c>
      <c r="AK60" s="2">
        <v>0.95</v>
      </c>
      <c r="AL60" s="2">
        <v>0.21</v>
      </c>
      <c r="AM60" s="2">
        <v>1.64</v>
      </c>
      <c r="AN60" s="2">
        <v>0.88</v>
      </c>
      <c r="AO60" s="2">
        <v>0.71</v>
      </c>
      <c r="AP60" s="2">
        <f t="shared" si="47"/>
        <v>16.520000000000003</v>
      </c>
      <c r="AQ60" s="23">
        <f>(AP60/((P18+P18)/2))*1000</f>
        <v>4</v>
      </c>
    </row>
    <row r="61" spans="1:43">
      <c r="A61" s="196" t="s">
        <v>92</v>
      </c>
      <c r="B61" s="36" t="s">
        <v>236</v>
      </c>
      <c r="C61" s="82">
        <v>0.10829999999999999</v>
      </c>
      <c r="D61" s="113">
        <f>C61*('Análisis sólidos'!F33/100)</f>
        <v>0.10590996573552469</v>
      </c>
      <c r="E61" s="60">
        <v>5.85</v>
      </c>
      <c r="F61" s="60">
        <v>0.1</v>
      </c>
      <c r="G61" s="57">
        <f t="shared" ref="G61:G64" si="48">((E61*F61)*1.4)/D61</f>
        <v>7.7329833345917898</v>
      </c>
      <c r="H61" s="57">
        <f t="shared" ref="H61:H64" si="49">G61*$U$6</f>
        <v>33.557065188599978</v>
      </c>
      <c r="I61" s="174">
        <f>STDEV(H61:H62)</f>
        <v>1.8249285010382246</v>
      </c>
      <c r="K61" s="196" t="s">
        <v>92</v>
      </c>
      <c r="L61" s="36" t="s">
        <v>236</v>
      </c>
      <c r="M61" s="2">
        <v>2</v>
      </c>
      <c r="N61" s="2">
        <v>2.85</v>
      </c>
      <c r="O61" s="2">
        <v>0.1</v>
      </c>
      <c r="P61" s="2">
        <f t="shared" ref="P61:P64" si="50">((N61*O61)*14000)/M61</f>
        <v>1995.0000000000002</v>
      </c>
      <c r="Q61" s="2">
        <f t="shared" ref="Q61:Q64" si="51">P61*$U$6</f>
        <v>8657.2467771639058</v>
      </c>
      <c r="R61" s="17">
        <f>(Q61*Experimentos!R61)/(1000*1000)</f>
        <v>1.8757656592081033</v>
      </c>
      <c r="S61" s="174">
        <f>STDEV(R61:R62)</f>
        <v>0.10704011299469078</v>
      </c>
      <c r="W61" s="8" t="s">
        <v>284</v>
      </c>
      <c r="X61" s="16" t="s">
        <v>270</v>
      </c>
      <c r="Y61" s="2">
        <v>1.31</v>
      </c>
      <c r="Z61" s="2">
        <v>1.51</v>
      </c>
      <c r="AA61" s="2">
        <v>0.46</v>
      </c>
      <c r="AB61" s="2">
        <v>0.06</v>
      </c>
      <c r="AC61" s="2">
        <v>0.83</v>
      </c>
      <c r="AD61" s="2">
        <v>0.24</v>
      </c>
      <c r="AE61" s="2">
        <v>0.24</v>
      </c>
      <c r="AF61" s="6">
        <v>1.0900000000000001</v>
      </c>
      <c r="AG61" s="2">
        <v>0.39</v>
      </c>
      <c r="AH61" s="2">
        <v>0.54</v>
      </c>
      <c r="AI61" s="2">
        <v>0.42</v>
      </c>
      <c r="AJ61" s="2">
        <v>0.2</v>
      </c>
      <c r="AK61" s="2">
        <v>0.44</v>
      </c>
      <c r="AL61" s="2">
        <v>0.26</v>
      </c>
      <c r="AM61" s="2">
        <v>0.75</v>
      </c>
      <c r="AN61" s="2">
        <v>0.35</v>
      </c>
      <c r="AO61" s="2">
        <v>0.15</v>
      </c>
      <c r="AP61" s="2">
        <f t="shared" si="47"/>
        <v>9.24</v>
      </c>
      <c r="AQ61" s="23">
        <f>(AP61/((P22+P21)/2))*1000</f>
        <v>4.0397857689364951</v>
      </c>
    </row>
    <row r="62" spans="1:43">
      <c r="A62" s="196"/>
      <c r="B62" s="36" t="s">
        <v>237</v>
      </c>
      <c r="C62" s="82">
        <v>0.1089</v>
      </c>
      <c r="D62" s="113">
        <f>C62*('Análisis sólidos'!F33/100)</f>
        <v>0.10649672454846389</v>
      </c>
      <c r="E62" s="60">
        <v>5.43</v>
      </c>
      <c r="F62" s="60">
        <v>0.1</v>
      </c>
      <c r="G62" s="57">
        <f t="shared" si="48"/>
        <v>7.1382477087739238</v>
      </c>
      <c r="H62" s="57">
        <f t="shared" si="49"/>
        <v>30.976226552070518</v>
      </c>
      <c r="I62" s="174"/>
      <c r="K62" s="196"/>
      <c r="L62" s="36" t="s">
        <v>237</v>
      </c>
      <c r="M62" s="2">
        <v>2</v>
      </c>
      <c r="N62" s="2">
        <v>2.62</v>
      </c>
      <c r="O62" s="2">
        <v>0.1</v>
      </c>
      <c r="P62" s="2">
        <f t="shared" si="50"/>
        <v>1834</v>
      </c>
      <c r="Q62" s="2">
        <f t="shared" si="51"/>
        <v>7958.591774094537</v>
      </c>
      <c r="R62" s="17">
        <f>(Q62*Experimentos!R61)/(1000*1000)</f>
        <v>1.7243880796930631</v>
      </c>
      <c r="S62" s="174"/>
      <c r="W62" s="8" t="s">
        <v>285</v>
      </c>
      <c r="X62" s="16" t="s">
        <v>270</v>
      </c>
      <c r="Y62" s="2">
        <v>0.81</v>
      </c>
      <c r="Z62" s="2">
        <v>1.02</v>
      </c>
      <c r="AA62" s="2">
        <v>0.32</v>
      </c>
      <c r="AB62" s="2">
        <v>0.02</v>
      </c>
      <c r="AC62" s="2">
        <v>0.54</v>
      </c>
      <c r="AD62" s="2">
        <v>0.19</v>
      </c>
      <c r="AE62" s="2">
        <v>0.1</v>
      </c>
      <c r="AF62" s="6">
        <v>0.81</v>
      </c>
      <c r="AG62" s="2">
        <v>0.22</v>
      </c>
      <c r="AH62" s="2">
        <v>0.33</v>
      </c>
      <c r="AI62" s="2">
        <v>0.26</v>
      </c>
      <c r="AJ62" s="2">
        <v>0.13</v>
      </c>
      <c r="AK62" s="2">
        <v>0.27</v>
      </c>
      <c r="AL62" s="2">
        <v>0.16</v>
      </c>
      <c r="AM62" s="2">
        <v>0.42</v>
      </c>
      <c r="AN62" s="2">
        <v>0.21</v>
      </c>
      <c r="AO62" s="2">
        <v>0.09</v>
      </c>
      <c r="AP62" s="2">
        <f t="shared" si="47"/>
        <v>5.8999999999999995</v>
      </c>
      <c r="AQ62" s="23">
        <f>(AP62/((P25+P26)/2))*1000</f>
        <v>3.3118158854897555</v>
      </c>
    </row>
    <row r="63" spans="1:43">
      <c r="A63" s="196" t="s">
        <v>93</v>
      </c>
      <c r="B63" s="36" t="s">
        <v>236</v>
      </c>
      <c r="C63" s="60">
        <v>0.1024</v>
      </c>
      <c r="D63" s="61">
        <f>C63*('Análisis sólidos'!F34/100)</f>
        <v>0.10006073908174688</v>
      </c>
      <c r="E63" s="60">
        <v>6.42</v>
      </c>
      <c r="F63" s="60">
        <v>0.1</v>
      </c>
      <c r="G63" s="57">
        <f t="shared" si="48"/>
        <v>8.9825440852051361</v>
      </c>
      <c r="H63" s="57">
        <f t="shared" si="49"/>
        <v>38.979499164097675</v>
      </c>
      <c r="I63" s="174">
        <f>STDEV(H63:H64)</f>
        <v>1.2506146497039148</v>
      </c>
      <c r="K63" s="196" t="s">
        <v>93</v>
      </c>
      <c r="L63" s="36" t="s">
        <v>236</v>
      </c>
      <c r="M63" s="2">
        <v>2</v>
      </c>
      <c r="N63" s="2">
        <v>1.1000000000000001</v>
      </c>
      <c r="O63" s="2">
        <v>0.1</v>
      </c>
      <c r="P63" s="2">
        <f t="shared" si="50"/>
        <v>770.00000000000011</v>
      </c>
      <c r="Q63" s="2">
        <f t="shared" si="51"/>
        <v>3341.393492940455</v>
      </c>
      <c r="R63" s="17">
        <f>(Q63*Experimentos!R62)/(1000*1000)</f>
        <v>0.53876628680171901</v>
      </c>
      <c r="S63" s="174">
        <f>STDEV(R63:R64)</f>
        <v>1.7316604312372332E-2</v>
      </c>
      <c r="W63" s="8" t="s">
        <v>286</v>
      </c>
      <c r="X63" s="2" t="s">
        <v>270</v>
      </c>
      <c r="Y63" s="2">
        <v>0.53</v>
      </c>
      <c r="Z63" s="2">
        <v>0.54</v>
      </c>
      <c r="AA63" s="2">
        <v>0.22</v>
      </c>
      <c r="AB63" s="2">
        <v>0.1</v>
      </c>
      <c r="AC63" s="2">
        <v>0.4</v>
      </c>
      <c r="AD63" s="2">
        <v>0.36</v>
      </c>
      <c r="AE63" s="2">
        <v>0.13</v>
      </c>
      <c r="AF63" s="6">
        <v>0.59</v>
      </c>
      <c r="AG63" s="2">
        <v>0.26</v>
      </c>
      <c r="AH63" s="2">
        <v>0.21</v>
      </c>
      <c r="AI63" s="2">
        <v>0.35</v>
      </c>
      <c r="AJ63" s="2">
        <v>0.11</v>
      </c>
      <c r="AK63" s="2">
        <v>0.28000000000000003</v>
      </c>
      <c r="AL63" s="2">
        <v>0.19</v>
      </c>
      <c r="AM63" s="2">
        <v>0.48</v>
      </c>
      <c r="AN63" s="2">
        <v>0.32</v>
      </c>
      <c r="AO63" s="2">
        <v>0.1</v>
      </c>
      <c r="AP63" s="2">
        <f t="shared" si="47"/>
        <v>5.17</v>
      </c>
      <c r="AQ63" s="23">
        <f>(AP63/((P29+P30)/2))*1000</f>
        <v>3.1698344573881054</v>
      </c>
    </row>
    <row r="64" spans="1:43" ht="15.75" thickBot="1">
      <c r="A64" s="202"/>
      <c r="B64" s="125" t="s">
        <v>237</v>
      </c>
      <c r="C64" s="126">
        <v>0.1071</v>
      </c>
      <c r="D64" s="127">
        <f>C64*('Análisis sólidos'!F34/100)</f>
        <v>0.10465337066069424</v>
      </c>
      <c r="E64" s="126">
        <v>6.41</v>
      </c>
      <c r="F64" s="126">
        <v>0.1</v>
      </c>
      <c r="G64" s="128">
        <f t="shared" si="48"/>
        <v>8.5749746456761358</v>
      </c>
      <c r="H64" s="128">
        <f t="shared" si="49"/>
        <v>37.210862965183921</v>
      </c>
      <c r="I64" s="201"/>
      <c r="K64" s="202"/>
      <c r="L64" s="125" t="s">
        <v>237</v>
      </c>
      <c r="M64" s="129">
        <v>2</v>
      </c>
      <c r="N64" s="129">
        <v>1.05</v>
      </c>
      <c r="O64" s="129">
        <v>0.1</v>
      </c>
      <c r="P64" s="129">
        <f t="shared" si="50"/>
        <v>735.00000000000011</v>
      </c>
      <c r="Q64" s="129">
        <f t="shared" si="51"/>
        <v>3189.5119705340708</v>
      </c>
      <c r="R64" s="130">
        <f>(Q64*Experimentos!R62)/(1000*1000)</f>
        <v>0.51427691012891363</v>
      </c>
      <c r="S64" s="201"/>
      <c r="W64" s="8" t="s">
        <v>287</v>
      </c>
      <c r="X64" s="2" t="s">
        <v>270</v>
      </c>
      <c r="Y64" s="2">
        <v>0.8</v>
      </c>
      <c r="Z64" s="2">
        <v>1.1000000000000001</v>
      </c>
      <c r="AA64" s="2">
        <v>0.35</v>
      </c>
      <c r="AB64" s="2">
        <v>0.1</v>
      </c>
      <c r="AC64" s="2">
        <v>0.42</v>
      </c>
      <c r="AD64" s="2">
        <v>0.35</v>
      </c>
      <c r="AE64" s="2">
        <v>0.27</v>
      </c>
      <c r="AF64" s="6">
        <v>0.8</v>
      </c>
      <c r="AG64" s="2">
        <v>0.25</v>
      </c>
      <c r="AH64" s="2">
        <v>0.22</v>
      </c>
      <c r="AI64" s="2">
        <v>0.24</v>
      </c>
      <c r="AJ64" s="2">
        <v>0.12</v>
      </c>
      <c r="AK64" s="2">
        <v>0.25</v>
      </c>
      <c r="AL64" s="2">
        <v>0.14000000000000001</v>
      </c>
      <c r="AM64" s="2">
        <v>0.5</v>
      </c>
      <c r="AN64" s="2">
        <v>0.33</v>
      </c>
      <c r="AO64" s="2">
        <v>0.25</v>
      </c>
      <c r="AP64" s="2">
        <f t="shared" si="47"/>
        <v>6.49</v>
      </c>
      <c r="AQ64" s="23">
        <f>(AP64/((P34+P33)/2))*1000</f>
        <v>4.0575179743669896</v>
      </c>
    </row>
    <row r="65" spans="1:42" ht="15.75" thickTop="1">
      <c r="A65" s="120" t="s">
        <v>19</v>
      </c>
      <c r="B65" s="121" t="s">
        <v>236</v>
      </c>
      <c r="C65" s="112">
        <v>0.1008</v>
      </c>
      <c r="D65" s="122">
        <f>C65*('Análisis sólidos'!F7/100)</f>
        <v>8.4980641963068579E-2</v>
      </c>
      <c r="E65" s="112">
        <v>5.59</v>
      </c>
      <c r="F65" s="112">
        <v>0.1</v>
      </c>
      <c r="G65" s="123">
        <f t="shared" ref="G65:G70" si="52">((E65*F65)*1.4)/D65</f>
        <v>9.2091561315823824</v>
      </c>
      <c r="H65" s="123">
        <f t="shared" ref="H65:H70" si="53">G65*$U$6</f>
        <v>39.962875809794888</v>
      </c>
      <c r="I65" s="124" t="s">
        <v>107</v>
      </c>
      <c r="K65" s="132" t="s">
        <v>13</v>
      </c>
      <c r="L65" s="121" t="s">
        <v>236</v>
      </c>
      <c r="M65" s="119">
        <v>2</v>
      </c>
      <c r="N65" s="119">
        <v>1.83</v>
      </c>
      <c r="O65" s="118">
        <v>0.1</v>
      </c>
      <c r="P65" s="118">
        <f t="shared" ref="P65:P68" si="54">((N65*O65)*14000)/M65</f>
        <v>1281.0000000000002</v>
      </c>
      <c r="Q65" s="118">
        <f t="shared" ref="Q65:Q68" si="55">P65*$U$6</f>
        <v>5558.8637200736666</v>
      </c>
      <c r="R65" s="133"/>
      <c r="S65" s="117" t="s">
        <v>107</v>
      </c>
      <c r="X65" s="14" t="s">
        <v>272</v>
      </c>
    </row>
    <row r="66" spans="1:42">
      <c r="A66" s="115" t="s">
        <v>22</v>
      </c>
      <c r="B66" s="36" t="s">
        <v>236</v>
      </c>
      <c r="C66" s="60">
        <v>0.10730000000000001</v>
      </c>
      <c r="D66" s="56">
        <f>C66*('Análisis sólidos'!F8/100)</f>
        <v>9.974338139736362E-2</v>
      </c>
      <c r="E66" s="60">
        <v>6.71</v>
      </c>
      <c r="F66" s="60">
        <v>0.1</v>
      </c>
      <c r="G66" s="57">
        <f t="shared" si="52"/>
        <v>9.4181687730994632</v>
      </c>
      <c r="H66" s="57">
        <f t="shared" si="53"/>
        <v>40.869880329674714</v>
      </c>
      <c r="I66" s="89"/>
      <c r="K66" s="8" t="s">
        <v>18</v>
      </c>
      <c r="L66" s="36" t="s">
        <v>236</v>
      </c>
      <c r="M66" s="2">
        <v>2</v>
      </c>
      <c r="N66" s="2">
        <v>1.86</v>
      </c>
      <c r="O66" s="15">
        <v>0.1</v>
      </c>
      <c r="P66" s="15">
        <f t="shared" si="54"/>
        <v>1302.0000000000002</v>
      </c>
      <c r="Q66" s="15">
        <f t="shared" si="55"/>
        <v>5649.9926335174969</v>
      </c>
      <c r="R66" s="17"/>
      <c r="S66" s="29" t="s">
        <v>107</v>
      </c>
      <c r="W66" s="7" t="s">
        <v>0</v>
      </c>
      <c r="X66" s="7" t="s">
        <v>228</v>
      </c>
      <c r="Y66" s="160" t="s">
        <v>247</v>
      </c>
      <c r="Z66" s="160" t="s">
        <v>248</v>
      </c>
      <c r="AA66" s="160" t="s">
        <v>249</v>
      </c>
      <c r="AB66" s="7" t="s">
        <v>250</v>
      </c>
      <c r="AC66" s="160" t="s">
        <v>251</v>
      </c>
      <c r="AD66" s="7" t="s">
        <v>252</v>
      </c>
      <c r="AE66" s="160" t="s">
        <v>253</v>
      </c>
      <c r="AF66" s="160" t="s">
        <v>254</v>
      </c>
      <c r="AG66" s="160" t="s">
        <v>255</v>
      </c>
      <c r="AH66" s="160" t="s">
        <v>256</v>
      </c>
      <c r="AI66" s="7" t="s">
        <v>257</v>
      </c>
      <c r="AJ66" s="7" t="s">
        <v>258</v>
      </c>
      <c r="AK66" s="7" t="s">
        <v>259</v>
      </c>
      <c r="AL66" s="7" t="s">
        <v>260</v>
      </c>
      <c r="AM66" s="7" t="s">
        <v>261</v>
      </c>
      <c r="AN66" s="7" t="s">
        <v>262</v>
      </c>
      <c r="AO66" s="160" t="s">
        <v>263</v>
      </c>
      <c r="AP66" s="7" t="s">
        <v>264</v>
      </c>
    </row>
    <row r="67" spans="1:42">
      <c r="A67" s="115" t="s">
        <v>27</v>
      </c>
      <c r="B67" s="36" t="s">
        <v>236</v>
      </c>
      <c r="C67" s="56">
        <v>0.113</v>
      </c>
      <c r="D67" s="56">
        <f>C67*('Análisis sólidos'!F10/100)</f>
        <v>0.10306548332062883</v>
      </c>
      <c r="E67" s="60">
        <v>6.32</v>
      </c>
      <c r="F67" s="60">
        <v>0.1</v>
      </c>
      <c r="G67" s="57">
        <f t="shared" si="52"/>
        <v>8.5848333650894073</v>
      </c>
      <c r="H67" s="57">
        <f t="shared" si="53"/>
        <v>37.253644602711496</v>
      </c>
      <c r="I67" s="89"/>
      <c r="K67" s="8" t="s">
        <v>29</v>
      </c>
      <c r="L67" s="36" t="s">
        <v>236</v>
      </c>
      <c r="M67" s="2">
        <v>2</v>
      </c>
      <c r="N67" s="2">
        <v>1.36</v>
      </c>
      <c r="O67" s="15">
        <v>0.1</v>
      </c>
      <c r="P67" s="15">
        <f t="shared" si="54"/>
        <v>952.00000000000011</v>
      </c>
      <c r="Q67" s="15">
        <f t="shared" si="55"/>
        <v>4131.1774094536531</v>
      </c>
      <c r="R67" s="17"/>
      <c r="S67" s="29" t="s">
        <v>107</v>
      </c>
      <c r="W67" s="8" t="s">
        <v>280</v>
      </c>
      <c r="X67" s="2" t="s">
        <v>270</v>
      </c>
      <c r="Y67" s="2">
        <f>(Y57/$AP$57)*100/1.25</f>
        <v>13.735239279055312</v>
      </c>
      <c r="Z67" s="2">
        <f t="shared" ref="Z67:AO67" si="56">(Z57/$AP$57)*100/1.25</f>
        <v>14.6674953387197</v>
      </c>
      <c r="AA67" s="2">
        <f t="shared" si="56"/>
        <v>5.9664387818520819</v>
      </c>
      <c r="AB67" s="2">
        <f t="shared" si="56"/>
        <v>0.18645121193287756</v>
      </c>
      <c r="AC67" s="2">
        <f t="shared" si="56"/>
        <v>7.8309509011808576</v>
      </c>
      <c r="AD67" s="2">
        <f t="shared" si="56"/>
        <v>0.49720323182100684</v>
      </c>
      <c r="AE67" s="2">
        <f t="shared" si="56"/>
        <v>1.0565568676196395</v>
      </c>
      <c r="AF67" s="2">
        <f t="shared" si="56"/>
        <v>10.814170292106899</v>
      </c>
      <c r="AG67" s="2">
        <f t="shared" si="56"/>
        <v>4.7855811062771902</v>
      </c>
      <c r="AH67" s="2">
        <f t="shared" si="56"/>
        <v>4.2262274704785581</v>
      </c>
      <c r="AI67" s="2">
        <f t="shared" si="56"/>
        <v>5.0963331261653204</v>
      </c>
      <c r="AJ67" s="2">
        <f t="shared" si="56"/>
        <v>2.4860161591050343</v>
      </c>
      <c r="AK67" s="2">
        <f t="shared" si="56"/>
        <v>5.2827843380981978</v>
      </c>
      <c r="AL67" s="2">
        <f t="shared" si="56"/>
        <v>3.0453697949036664</v>
      </c>
      <c r="AM67" s="2">
        <f t="shared" si="56"/>
        <v>9.136109384711002</v>
      </c>
      <c r="AN67" s="2">
        <f t="shared" si="56"/>
        <v>6.0907395898073329</v>
      </c>
      <c r="AO67" s="2">
        <f t="shared" si="56"/>
        <v>5.0963331261653204</v>
      </c>
      <c r="AP67" s="2">
        <f t="shared" ref="AP67:AP74" si="57">SUM(Y67:AO67)</f>
        <v>99.999999999999986</v>
      </c>
    </row>
    <row r="68" spans="1:42">
      <c r="A68" s="115" t="s">
        <v>18</v>
      </c>
      <c r="B68" s="36" t="s">
        <v>236</v>
      </c>
      <c r="C68" s="116">
        <v>0.1038</v>
      </c>
      <c r="D68" s="56">
        <f>C68*('Análisis sólidos'!F6/100)</f>
        <v>9.5287661486613162E-2</v>
      </c>
      <c r="E68" s="60">
        <v>4.74</v>
      </c>
      <c r="F68" s="60">
        <v>0.1</v>
      </c>
      <c r="G68" s="57">
        <f t="shared" si="52"/>
        <v>6.9641755254244355</v>
      </c>
      <c r="H68" s="57">
        <f t="shared" si="53"/>
        <v>30.220845174478416</v>
      </c>
      <c r="I68" s="60"/>
      <c r="K68" s="8" t="s">
        <v>33</v>
      </c>
      <c r="L68" s="36" t="s">
        <v>236</v>
      </c>
      <c r="M68" s="2">
        <v>2</v>
      </c>
      <c r="N68" s="2">
        <v>1.46</v>
      </c>
      <c r="O68" s="2">
        <v>0.1</v>
      </c>
      <c r="P68" s="2">
        <f t="shared" si="54"/>
        <v>1021.9999999999999</v>
      </c>
      <c r="Q68" s="2">
        <f t="shared" si="55"/>
        <v>4434.9404542664206</v>
      </c>
      <c r="R68" s="3"/>
      <c r="S68" s="2" t="s">
        <v>107</v>
      </c>
      <c r="W68" s="8" t="s">
        <v>281</v>
      </c>
      <c r="X68" s="2" t="s">
        <v>270</v>
      </c>
      <c r="Y68" s="2">
        <f>(Y58/$AP$58)*100</f>
        <v>8.2089552238805954</v>
      </c>
      <c r="Z68" s="2">
        <f t="shared" ref="Z68:AO68" si="58">(Z58/$AP$58)*100</f>
        <v>28.358208955223873</v>
      </c>
      <c r="AA68" s="2">
        <f t="shared" si="58"/>
        <v>4.4776119402985062</v>
      </c>
      <c r="AB68" s="2">
        <f t="shared" si="58"/>
        <v>0.74626865671641773</v>
      </c>
      <c r="AC68" s="2">
        <f t="shared" si="58"/>
        <v>5.2238805970149249</v>
      </c>
      <c r="AD68" s="2">
        <f t="shared" si="58"/>
        <v>3.7313432835820892</v>
      </c>
      <c r="AE68" s="2">
        <f t="shared" si="58"/>
        <v>8.9552238805970124</v>
      </c>
      <c r="AF68" s="2">
        <f t="shared" si="58"/>
        <v>17.910447761194025</v>
      </c>
      <c r="AG68" s="2">
        <f t="shared" si="58"/>
        <v>1.4925373134328355</v>
      </c>
      <c r="AH68" s="2">
        <f t="shared" si="58"/>
        <v>4.4776119402985062</v>
      </c>
      <c r="AI68" s="2">
        <f t="shared" si="58"/>
        <v>2.2388059701492531</v>
      </c>
      <c r="AJ68" s="2">
        <f t="shared" si="58"/>
        <v>0</v>
      </c>
      <c r="AK68" s="2">
        <f t="shared" si="58"/>
        <v>1.4925373134328355</v>
      </c>
      <c r="AL68" s="2">
        <f t="shared" si="58"/>
        <v>1.4925373134328355</v>
      </c>
      <c r="AM68" s="2">
        <f t="shared" si="58"/>
        <v>2.9850746268656709</v>
      </c>
      <c r="AN68" s="2">
        <f t="shared" si="58"/>
        <v>4.4776119402985062</v>
      </c>
      <c r="AO68" s="2">
        <f t="shared" si="58"/>
        <v>3.7313432835820892</v>
      </c>
      <c r="AP68" s="2">
        <f t="shared" si="57"/>
        <v>99.999999999999972</v>
      </c>
    </row>
    <row r="69" spans="1:42">
      <c r="A69" s="115" t="s">
        <v>35</v>
      </c>
      <c r="B69" s="36" t="s">
        <v>236</v>
      </c>
      <c r="C69" s="60">
        <v>0.1072</v>
      </c>
      <c r="D69" s="56">
        <f>C69*('Análisis sólidos'!F13/100)</f>
        <v>9.895888402403015E-2</v>
      </c>
      <c r="E69" s="60">
        <v>4.01</v>
      </c>
      <c r="F69" s="60">
        <v>0.1</v>
      </c>
      <c r="G69" s="57">
        <f t="shared" si="52"/>
        <v>5.6730631669580616</v>
      </c>
      <c r="H69" s="57">
        <f t="shared" si="53"/>
        <v>24.618099157290693</v>
      </c>
      <c r="I69" s="60"/>
      <c r="W69" s="8" t="s">
        <v>282</v>
      </c>
      <c r="X69" s="2" t="s">
        <v>270</v>
      </c>
      <c r="Y69" s="2">
        <f>(Y59/$AP$59)*100</f>
        <v>8.2644628099173545</v>
      </c>
      <c r="Z69" s="2">
        <f t="shared" ref="Z69:AO69" si="59">(Z59/$AP$59)*100</f>
        <v>30.578512396694208</v>
      </c>
      <c r="AA69" s="2">
        <f t="shared" si="59"/>
        <v>4.1322314049586772</v>
      </c>
      <c r="AB69" s="2">
        <f t="shared" si="59"/>
        <v>0.82644628099173534</v>
      </c>
      <c r="AC69" s="2">
        <f t="shared" si="59"/>
        <v>4.9586776859504118</v>
      </c>
      <c r="AD69" s="2">
        <f t="shared" si="59"/>
        <v>3.3057851239669414</v>
      </c>
      <c r="AE69" s="2">
        <f t="shared" si="59"/>
        <v>9.0909090909090899</v>
      </c>
      <c r="AF69" s="2">
        <f t="shared" si="59"/>
        <v>19.834710743801647</v>
      </c>
      <c r="AG69" s="2">
        <f t="shared" si="59"/>
        <v>0.82644628099173534</v>
      </c>
      <c r="AH69" s="2">
        <f t="shared" si="59"/>
        <v>3.3057851239669414</v>
      </c>
      <c r="AI69" s="2">
        <f t="shared" si="59"/>
        <v>1.6528925619834707</v>
      </c>
      <c r="AJ69" s="2">
        <f t="shared" si="59"/>
        <v>0</v>
      </c>
      <c r="AK69" s="2">
        <f t="shared" si="59"/>
        <v>1.6528925619834707</v>
      </c>
      <c r="AL69" s="2">
        <f t="shared" si="59"/>
        <v>1.6528925619834707</v>
      </c>
      <c r="AM69" s="2">
        <f t="shared" si="59"/>
        <v>2.4793388429752059</v>
      </c>
      <c r="AN69" s="2">
        <f t="shared" si="59"/>
        <v>4.1322314049586772</v>
      </c>
      <c r="AO69" s="2">
        <f t="shared" si="59"/>
        <v>3.3057851239669414</v>
      </c>
      <c r="AP69" s="2">
        <f t="shared" si="57"/>
        <v>99.999999999999957</v>
      </c>
    </row>
    <row r="70" spans="1:42">
      <c r="A70" s="115" t="s">
        <v>39</v>
      </c>
      <c r="B70" s="36" t="s">
        <v>236</v>
      </c>
      <c r="C70" s="60">
        <v>0.11070000000000001</v>
      </c>
      <c r="D70" s="56">
        <f>C70*('Análisis sólidos'!F15/100)</f>
        <v>0.10363107016658264</v>
      </c>
      <c r="E70" s="60">
        <v>5.05</v>
      </c>
      <c r="F70" s="60">
        <v>0.1</v>
      </c>
      <c r="G70" s="57">
        <f t="shared" si="52"/>
        <v>6.8222782883890591</v>
      </c>
      <c r="H70" s="57">
        <f t="shared" si="53"/>
        <v>29.605086077730057</v>
      </c>
      <c r="I70" s="60"/>
      <c r="W70" s="8" t="s">
        <v>283</v>
      </c>
      <c r="X70" s="16" t="s">
        <v>270</v>
      </c>
      <c r="Y70" s="2">
        <f>(Y60/$AP$60)*100</f>
        <v>13.559322033898304</v>
      </c>
      <c r="Z70" s="2">
        <f t="shared" ref="Z70:AO70" si="60">(Z60/$AP$60)*100</f>
        <v>16.222760290556899</v>
      </c>
      <c r="AA70" s="2">
        <f t="shared" si="60"/>
        <v>1.7554479418886195</v>
      </c>
      <c r="AB70" s="2">
        <f t="shared" si="60"/>
        <v>0.54479418886198538</v>
      </c>
      <c r="AC70" s="2">
        <f t="shared" si="60"/>
        <v>10.230024213075058</v>
      </c>
      <c r="AD70" s="2">
        <f t="shared" si="60"/>
        <v>0.24213075060532685</v>
      </c>
      <c r="AE70" s="2">
        <f t="shared" si="60"/>
        <v>0.24213075060532685</v>
      </c>
      <c r="AF70" s="2">
        <f t="shared" si="60"/>
        <v>12.832929782082322</v>
      </c>
      <c r="AG70" s="2">
        <f t="shared" si="60"/>
        <v>4.9636803874091999</v>
      </c>
      <c r="AH70" s="2">
        <f t="shared" si="60"/>
        <v>5.145278450363195</v>
      </c>
      <c r="AI70" s="2">
        <f t="shared" si="60"/>
        <v>5.2663438256658583</v>
      </c>
      <c r="AJ70" s="2">
        <f t="shared" si="60"/>
        <v>2.4213075060532683</v>
      </c>
      <c r="AK70" s="2">
        <f t="shared" si="60"/>
        <v>5.7506053268765118</v>
      </c>
      <c r="AL70" s="2">
        <f t="shared" si="60"/>
        <v>1.2711864406779658</v>
      </c>
      <c r="AM70" s="2">
        <f t="shared" si="60"/>
        <v>9.9273607748183998</v>
      </c>
      <c r="AN70" s="2">
        <f t="shared" si="60"/>
        <v>5.32687651331719</v>
      </c>
      <c r="AO70" s="2">
        <f t="shared" si="60"/>
        <v>4.2978208232445514</v>
      </c>
      <c r="AP70" s="2">
        <f t="shared" si="57"/>
        <v>99.999999999999972</v>
      </c>
    </row>
    <row r="71" spans="1:42">
      <c r="W71" s="8" t="s">
        <v>284</v>
      </c>
      <c r="X71" s="16" t="s">
        <v>270</v>
      </c>
      <c r="Y71" s="2">
        <f>(Y61/$AP$61)*100</f>
        <v>14.177489177489178</v>
      </c>
      <c r="Z71" s="2">
        <f t="shared" ref="Z71:AO71" si="61">(Z61/$AP$61)*100</f>
        <v>16.341991341991342</v>
      </c>
      <c r="AA71" s="2">
        <f t="shared" si="61"/>
        <v>4.9783549783549788</v>
      </c>
      <c r="AB71" s="2">
        <f t="shared" si="61"/>
        <v>0.64935064935064934</v>
      </c>
      <c r="AC71" s="2">
        <f t="shared" si="61"/>
        <v>8.9826839826839819</v>
      </c>
      <c r="AD71" s="2">
        <f t="shared" si="61"/>
        <v>2.5974025974025974</v>
      </c>
      <c r="AE71" s="2">
        <f t="shared" si="61"/>
        <v>2.5974025974025974</v>
      </c>
      <c r="AF71" s="2">
        <f t="shared" si="61"/>
        <v>11.796536796536797</v>
      </c>
      <c r="AG71" s="2">
        <f t="shared" si="61"/>
        <v>4.220779220779221</v>
      </c>
      <c r="AH71" s="2">
        <f t="shared" si="61"/>
        <v>5.8441558441558445</v>
      </c>
      <c r="AI71" s="2">
        <f t="shared" si="61"/>
        <v>4.545454545454545</v>
      </c>
      <c r="AJ71" s="2">
        <f t="shared" si="61"/>
        <v>2.1645021645021645</v>
      </c>
      <c r="AK71" s="2">
        <f t="shared" si="61"/>
        <v>4.7619047619047619</v>
      </c>
      <c r="AL71" s="2">
        <f t="shared" si="61"/>
        <v>2.8138528138528138</v>
      </c>
      <c r="AM71" s="2">
        <f t="shared" si="61"/>
        <v>8.1168831168831161</v>
      </c>
      <c r="AN71" s="2">
        <f t="shared" si="61"/>
        <v>3.7878787878787872</v>
      </c>
      <c r="AO71" s="2">
        <f t="shared" si="61"/>
        <v>1.6233766233766231</v>
      </c>
      <c r="AP71" s="2">
        <f t="shared" si="57"/>
        <v>100.00000000000001</v>
      </c>
    </row>
    <row r="72" spans="1:42">
      <c r="B72" t="s">
        <v>288</v>
      </c>
      <c r="W72" s="8" t="s">
        <v>285</v>
      </c>
      <c r="X72" s="16" t="s">
        <v>270</v>
      </c>
      <c r="Y72" s="2">
        <f>(Y62/$AP$62)*100</f>
        <v>13.728813559322036</v>
      </c>
      <c r="Z72" s="2">
        <f t="shared" ref="Z72:AO72" si="62">(Z62/$AP$62)*100</f>
        <v>17.288135593220343</v>
      </c>
      <c r="AA72" s="2">
        <f t="shared" si="62"/>
        <v>5.4237288135593227</v>
      </c>
      <c r="AB72" s="2">
        <f t="shared" si="62"/>
        <v>0.33898305084745767</v>
      </c>
      <c r="AC72" s="2">
        <f t="shared" si="62"/>
        <v>9.1525423728813582</v>
      </c>
      <c r="AD72" s="2">
        <f t="shared" si="62"/>
        <v>3.2203389830508482</v>
      </c>
      <c r="AE72" s="2">
        <f t="shared" si="62"/>
        <v>1.6949152542372885</v>
      </c>
      <c r="AF72" s="2">
        <f t="shared" si="62"/>
        <v>13.728813559322036</v>
      </c>
      <c r="AG72" s="2">
        <f t="shared" si="62"/>
        <v>3.7288135593220342</v>
      </c>
      <c r="AH72" s="2">
        <f t="shared" si="62"/>
        <v>5.5932203389830519</v>
      </c>
      <c r="AI72" s="2">
        <f t="shared" si="62"/>
        <v>4.4067796610169498</v>
      </c>
      <c r="AJ72" s="2">
        <f t="shared" si="62"/>
        <v>2.2033898305084749</v>
      </c>
      <c r="AK72" s="2">
        <f t="shared" si="62"/>
        <v>4.5762711864406791</v>
      </c>
      <c r="AL72" s="2">
        <f t="shared" si="62"/>
        <v>2.7118644067796613</v>
      </c>
      <c r="AM72" s="2">
        <f t="shared" si="62"/>
        <v>7.1186440677966107</v>
      </c>
      <c r="AN72" s="2">
        <f t="shared" si="62"/>
        <v>3.5593220338983054</v>
      </c>
      <c r="AO72" s="2">
        <f t="shared" si="62"/>
        <v>1.5254237288135595</v>
      </c>
      <c r="AP72" s="2">
        <f t="shared" si="57"/>
        <v>100.00000000000003</v>
      </c>
    </row>
    <row r="73" spans="1:42">
      <c r="B73" t="s">
        <v>289</v>
      </c>
      <c r="W73" s="8" t="s">
        <v>286</v>
      </c>
      <c r="X73" s="2" t="s">
        <v>270</v>
      </c>
      <c r="Y73" s="2">
        <f>(Y63/$AP$63)*100</f>
        <v>10.251450676982593</v>
      </c>
      <c r="Z73" s="2">
        <f t="shared" ref="Z73:AO73" si="63">(Z63/$AP$63)*100</f>
        <v>10.44487427466151</v>
      </c>
      <c r="AA73" s="2">
        <f t="shared" si="63"/>
        <v>4.2553191489361701</v>
      </c>
      <c r="AB73" s="2">
        <f t="shared" si="63"/>
        <v>1.9342359767891684</v>
      </c>
      <c r="AC73" s="2">
        <f t="shared" si="63"/>
        <v>7.7369439071566735</v>
      </c>
      <c r="AD73" s="2">
        <f t="shared" si="63"/>
        <v>6.9632495164410058</v>
      </c>
      <c r="AE73" s="2">
        <f t="shared" si="63"/>
        <v>2.5145067698259189</v>
      </c>
      <c r="AF73" s="2">
        <f t="shared" si="63"/>
        <v>11.411992263056092</v>
      </c>
      <c r="AG73" s="2">
        <f t="shared" si="63"/>
        <v>5.0290135396518378</v>
      </c>
      <c r="AH73" s="2">
        <f t="shared" si="63"/>
        <v>4.061895551257253</v>
      </c>
      <c r="AI73" s="2">
        <f t="shared" si="63"/>
        <v>6.7698259187620886</v>
      </c>
      <c r="AJ73" s="2">
        <f t="shared" si="63"/>
        <v>2.1276595744680851</v>
      </c>
      <c r="AK73" s="2">
        <f t="shared" si="63"/>
        <v>5.4158607350096721</v>
      </c>
      <c r="AL73" s="2">
        <f t="shared" si="63"/>
        <v>3.67504835589942</v>
      </c>
      <c r="AM73" s="2">
        <f t="shared" si="63"/>
        <v>9.2843326885880089</v>
      </c>
      <c r="AN73" s="2">
        <f t="shared" si="63"/>
        <v>6.1895551257253389</v>
      </c>
      <c r="AO73" s="2">
        <f t="shared" si="63"/>
        <v>1.9342359767891684</v>
      </c>
      <c r="AP73" s="2">
        <f t="shared" si="57"/>
        <v>100</v>
      </c>
    </row>
    <row r="74" spans="1:42">
      <c r="W74" s="8" t="s">
        <v>287</v>
      </c>
      <c r="X74" s="2" t="s">
        <v>270</v>
      </c>
      <c r="Y74" s="2">
        <f>(Y64/$AP$64)*100</f>
        <v>12.326656394453005</v>
      </c>
      <c r="Z74" s="2">
        <f t="shared" ref="Z74:AO74" si="64">(Z64/$AP$64)*100</f>
        <v>16.949152542372882</v>
      </c>
      <c r="AA74" s="2">
        <f t="shared" si="64"/>
        <v>5.3929121725731886</v>
      </c>
      <c r="AB74" s="2">
        <f t="shared" si="64"/>
        <v>1.5408320493066257</v>
      </c>
      <c r="AC74" s="2">
        <f t="shared" si="64"/>
        <v>6.471494607087827</v>
      </c>
      <c r="AD74" s="2">
        <f t="shared" si="64"/>
        <v>5.3929121725731886</v>
      </c>
      <c r="AE74" s="2">
        <f t="shared" si="64"/>
        <v>4.1602465331278893</v>
      </c>
      <c r="AF74" s="2">
        <f t="shared" si="64"/>
        <v>12.326656394453005</v>
      </c>
      <c r="AG74" s="2">
        <f t="shared" si="64"/>
        <v>3.8520801232665636</v>
      </c>
      <c r="AH74" s="2">
        <f t="shared" si="64"/>
        <v>3.3898305084745761</v>
      </c>
      <c r="AI74" s="2">
        <f t="shared" si="64"/>
        <v>3.6979969183359009</v>
      </c>
      <c r="AJ74" s="2">
        <f t="shared" si="64"/>
        <v>1.8489984591679505</v>
      </c>
      <c r="AK74" s="2">
        <f t="shared" si="64"/>
        <v>3.8520801232665636</v>
      </c>
      <c r="AL74" s="2">
        <f t="shared" si="64"/>
        <v>2.157164869029276</v>
      </c>
      <c r="AM74" s="2">
        <f t="shared" si="64"/>
        <v>7.7041602465331271</v>
      </c>
      <c r="AN74" s="2">
        <f t="shared" si="64"/>
        <v>5.0847457627118651</v>
      </c>
      <c r="AO74" s="2">
        <f t="shared" si="64"/>
        <v>3.8520801232665636</v>
      </c>
      <c r="AP74" s="2">
        <f t="shared" si="57"/>
        <v>99.999999999999972</v>
      </c>
    </row>
    <row r="75" spans="1:42">
      <c r="B75" t="s">
        <v>290</v>
      </c>
      <c r="K75" s="158" t="s">
        <v>229</v>
      </c>
      <c r="L75" s="158" t="s">
        <v>230</v>
      </c>
      <c r="M75" s="158" t="s">
        <v>239</v>
      </c>
      <c r="N75" s="158" t="s">
        <v>240</v>
      </c>
      <c r="O75" s="158" t="s">
        <v>241</v>
      </c>
      <c r="X75" s="14" t="s">
        <v>273</v>
      </c>
    </row>
    <row r="76" spans="1:42">
      <c r="B76" t="s">
        <v>291</v>
      </c>
      <c r="J76" s="166" t="s">
        <v>202</v>
      </c>
      <c r="K76" s="2">
        <v>0.1056</v>
      </c>
      <c r="L76" s="2">
        <v>9.7194087375451932E-2</v>
      </c>
      <c r="M76" s="2">
        <v>4.1900000000000004</v>
      </c>
      <c r="N76" s="2">
        <v>0.1</v>
      </c>
      <c r="O76" s="2">
        <v>6.0353465508042428</v>
      </c>
    </row>
    <row r="77" spans="1:42">
      <c r="J77" s="167"/>
      <c r="K77" s="2">
        <v>0.1094</v>
      </c>
      <c r="L77" s="2">
        <v>0.10042842164388709</v>
      </c>
      <c r="M77" s="2">
        <v>4.68</v>
      </c>
      <c r="N77" s="2">
        <v>0.1</v>
      </c>
      <c r="O77" s="2">
        <v>6.5240495596286294</v>
      </c>
      <c r="W77" s="7" t="s">
        <v>0</v>
      </c>
      <c r="X77" s="158" t="s">
        <v>292</v>
      </c>
      <c r="Y77" s="158" t="s">
        <v>293</v>
      </c>
    </row>
    <row r="78" spans="1:42">
      <c r="J78" s="166" t="s">
        <v>203</v>
      </c>
      <c r="K78" s="2">
        <v>0.1215</v>
      </c>
      <c r="L78" s="2">
        <v>0.10243202379477015</v>
      </c>
      <c r="M78" s="2">
        <v>14.17</v>
      </c>
      <c r="N78" s="2">
        <v>0.05</v>
      </c>
      <c r="O78" s="2">
        <v>9.6834950951212502</v>
      </c>
      <c r="U78" s="162" t="s">
        <v>201</v>
      </c>
      <c r="V78" s="6" t="s">
        <v>294</v>
      </c>
      <c r="W78" s="8" t="s">
        <v>280</v>
      </c>
      <c r="X78" s="23">
        <f>AB67+AD67+AI67+AJ67+AK67+AL67+AM67+AN67</f>
        <v>31.821006836544434</v>
      </c>
      <c r="Y78" s="23">
        <f>Y67+Z67+AA67+AC67+AE67+AF67+AG67+AH67+AO67</f>
        <v>68.178993163455559</v>
      </c>
      <c r="Z78" s="2">
        <f>X78+Y78</f>
        <v>100</v>
      </c>
    </row>
    <row r="79" spans="1:42">
      <c r="B79" s="4" t="s">
        <v>295</v>
      </c>
      <c r="C79" s="4" t="s">
        <v>243</v>
      </c>
      <c r="D79" s="7" t="s">
        <v>239</v>
      </c>
      <c r="E79" s="7" t="s">
        <v>240</v>
      </c>
      <c r="F79" s="7" t="s">
        <v>244</v>
      </c>
      <c r="J79" s="167"/>
      <c r="K79" s="2">
        <v>0.10829999999999999</v>
      </c>
      <c r="L79" s="2">
        <v>0.10067295624729244</v>
      </c>
      <c r="M79" s="2">
        <v>13.79</v>
      </c>
      <c r="N79" s="2">
        <v>0.05</v>
      </c>
      <c r="O79" s="2">
        <v>9.5884737667665458</v>
      </c>
      <c r="U79" s="162"/>
      <c r="V79" s="6" t="s">
        <v>296</v>
      </c>
      <c r="W79" s="8" t="s">
        <v>281</v>
      </c>
      <c r="X79" s="23">
        <f>AB68+AD68+AI68+AJ68+AK68+AL68+AM68+AN68</f>
        <v>17.164179104477608</v>
      </c>
      <c r="Y79" s="23">
        <f t="shared" ref="Y79:Y83" si="65">Y68+Z68+AA68+AC68+AE68+AF68+AG68+AH68+AO68</f>
        <v>82.83582089552236</v>
      </c>
      <c r="Z79" s="2">
        <f t="shared" ref="Z79:Z84" si="66">X79+Y79</f>
        <v>99.999999999999972</v>
      </c>
    </row>
    <row r="80" spans="1:42">
      <c r="B80" s="2" t="s">
        <v>280</v>
      </c>
      <c r="C80" s="2">
        <v>2</v>
      </c>
      <c r="D80" s="2">
        <v>1.1399999999999999</v>
      </c>
      <c r="E80" s="2">
        <v>0.05</v>
      </c>
      <c r="F80" s="2">
        <f>(D80*E80*14000)/C80</f>
        <v>398.99999999999994</v>
      </c>
      <c r="J80" s="166" t="s">
        <v>297</v>
      </c>
      <c r="K80" s="2">
        <v>0.13469999999999999</v>
      </c>
      <c r="L80" s="2">
        <v>0.12393156741573015</v>
      </c>
      <c r="M80" s="2">
        <v>7.85</v>
      </c>
      <c r="N80" s="2">
        <v>0.1</v>
      </c>
      <c r="O80" s="2">
        <v>8.8677971473836799</v>
      </c>
      <c r="U80" s="162"/>
      <c r="V80" s="6" t="s">
        <v>298</v>
      </c>
      <c r="W80" s="8" t="s">
        <v>282</v>
      </c>
      <c r="X80" s="23">
        <f t="shared" ref="X80:X83" si="67">AB69+AD69+AI69+AJ69+AK69+AL69+AM69+AN69</f>
        <v>15.702479338842972</v>
      </c>
      <c r="Y80" s="23">
        <f t="shared" si="65"/>
        <v>84.297520661157009</v>
      </c>
      <c r="Z80" s="2">
        <f t="shared" si="66"/>
        <v>99.999999999999986</v>
      </c>
    </row>
    <row r="81" spans="2:26">
      <c r="B81" s="2" t="s">
        <v>281</v>
      </c>
      <c r="C81" s="2">
        <v>2</v>
      </c>
      <c r="D81" s="2">
        <v>1.31</v>
      </c>
      <c r="E81" s="2">
        <v>0.02</v>
      </c>
      <c r="F81" s="2">
        <f t="shared" ref="F81:F85" si="68">(D81*E81*14000)/C81</f>
        <v>183.4</v>
      </c>
      <c r="J81" s="167"/>
      <c r="K81" s="2">
        <v>0.12759999999999999</v>
      </c>
      <c r="L81" s="2">
        <v>0.11638190859922333</v>
      </c>
      <c r="M81" s="2">
        <v>7.7</v>
      </c>
      <c r="N81" s="2">
        <v>0.1</v>
      </c>
      <c r="O81" s="2">
        <v>9.2626080202227747</v>
      </c>
      <c r="U81" s="162" t="s">
        <v>205</v>
      </c>
      <c r="V81" s="6" t="s">
        <v>294</v>
      </c>
      <c r="W81" s="8" t="s">
        <v>283</v>
      </c>
      <c r="X81" s="23">
        <f>AB70+AD70+AI70+AJ70+AK70+AL70+AM70+AN70</f>
        <v>30.750605326876503</v>
      </c>
      <c r="Y81" s="23">
        <f t="shared" si="65"/>
        <v>69.249394673123476</v>
      </c>
      <c r="Z81" s="2">
        <f t="shared" si="66"/>
        <v>99.999999999999972</v>
      </c>
    </row>
    <row r="82" spans="2:26">
      <c r="B82" s="2" t="s">
        <v>282</v>
      </c>
      <c r="C82" s="2">
        <v>2</v>
      </c>
      <c r="D82" s="2">
        <v>1.03</v>
      </c>
      <c r="E82" s="2">
        <v>0.02</v>
      </c>
      <c r="F82" s="2">
        <f t="shared" si="68"/>
        <v>144.19999999999999</v>
      </c>
      <c r="U82" s="162"/>
      <c r="V82" s="6" t="s">
        <v>296</v>
      </c>
      <c r="W82" s="8" t="s">
        <v>284</v>
      </c>
      <c r="X82" s="23">
        <f t="shared" si="67"/>
        <v>29.437229437229441</v>
      </c>
      <c r="Y82" s="23">
        <f t="shared" si="65"/>
        <v>70.562770562770567</v>
      </c>
      <c r="Z82" s="2">
        <f t="shared" si="66"/>
        <v>100</v>
      </c>
    </row>
    <row r="83" spans="2:26">
      <c r="B83" s="2" t="s">
        <v>283</v>
      </c>
      <c r="C83" s="2">
        <v>2</v>
      </c>
      <c r="D83" s="2">
        <v>4.21</v>
      </c>
      <c r="E83" s="2">
        <v>0.02</v>
      </c>
      <c r="F83" s="2">
        <f t="shared" si="68"/>
        <v>589.4</v>
      </c>
      <c r="K83" s="158" t="s">
        <v>244</v>
      </c>
      <c r="U83" s="162"/>
      <c r="V83" s="6" t="s">
        <v>298</v>
      </c>
      <c r="W83" s="8" t="s">
        <v>285</v>
      </c>
      <c r="X83" s="23">
        <f t="shared" si="67"/>
        <v>28.135593220338983</v>
      </c>
      <c r="Y83" s="23">
        <f t="shared" si="65"/>
        <v>71.864406779661039</v>
      </c>
      <c r="Z83" s="2">
        <f t="shared" si="66"/>
        <v>100.00000000000003</v>
      </c>
    </row>
    <row r="84" spans="2:26">
      <c r="B84" s="2" t="s">
        <v>284</v>
      </c>
      <c r="C84" s="2">
        <v>2</v>
      </c>
      <c r="D84" s="2">
        <v>3.49</v>
      </c>
      <c r="E84" s="2">
        <v>0.02</v>
      </c>
      <c r="F84" s="2">
        <f t="shared" si="68"/>
        <v>488.6</v>
      </c>
      <c r="J84" s="2" t="s">
        <v>202</v>
      </c>
      <c r="K84" s="17">
        <f>AVERAGE(R6,R8)</f>
        <v>3.5328263307151628</v>
      </c>
      <c r="U84" s="162" t="s">
        <v>206</v>
      </c>
      <c r="V84" s="6" t="s">
        <v>47</v>
      </c>
      <c r="W84" s="8" t="s">
        <v>299</v>
      </c>
      <c r="X84" s="23">
        <f>AB21+AD21+AI21+AJ21+AK21+AL21+AM21+AN21</f>
        <v>39.522546419098141</v>
      </c>
      <c r="Y84" s="23">
        <f>Y21+Z21+AA21+AC21+AE21+AF21+AG21+AH21+AO21</f>
        <v>60.477453580901866</v>
      </c>
      <c r="Z84" s="2">
        <f t="shared" si="66"/>
        <v>100</v>
      </c>
    </row>
    <row r="85" spans="2:26">
      <c r="B85" s="2" t="s">
        <v>285</v>
      </c>
      <c r="C85" s="2">
        <v>2</v>
      </c>
      <c r="D85" s="2">
        <v>3.14</v>
      </c>
      <c r="E85" s="2">
        <v>0.02</v>
      </c>
      <c r="F85" s="2">
        <f t="shared" si="68"/>
        <v>439.60000000000008</v>
      </c>
      <c r="J85" s="2" t="s">
        <v>203</v>
      </c>
      <c r="K85" s="17">
        <f>AVERAGE(R9:R12)</f>
        <v>0.89478280246470232</v>
      </c>
      <c r="U85" s="162"/>
      <c r="V85" s="6" t="s">
        <v>207</v>
      </c>
      <c r="W85" s="8" t="s">
        <v>300</v>
      </c>
      <c r="X85" s="23">
        <f>AB23+AD23+AI23+AJ23+AK23+AL23+AM23+AN23</f>
        <v>33.291925465838517</v>
      </c>
      <c r="Y85" s="23">
        <f>Z85-X85</f>
        <v>66.708074534161483</v>
      </c>
      <c r="Z85" s="2">
        <v>100</v>
      </c>
    </row>
    <row r="86" spans="2:26">
      <c r="J86" s="2" t="s">
        <v>204</v>
      </c>
      <c r="K86" s="17">
        <f>AVERAGE(R13:R16)</f>
        <v>0.71937430065224084</v>
      </c>
      <c r="U86" s="162"/>
      <c r="V86" s="6" t="s">
        <v>208</v>
      </c>
      <c r="W86" s="8" t="s">
        <v>301</v>
      </c>
      <c r="X86" s="23">
        <f>AB25+AD25+AI25+AJ25+AK25+AL25+AM25+AN25</f>
        <v>31.927710843373497</v>
      </c>
      <c r="Y86" s="23">
        <f t="shared" ref="Y86:Y89" si="69">Z86-X86</f>
        <v>68.07228915662651</v>
      </c>
      <c r="Z86" s="2">
        <v>100</v>
      </c>
    </row>
    <row r="87" spans="2:26">
      <c r="U87" s="162"/>
      <c r="V87" s="6" t="s">
        <v>209</v>
      </c>
      <c r="W87" s="8" t="s">
        <v>302</v>
      </c>
      <c r="X87" s="23">
        <f>AB27+AD27+AI27+AJ27+AK27+AL27+AM27+AN27</f>
        <v>38.418079096045204</v>
      </c>
      <c r="Y87" s="23">
        <f t="shared" si="69"/>
        <v>61.581920903954796</v>
      </c>
      <c r="Z87" s="2">
        <v>100</v>
      </c>
    </row>
    <row r="88" spans="2:26">
      <c r="U88" s="162"/>
      <c r="V88" s="6" t="s">
        <v>210</v>
      </c>
      <c r="W88" s="8" t="s">
        <v>303</v>
      </c>
      <c r="X88" s="23">
        <f>AB29+AD29+AI29+AJ29+AK29+AL29+AM29+AN29</f>
        <v>35.333333333333336</v>
      </c>
      <c r="Y88" s="23">
        <f t="shared" si="69"/>
        <v>64.666666666666657</v>
      </c>
      <c r="Z88" s="2">
        <v>100</v>
      </c>
    </row>
    <row r="89" spans="2:26">
      <c r="U89" s="162"/>
      <c r="V89" s="6" t="s">
        <v>211</v>
      </c>
      <c r="W89" s="8" t="s">
        <v>304</v>
      </c>
      <c r="X89" s="23">
        <f>AB31+AD31+AI31+AJ31+AK31+AL31+AM31+AN31</f>
        <v>28.871391076115486</v>
      </c>
      <c r="Y89" s="23">
        <f t="shared" si="69"/>
        <v>71.128608923884514</v>
      </c>
      <c r="Z89" s="2">
        <v>100</v>
      </c>
    </row>
  </sheetData>
  <mergeCells count="113">
    <mergeCell ref="J76:J77"/>
    <mergeCell ref="J78:J79"/>
    <mergeCell ref="J80:J81"/>
    <mergeCell ref="U78:U80"/>
    <mergeCell ref="U81:U83"/>
    <mergeCell ref="U84:U89"/>
    <mergeCell ref="S61:S62"/>
    <mergeCell ref="S63:S64"/>
    <mergeCell ref="A61:A62"/>
    <mergeCell ref="A63:A64"/>
    <mergeCell ref="K61:K62"/>
    <mergeCell ref="K63:K64"/>
    <mergeCell ref="I61:I62"/>
    <mergeCell ref="I63:I64"/>
    <mergeCell ref="S41:S44"/>
    <mergeCell ref="S45:S48"/>
    <mergeCell ref="X3:AP3"/>
    <mergeCell ref="A49:A50"/>
    <mergeCell ref="A51:A52"/>
    <mergeCell ref="A53:A54"/>
    <mergeCell ref="A55:A56"/>
    <mergeCell ref="A57:A58"/>
    <mergeCell ref="W13:W14"/>
    <mergeCell ref="W15:W16"/>
    <mergeCell ref="W5:W6"/>
    <mergeCell ref="W7:W8"/>
    <mergeCell ref="W9:W10"/>
    <mergeCell ref="W11:W12"/>
    <mergeCell ref="K19:K20"/>
    <mergeCell ref="K21:K22"/>
    <mergeCell ref="S5:S8"/>
    <mergeCell ref="S9:S12"/>
    <mergeCell ref="B3:I3"/>
    <mergeCell ref="L3:S3"/>
    <mergeCell ref="S49:S52"/>
    <mergeCell ref="S53:S56"/>
    <mergeCell ref="S57:S60"/>
    <mergeCell ref="A59:A60"/>
    <mergeCell ref="I49:I52"/>
    <mergeCell ref="I53:I56"/>
    <mergeCell ref="I57:I60"/>
    <mergeCell ref="K49:K50"/>
    <mergeCell ref="K51:K52"/>
    <mergeCell ref="K53:K54"/>
    <mergeCell ref="K55:K56"/>
    <mergeCell ref="K57:K58"/>
    <mergeCell ref="K59:K60"/>
    <mergeCell ref="A47:A48"/>
    <mergeCell ref="I41:I44"/>
    <mergeCell ref="I45:I48"/>
    <mergeCell ref="K41:K42"/>
    <mergeCell ref="K43:K44"/>
    <mergeCell ref="K45:K46"/>
    <mergeCell ref="K47:K48"/>
    <mergeCell ref="K23:K24"/>
    <mergeCell ref="A41:A42"/>
    <mergeCell ref="I33:I36"/>
    <mergeCell ref="I37:I40"/>
    <mergeCell ref="A5:A6"/>
    <mergeCell ref="A7:A8"/>
    <mergeCell ref="I5:I8"/>
    <mergeCell ref="I9:I12"/>
    <mergeCell ref="I13:I16"/>
    <mergeCell ref="I17:I20"/>
    <mergeCell ref="I21:I24"/>
    <mergeCell ref="I25:I28"/>
    <mergeCell ref="I29:I32"/>
    <mergeCell ref="A25:A26"/>
    <mergeCell ref="A27:A28"/>
    <mergeCell ref="A9:A10"/>
    <mergeCell ref="A11:A12"/>
    <mergeCell ref="A13:A14"/>
    <mergeCell ref="A15:A16"/>
    <mergeCell ref="A17:A18"/>
    <mergeCell ref="K5:K6"/>
    <mergeCell ref="K7:K8"/>
    <mergeCell ref="A43:A44"/>
    <mergeCell ref="A45:A46"/>
    <mergeCell ref="W20:W21"/>
    <mergeCell ref="W22:W23"/>
    <mergeCell ref="W24:W25"/>
    <mergeCell ref="W26:W27"/>
    <mergeCell ref="W28:W29"/>
    <mergeCell ref="W30:W31"/>
    <mergeCell ref="A19:A20"/>
    <mergeCell ref="A21:A22"/>
    <mergeCell ref="A29:A30"/>
    <mergeCell ref="A31:A32"/>
    <mergeCell ref="A33:A34"/>
    <mergeCell ref="A35:A36"/>
    <mergeCell ref="A23:A24"/>
    <mergeCell ref="K25:K26"/>
    <mergeCell ref="K27:K28"/>
    <mergeCell ref="K29:K30"/>
    <mergeCell ref="K31:K32"/>
    <mergeCell ref="K33:K34"/>
    <mergeCell ref="A37:A38"/>
    <mergeCell ref="A39:A40"/>
    <mergeCell ref="K9:K10"/>
    <mergeCell ref="K11:K12"/>
    <mergeCell ref="K13:K14"/>
    <mergeCell ref="K15:K16"/>
    <mergeCell ref="K17:K18"/>
    <mergeCell ref="S37:S40"/>
    <mergeCell ref="S21:S24"/>
    <mergeCell ref="S25:S28"/>
    <mergeCell ref="S29:S32"/>
    <mergeCell ref="S33:S36"/>
    <mergeCell ref="S17:S20"/>
    <mergeCell ref="K35:K36"/>
    <mergeCell ref="K37:K38"/>
    <mergeCell ref="K39:K40"/>
    <mergeCell ref="S13:S16"/>
  </mergeCells>
  <phoneticPr fontId="18" type="noConversion"/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AS66"/>
  <sheetViews>
    <sheetView topLeftCell="A31" zoomScale="70" zoomScaleNormal="70" workbookViewId="0">
      <selection activeCell="AG52" sqref="AG52"/>
    </sheetView>
  </sheetViews>
  <sheetFormatPr defaultColWidth="11.42578125" defaultRowHeight="15"/>
  <cols>
    <col min="1" max="1" width="12.42578125" bestFit="1" customWidth="1"/>
    <col min="3" max="3" width="13.28515625" bestFit="1" customWidth="1"/>
    <col min="5" max="5" width="13.5703125" bestFit="1" customWidth="1"/>
    <col min="7" max="7" width="15.5703125" bestFit="1" customWidth="1"/>
    <col min="8" max="8" width="15.42578125" bestFit="1" customWidth="1"/>
    <col min="9" max="9" width="15.5703125" bestFit="1" customWidth="1"/>
    <col min="10" max="10" width="14" bestFit="1" customWidth="1"/>
    <col min="11" max="11" width="17.7109375" bestFit="1" customWidth="1"/>
    <col min="12" max="12" width="17.5703125" bestFit="1" customWidth="1"/>
    <col min="13" max="13" width="12.42578125" bestFit="1" customWidth="1"/>
    <col min="15" max="15" width="14.42578125" bestFit="1" customWidth="1"/>
    <col min="16" max="16" width="14.28515625" bestFit="1" customWidth="1"/>
    <col min="27" max="27" width="15.5703125" bestFit="1" customWidth="1"/>
    <col min="28" max="28" width="13.7109375" bestFit="1" customWidth="1"/>
    <col min="29" max="29" width="17.85546875" bestFit="1" customWidth="1"/>
    <col min="30" max="30" width="17.7109375" bestFit="1" customWidth="1"/>
    <col min="31" max="31" width="17.42578125" bestFit="1" customWidth="1"/>
    <col min="32" max="32" width="15.5703125" bestFit="1" customWidth="1"/>
    <col min="33" max="33" width="19.5703125" bestFit="1" customWidth="1"/>
    <col min="34" max="34" width="19.42578125" bestFit="1" customWidth="1"/>
    <col min="35" max="35" width="13.85546875" bestFit="1" customWidth="1"/>
    <col min="36" max="36" width="12.140625" bestFit="1" customWidth="1"/>
    <col min="37" max="37" width="16" bestFit="1" customWidth="1"/>
    <col min="38" max="38" width="15.85546875" bestFit="1" customWidth="1"/>
    <col min="39" max="39" width="9.85546875" bestFit="1" customWidth="1"/>
  </cols>
  <sheetData>
    <row r="3" spans="1:40">
      <c r="B3" s="181" t="s">
        <v>100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Z3" s="182" t="s">
        <v>305</v>
      </c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</row>
    <row r="4" spans="1:40">
      <c r="A4" s="7" t="s">
        <v>0</v>
      </c>
      <c r="B4" s="7" t="s">
        <v>228</v>
      </c>
      <c r="C4" s="4" t="s">
        <v>229</v>
      </c>
      <c r="D4" s="4" t="s">
        <v>230</v>
      </c>
      <c r="E4" s="41" t="s">
        <v>306</v>
      </c>
      <c r="F4" s="41" t="s">
        <v>307</v>
      </c>
      <c r="G4" s="41" t="s">
        <v>308</v>
      </c>
      <c r="H4" s="41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318</v>
      </c>
      <c r="R4" s="4" t="s">
        <v>141</v>
      </c>
      <c r="S4" s="4" t="s">
        <v>142</v>
      </c>
      <c r="T4" s="4" t="s">
        <v>319</v>
      </c>
      <c r="U4" s="4" t="s">
        <v>235</v>
      </c>
      <c r="Y4" s="7" t="s">
        <v>0</v>
      </c>
      <c r="Z4" s="51" t="s">
        <v>228</v>
      </c>
      <c r="AA4" s="49" t="s">
        <v>306</v>
      </c>
      <c r="AB4" s="49" t="s">
        <v>307</v>
      </c>
      <c r="AC4" s="49" t="s">
        <v>308</v>
      </c>
      <c r="AD4" s="49" t="s">
        <v>309</v>
      </c>
      <c r="AE4" s="51" t="s">
        <v>310</v>
      </c>
      <c r="AF4" s="51" t="s">
        <v>311</v>
      </c>
      <c r="AG4" s="51" t="s">
        <v>312</v>
      </c>
      <c r="AH4" s="51" t="s">
        <v>313</v>
      </c>
      <c r="AI4" s="51" t="s">
        <v>314</v>
      </c>
      <c r="AJ4" s="51" t="s">
        <v>315</v>
      </c>
      <c r="AK4" s="51" t="s">
        <v>316</v>
      </c>
      <c r="AL4" s="51" t="s">
        <v>317</v>
      </c>
      <c r="AM4" s="51" t="s">
        <v>320</v>
      </c>
      <c r="AN4" s="49" t="s">
        <v>235</v>
      </c>
    </row>
    <row r="5" spans="1:40">
      <c r="A5" s="196" t="s">
        <v>13</v>
      </c>
      <c r="B5" s="75" t="s">
        <v>236</v>
      </c>
      <c r="C5" s="2">
        <v>0.30270000000000002</v>
      </c>
      <c r="D5" s="40">
        <f>C5*('Análisis sólidos'!F5/100)</f>
        <v>0.27860464250520173</v>
      </c>
      <c r="E5" s="31">
        <v>49659</v>
      </c>
      <c r="F5" s="31">
        <v>13787</v>
      </c>
      <c r="G5" s="31">
        <v>0</v>
      </c>
      <c r="H5" s="31">
        <v>0</v>
      </c>
      <c r="I5" s="45">
        <f t="shared" ref="I5:I44" si="0">(E5-$D$50)/$C$50</f>
        <v>0.24840233154254013</v>
      </c>
      <c r="J5" s="18">
        <f t="shared" ref="J5:J43" si="1">(F5-$J$50)/$I$50</f>
        <v>9.8660525897860563E-2</v>
      </c>
      <c r="K5" s="18">
        <v>0</v>
      </c>
      <c r="L5" s="18">
        <v>0</v>
      </c>
      <c r="M5" s="17">
        <f>(I5*$W$6)/$W$15</f>
        <v>22.713879109554384</v>
      </c>
      <c r="N5" s="17">
        <f>(J5*$W$6)/$W$12</f>
        <v>8.2286855491655224</v>
      </c>
      <c r="O5" s="17">
        <f>K5*$W$6</f>
        <v>0</v>
      </c>
      <c r="P5" s="17">
        <f>(L5*$W$6)/$W$18</f>
        <v>0</v>
      </c>
      <c r="Q5" s="17">
        <f>SUM(M5:P5)</f>
        <v>30.942564658719906</v>
      </c>
      <c r="R5" s="23">
        <f>(M5/D5)/10</f>
        <v>8.1527281474250035</v>
      </c>
      <c r="S5" s="23">
        <f>(N5/D5)/10</f>
        <v>2.9535349716980712</v>
      </c>
      <c r="T5" s="23">
        <f>(Q5/D5)/10</f>
        <v>11.106263119123074</v>
      </c>
      <c r="U5" s="174">
        <f>STDEV(T5:T8)</f>
        <v>0.76640000440062617</v>
      </c>
      <c r="W5" s="13" t="s">
        <v>321</v>
      </c>
      <c r="Y5" s="196" t="s">
        <v>13</v>
      </c>
      <c r="Z5" s="30" t="s">
        <v>236</v>
      </c>
      <c r="AA5" s="31">
        <v>889090</v>
      </c>
      <c r="AB5" s="31">
        <v>667579</v>
      </c>
      <c r="AC5" s="209"/>
      <c r="AD5" s="221"/>
      <c r="AE5" s="45">
        <f t="shared" ref="AE5:AE16" si="2">(AA5-$D$50)/$C$50</f>
        <v>3.9328320868008007</v>
      </c>
      <c r="AF5" s="18">
        <f>(AB5-$J$50)/$I$50</f>
        <v>3.0652508110806092</v>
      </c>
      <c r="AG5" s="215"/>
      <c r="AH5" s="215"/>
      <c r="AI5" s="23">
        <f>AE5*Experimentos!R33</f>
        <v>842.21599138839144</v>
      </c>
      <c r="AJ5" s="23">
        <f>AF5*Experimentos!R33</f>
        <v>656.42346119291244</v>
      </c>
      <c r="AK5" s="146"/>
      <c r="AL5" s="215"/>
      <c r="AM5" s="23">
        <f>SUM(AI5:AL5)/1000</f>
        <v>1.4986394525813038</v>
      </c>
      <c r="AN5" s="174">
        <f>STDEV(AM5:AM8)</f>
        <v>2.1039822791328246E-2</v>
      </c>
    </row>
    <row r="6" spans="1:40">
      <c r="A6" s="196"/>
      <c r="B6" s="75" t="s">
        <v>237</v>
      </c>
      <c r="C6" s="2">
        <v>0.30349999999999999</v>
      </c>
      <c r="D6" s="40">
        <f>C6*('Análisis sólidos'!F5/100)</f>
        <v>0.27934096134895514</v>
      </c>
      <c r="E6" s="31">
        <v>49236</v>
      </c>
      <c r="F6" s="31">
        <v>14030.5</v>
      </c>
      <c r="G6" s="31">
        <v>0</v>
      </c>
      <c r="H6" s="31">
        <v>0</v>
      </c>
      <c r="I6" s="45">
        <f t="shared" si="0"/>
        <v>0.24654570034060186</v>
      </c>
      <c r="J6" s="18">
        <f t="shared" si="1"/>
        <v>9.9765410531569745E-2</v>
      </c>
      <c r="K6" s="18">
        <v>0</v>
      </c>
      <c r="L6" s="18">
        <v>0</v>
      </c>
      <c r="M6" s="17">
        <f t="shared" ref="M6:M40" si="3">(I6*$W$6)/$W$15</f>
        <v>22.544108977325848</v>
      </c>
      <c r="N6" s="17">
        <f t="shared" ref="N6:N40" si="4">(J6*$W$6)/$W$12</f>
        <v>8.3208373812803256</v>
      </c>
      <c r="O6" s="17">
        <f t="shared" ref="O6:O44" si="5">K6*$W$6</f>
        <v>0</v>
      </c>
      <c r="P6" s="17">
        <f t="shared" ref="P6:P40" si="6">(L6*$W$6)/$W$18</f>
        <v>0</v>
      </c>
      <c r="Q6" s="17">
        <f t="shared" ref="Q6:Q44" si="7">SUM(M6:P6)</f>
        <v>30.864946358606176</v>
      </c>
      <c r="R6" s="23">
        <f t="shared" ref="R6:R40" si="8">(M6/D6)/10</f>
        <v>8.0704630171167615</v>
      </c>
      <c r="S6" s="23">
        <f t="shared" ref="S6:S40" si="9">(N6/D6)/10</f>
        <v>2.9787387217035688</v>
      </c>
      <c r="T6" s="23">
        <f>(Q6/D5)/10</f>
        <v>11.078403461288305</v>
      </c>
      <c r="U6" s="174"/>
      <c r="W6" s="2">
        <v>87</v>
      </c>
      <c r="Y6" s="196"/>
      <c r="Z6" s="30" t="s">
        <v>237</v>
      </c>
      <c r="AA6" s="31">
        <v>882748</v>
      </c>
      <c r="AB6" s="31">
        <v>671336</v>
      </c>
      <c r="AC6" s="210"/>
      <c r="AD6" s="221"/>
      <c r="AE6" s="45">
        <f t="shared" si="2"/>
        <v>3.9049957863689033</v>
      </c>
      <c r="AF6" s="18">
        <f>(AB6-$J$50)/$I$50</f>
        <v>3.0822982507883934</v>
      </c>
      <c r="AG6" s="216"/>
      <c r="AH6" s="216"/>
      <c r="AI6" s="23">
        <f>AE6*Experimentos!R33</f>
        <v>836.25484765090062</v>
      </c>
      <c r="AJ6" s="23">
        <f>AF6*Experimentos!R33</f>
        <v>660.07417040633447</v>
      </c>
      <c r="AK6" s="147"/>
      <c r="AL6" s="216"/>
      <c r="AM6" s="23">
        <f t="shared" ref="AM6:AM40" si="10">SUM(AI6:AL6)/1000</f>
        <v>1.4963290180572351</v>
      </c>
      <c r="AN6" s="174"/>
    </row>
    <row r="7" spans="1:40">
      <c r="A7" s="196" t="s">
        <v>18</v>
      </c>
      <c r="B7" s="75" t="s">
        <v>236</v>
      </c>
      <c r="C7" s="2">
        <v>0.30249999999999999</v>
      </c>
      <c r="D7" s="40">
        <f>C7*('Análisis sólidos'!F6/100)</f>
        <v>0.27769284778131487</v>
      </c>
      <c r="E7" s="31">
        <v>42239</v>
      </c>
      <c r="F7" s="31">
        <v>10168</v>
      </c>
      <c r="G7" s="31">
        <v>0</v>
      </c>
      <c r="H7" s="31">
        <v>0</v>
      </c>
      <c r="I7" s="45">
        <f t="shared" si="0"/>
        <v>0.21583447452508867</v>
      </c>
      <c r="J7" s="18">
        <f t="shared" si="1"/>
        <v>8.2239263107743266E-2</v>
      </c>
      <c r="K7" s="18">
        <v>0</v>
      </c>
      <c r="L7" s="18">
        <v>0</v>
      </c>
      <c r="M7" s="17">
        <f t="shared" si="3"/>
        <v>19.735878208524355</v>
      </c>
      <c r="N7" s="17">
        <f t="shared" si="4"/>
        <v>6.8590860402395535</v>
      </c>
      <c r="O7" s="17">
        <f t="shared" si="5"/>
        <v>0</v>
      </c>
      <c r="P7" s="17">
        <f t="shared" si="6"/>
        <v>0</v>
      </c>
      <c r="Q7" s="17">
        <f t="shared" si="7"/>
        <v>26.594964248763908</v>
      </c>
      <c r="R7" s="23">
        <f t="shared" si="8"/>
        <v>7.1070891332665882</v>
      </c>
      <c r="S7" s="23">
        <f t="shared" si="9"/>
        <v>2.4700261800192758</v>
      </c>
      <c r="T7" s="23">
        <f>(Q7/D7)/10</f>
        <v>9.5771153132858622</v>
      </c>
      <c r="U7" s="174"/>
      <c r="Y7" s="196" t="s">
        <v>18</v>
      </c>
      <c r="Z7" s="30" t="s">
        <v>236</v>
      </c>
      <c r="AA7" s="31">
        <v>882333</v>
      </c>
      <c r="AB7" s="31">
        <v>660747</v>
      </c>
      <c r="AC7" s="210"/>
      <c r="AD7" s="221"/>
      <c r="AE7" s="45">
        <f t="shared" si="2"/>
        <v>3.9031742687594368</v>
      </c>
      <c r="AF7" s="18">
        <f>(AB7-$J$50)/$I$50</f>
        <v>3.034250516142206</v>
      </c>
      <c r="AG7" s="216"/>
      <c r="AH7" s="216"/>
      <c r="AI7" s="23">
        <f>AE7*Experimentos!R34</f>
        <v>828.13648460268962</v>
      </c>
      <c r="AJ7" s="23">
        <f>AF7*Experimentos!R34</f>
        <v>643.77693200989177</v>
      </c>
      <c r="AK7" s="147"/>
      <c r="AL7" s="216"/>
      <c r="AM7" s="23">
        <f t="shared" si="10"/>
        <v>1.4719134166125813</v>
      </c>
      <c r="AN7" s="174"/>
    </row>
    <row r="8" spans="1:40">
      <c r="A8" s="196"/>
      <c r="B8" s="75" t="s">
        <v>237</v>
      </c>
      <c r="C8" s="2">
        <v>0.31480000000000002</v>
      </c>
      <c r="D8" s="40">
        <f>C8*('Análisis sólidos'!F6/100)</f>
        <v>0.28898416026961299</v>
      </c>
      <c r="E8" s="31">
        <v>42962</v>
      </c>
      <c r="F8" s="31">
        <v>12740</v>
      </c>
      <c r="G8" s="31">
        <v>0</v>
      </c>
      <c r="H8" s="31">
        <v>0</v>
      </c>
      <c r="I8" s="45">
        <f t="shared" si="0"/>
        <v>0.21900786544471365</v>
      </c>
      <c r="J8" s="18">
        <f t="shared" si="1"/>
        <v>9.390974884860584E-2</v>
      </c>
      <c r="K8" s="18">
        <v>0</v>
      </c>
      <c r="L8" s="18">
        <v>0</v>
      </c>
      <c r="M8" s="17">
        <f t="shared" si="3"/>
        <v>20.026052689851131</v>
      </c>
      <c r="N8" s="17">
        <f t="shared" si="4"/>
        <v>7.8324515934193251</v>
      </c>
      <c r="O8" s="17">
        <f t="shared" si="5"/>
        <v>0</v>
      </c>
      <c r="P8" s="17">
        <f t="shared" si="6"/>
        <v>0</v>
      </c>
      <c r="Q8" s="17">
        <f t="shared" si="7"/>
        <v>27.858504283270456</v>
      </c>
      <c r="R8" s="23">
        <f t="shared" si="8"/>
        <v>6.9298098107409984</v>
      </c>
      <c r="S8" s="23">
        <f t="shared" si="9"/>
        <v>2.7103394131055136</v>
      </c>
      <c r="T8" s="23">
        <f>(Q8/D7)/10</f>
        <v>10.032128845179775</v>
      </c>
      <c r="U8" s="174"/>
      <c r="W8" s="16" t="s">
        <v>322</v>
      </c>
      <c r="Y8" s="196"/>
      <c r="Z8" s="30" t="s">
        <v>237</v>
      </c>
      <c r="AA8" s="31">
        <v>874848</v>
      </c>
      <c r="AB8" s="31">
        <v>649924</v>
      </c>
      <c r="AC8" s="210"/>
      <c r="AD8" s="221"/>
      <c r="AE8" s="45">
        <f t="shared" si="2"/>
        <v>3.8703211138031532</v>
      </c>
      <c r="AF8" s="18">
        <f>(AB8-$J$50)/$I$50</f>
        <v>2.9851410032443226</v>
      </c>
      <c r="AG8" s="216"/>
      <c r="AH8" s="216"/>
      <c r="AI8" s="23">
        <f>AE8*Experimentos!R34</f>
        <v>821.16603071561497</v>
      </c>
      <c r="AJ8" s="23">
        <f>AF8*Experimentos!R34</f>
        <v>633.35736665834793</v>
      </c>
      <c r="AK8" s="147"/>
      <c r="AL8" s="216"/>
      <c r="AM8" s="23">
        <f t="shared" si="10"/>
        <v>1.4545233973739629</v>
      </c>
      <c r="AN8" s="174"/>
    </row>
    <row r="9" spans="1:40">
      <c r="A9" s="196" t="s">
        <v>19</v>
      </c>
      <c r="B9" s="75" t="s">
        <v>236</v>
      </c>
      <c r="C9" s="2">
        <v>0.31159999999999999</v>
      </c>
      <c r="D9" s="40">
        <f>C9*('Análisis sólidos'!F7/100)</f>
        <v>0.26269809559218421</v>
      </c>
      <c r="E9" s="31">
        <v>34082</v>
      </c>
      <c r="F9" s="31">
        <v>42479</v>
      </c>
      <c r="G9" s="31">
        <v>0</v>
      </c>
      <c r="H9" s="31">
        <v>0</v>
      </c>
      <c r="I9" s="45">
        <f t="shared" si="0"/>
        <v>0.18003177780118684</v>
      </c>
      <c r="J9" s="18">
        <f t="shared" si="1"/>
        <v>0.2288508746058035</v>
      </c>
      <c r="K9" s="18">
        <v>0</v>
      </c>
      <c r="L9" s="18">
        <f>(H9-$M$472)/$L$50</f>
        <v>0</v>
      </c>
      <c r="M9" s="17">
        <f t="shared" si="3"/>
        <v>16.462083956542958</v>
      </c>
      <c r="N9" s="17">
        <f t="shared" si="4"/>
        <v>19.087085413797716</v>
      </c>
      <c r="O9" s="17">
        <f t="shared" si="5"/>
        <v>0</v>
      </c>
      <c r="P9" s="17">
        <f t="shared" si="6"/>
        <v>0</v>
      </c>
      <c r="Q9" s="17">
        <f t="shared" si="7"/>
        <v>35.549169370340678</v>
      </c>
      <c r="R9" s="23">
        <f t="shared" si="8"/>
        <v>6.2665410342749128</v>
      </c>
      <c r="S9" s="23">
        <f t="shared" si="9"/>
        <v>7.2657875081929575</v>
      </c>
      <c r="T9" s="23">
        <f>(Q9/D9)/10</f>
        <v>13.532328542467871</v>
      </c>
      <c r="U9" s="174">
        <f t="shared" ref="U9" si="11">STDEV(T9:T12)</f>
        <v>0.42621615129508078</v>
      </c>
      <c r="W9" s="17">
        <f>T42/100</f>
        <v>1.0261413888276749</v>
      </c>
      <c r="Y9" s="196" t="s">
        <v>19</v>
      </c>
      <c r="Z9" s="30" t="s">
        <v>236</v>
      </c>
      <c r="AA9" s="31">
        <v>496655</v>
      </c>
      <c r="AB9" s="221"/>
      <c r="AC9" s="210"/>
      <c r="AD9" s="221"/>
      <c r="AE9" s="45">
        <f t="shared" si="2"/>
        <v>2.2103567540995117</v>
      </c>
      <c r="AF9" s="215"/>
      <c r="AG9" s="216"/>
      <c r="AH9" s="216"/>
      <c r="AI9" s="23">
        <f>AE9*Experimentos!R35</f>
        <v>484.13443985041607</v>
      </c>
      <c r="AJ9" s="215"/>
      <c r="AK9" s="147"/>
      <c r="AL9" s="216"/>
      <c r="AM9" s="23">
        <f t="shared" si="10"/>
        <v>0.4841344398504161</v>
      </c>
      <c r="AN9" s="174">
        <f t="shared" ref="AN9" si="12">STDEV(AM9:AM12)</f>
        <v>6.307445011749708E-3</v>
      </c>
    </row>
    <row r="10" spans="1:40">
      <c r="A10" s="196"/>
      <c r="B10" s="75" t="s">
        <v>237</v>
      </c>
      <c r="C10" s="2">
        <v>0.30330000000000001</v>
      </c>
      <c r="D10" s="40">
        <f>C10*('Análisis sólidos'!F7/100)</f>
        <v>0.25570068162101883</v>
      </c>
      <c r="E10" s="31">
        <v>31451</v>
      </c>
      <c r="F10" s="31">
        <v>42259</v>
      </c>
      <c r="G10" s="31">
        <v>0</v>
      </c>
      <c r="H10" s="31">
        <v>0</v>
      </c>
      <c r="I10" s="45">
        <f t="shared" si="0"/>
        <v>0.16848379507707434</v>
      </c>
      <c r="J10" s="18">
        <f t="shared" si="1"/>
        <v>0.22785262154865352</v>
      </c>
      <c r="K10" s="18">
        <v>0</v>
      </c>
      <c r="L10" s="18">
        <f>(H10-$M$472)/$L$50</f>
        <v>0</v>
      </c>
      <c r="M10" s="17">
        <f t="shared" si="3"/>
        <v>15.406137814951311</v>
      </c>
      <c r="N10" s="17">
        <f t="shared" si="4"/>
        <v>19.003827084987631</v>
      </c>
      <c r="O10" s="17">
        <f t="shared" si="5"/>
        <v>0</v>
      </c>
      <c r="P10" s="17">
        <f t="shared" si="6"/>
        <v>0</v>
      </c>
      <c r="Q10" s="17">
        <f t="shared" si="7"/>
        <v>34.409964899938942</v>
      </c>
      <c r="R10" s="23">
        <f t="shared" si="8"/>
        <v>6.0250671673160339</v>
      </c>
      <c r="S10" s="23">
        <f t="shared" si="9"/>
        <v>7.4320596114615514</v>
      </c>
      <c r="T10" s="23">
        <f t="shared" ref="T10:T40" si="13">(Q10/D9)/10</f>
        <v>13.098673145068171</v>
      </c>
      <c r="U10" s="174"/>
      <c r="Y10" s="196"/>
      <c r="Z10" s="30" t="s">
        <v>237</v>
      </c>
      <c r="AA10" s="31">
        <v>499271</v>
      </c>
      <c r="AB10" s="221"/>
      <c r="AC10" s="210"/>
      <c r="AD10" s="221"/>
      <c r="AE10" s="45">
        <f t="shared" si="2"/>
        <v>2.2218388988377402</v>
      </c>
      <c r="AF10" s="216"/>
      <c r="AG10" s="216"/>
      <c r="AH10" s="216"/>
      <c r="AI10" s="23">
        <f>AE10*Experimentos!R35</f>
        <v>486.64937401243026</v>
      </c>
      <c r="AJ10" s="216"/>
      <c r="AK10" s="147"/>
      <c r="AL10" s="216"/>
      <c r="AM10" s="23">
        <f t="shared" si="10"/>
        <v>0.48664937401243025</v>
      </c>
      <c r="AN10" s="174"/>
    </row>
    <row r="11" spans="1:40">
      <c r="A11" s="196" t="s">
        <v>22</v>
      </c>
      <c r="B11" s="75" t="s">
        <v>236</v>
      </c>
      <c r="C11" s="2">
        <v>0.32900000000000001</v>
      </c>
      <c r="D11" s="40">
        <f>C11*('Análisis sólidos'!F8/100)</f>
        <v>0.30583012562658557</v>
      </c>
      <c r="E11" s="31">
        <v>40729</v>
      </c>
      <c r="F11" s="31">
        <v>48082</v>
      </c>
      <c r="G11" s="31">
        <v>0</v>
      </c>
      <c r="H11" s="31">
        <v>0</v>
      </c>
      <c r="I11" s="45">
        <f t="shared" si="0"/>
        <v>0.20920678394606551</v>
      </c>
      <c r="J11" s="18">
        <f t="shared" si="1"/>
        <v>0.25427456496585521</v>
      </c>
      <c r="K11" s="18">
        <v>0</v>
      </c>
      <c r="L11" s="18">
        <f>(H11-$M$472)/$L$50</f>
        <v>0</v>
      </c>
      <c r="M11" s="17">
        <f t="shared" si="3"/>
        <v>19.12984298472983</v>
      </c>
      <c r="N11" s="17">
        <f>(J11*$W$6)/$W$12</f>
        <v>21.207523669811035</v>
      </c>
      <c r="O11" s="17">
        <f t="shared" si="5"/>
        <v>0</v>
      </c>
      <c r="P11" s="17">
        <f t="shared" si="6"/>
        <v>0</v>
      </c>
      <c r="Q11" s="17">
        <f t="shared" si="7"/>
        <v>40.337366654540865</v>
      </c>
      <c r="R11" s="23">
        <f t="shared" si="8"/>
        <v>6.2550551374023593</v>
      </c>
      <c r="S11" s="23">
        <f t="shared" si="9"/>
        <v>6.9344128955121747</v>
      </c>
      <c r="T11" s="23">
        <f>(Q11/D11)/10</f>
        <v>13.189468032914533</v>
      </c>
      <c r="U11" s="174"/>
      <c r="W11" s="16" t="s">
        <v>323</v>
      </c>
      <c r="Y11" s="196" t="s">
        <v>22</v>
      </c>
      <c r="Z11" s="30" t="s">
        <v>236</v>
      </c>
      <c r="AA11" s="31">
        <v>510971</v>
      </c>
      <c r="AB11" s="221"/>
      <c r="AC11" s="210"/>
      <c r="AD11" s="221"/>
      <c r="AE11" s="45">
        <f t="shared" si="2"/>
        <v>2.273192527827522</v>
      </c>
      <c r="AF11" s="216"/>
      <c r="AG11" s="216"/>
      <c r="AH11" s="216"/>
      <c r="AI11" s="23">
        <f>AE11*Experimentos!R36</f>
        <v>497.80643166894907</v>
      </c>
      <c r="AJ11" s="216"/>
      <c r="AK11" s="147"/>
      <c r="AL11" s="216"/>
      <c r="AM11" s="23">
        <f t="shared" si="10"/>
        <v>0.49780643166894906</v>
      </c>
      <c r="AN11" s="174"/>
    </row>
    <row r="12" spans="1:40">
      <c r="A12" s="196"/>
      <c r="B12" s="75" t="s">
        <v>237</v>
      </c>
      <c r="C12" s="2">
        <v>0.30649999999999999</v>
      </c>
      <c r="D12" s="40">
        <f>C12*('Análisis sólidos'!F8/100)</f>
        <v>0.28491469150318682</v>
      </c>
      <c r="E12" s="31">
        <v>38130</v>
      </c>
      <c r="F12" s="31">
        <v>45325</v>
      </c>
      <c r="G12" s="31">
        <v>0</v>
      </c>
      <c r="H12" s="31">
        <v>0</v>
      </c>
      <c r="I12" s="45">
        <f t="shared" si="0"/>
        <v>0.19779925559183961</v>
      </c>
      <c r="J12" s="18">
        <f t="shared" si="1"/>
        <v>0.24176463915420743</v>
      </c>
      <c r="K12" s="18">
        <v>0</v>
      </c>
      <c r="L12" s="18">
        <f>(H12-$M$472)/$L$50</f>
        <v>0</v>
      </c>
      <c r="M12" s="17">
        <f t="shared" si="3"/>
        <v>18.086739973708667</v>
      </c>
      <c r="N12" s="17">
        <f t="shared" si="4"/>
        <v>20.164145431040964</v>
      </c>
      <c r="O12" s="17">
        <f t="shared" si="5"/>
        <v>0</v>
      </c>
      <c r="P12" s="17">
        <f t="shared" si="6"/>
        <v>0</v>
      </c>
      <c r="Q12" s="17">
        <f t="shared" si="7"/>
        <v>38.250885404749631</v>
      </c>
      <c r="R12" s="23">
        <f t="shared" si="8"/>
        <v>6.3481247240303729</v>
      </c>
      <c r="S12" s="23">
        <f t="shared" si="9"/>
        <v>7.0772571693851818</v>
      </c>
      <c r="T12" s="23">
        <f t="shared" si="13"/>
        <v>12.507232675780752</v>
      </c>
      <c r="U12" s="174"/>
      <c r="W12" s="17">
        <f>T43/100</f>
        <v>1.0431150518304013</v>
      </c>
      <c r="Y12" s="196"/>
      <c r="Z12" s="30" t="s">
        <v>237</v>
      </c>
      <c r="AA12" s="31">
        <v>497956</v>
      </c>
      <c r="AB12" s="221"/>
      <c r="AC12" s="210"/>
      <c r="AD12" s="221"/>
      <c r="AE12" s="45">
        <f t="shared" si="2"/>
        <v>2.2160671020752134</v>
      </c>
      <c r="AF12" s="216"/>
      <c r="AG12" s="216"/>
      <c r="AH12" s="216"/>
      <c r="AI12" s="23">
        <f>AE12*Experimentos!R36</f>
        <v>485.296534683451</v>
      </c>
      <c r="AJ12" s="216"/>
      <c r="AK12" s="147"/>
      <c r="AL12" s="216"/>
      <c r="AM12" s="23">
        <f t="shared" si="10"/>
        <v>0.48529653468345102</v>
      </c>
      <c r="AN12" s="174"/>
    </row>
    <row r="13" spans="1:40">
      <c r="A13" s="196" t="s">
        <v>25</v>
      </c>
      <c r="B13" s="75" t="s">
        <v>236</v>
      </c>
      <c r="C13" s="2">
        <v>0.32129999999999997</v>
      </c>
      <c r="D13" s="40">
        <f>C13*('Análisis sólidos'!F9/100)</f>
        <v>0.29561405056179735</v>
      </c>
      <c r="E13" s="31">
        <v>72866</v>
      </c>
      <c r="F13" s="31">
        <v>62839</v>
      </c>
      <c r="G13" s="31">
        <v>0</v>
      </c>
      <c r="H13" s="31">
        <v>0</v>
      </c>
      <c r="I13" s="45">
        <f t="shared" si="0"/>
        <v>0.35026247410372557</v>
      </c>
      <c r="J13" s="18">
        <f t="shared" si="1"/>
        <v>0.32123465753113872</v>
      </c>
      <c r="K13" s="18">
        <v>0</v>
      </c>
      <c r="L13" s="18">
        <v>0</v>
      </c>
      <c r="M13" s="17">
        <f t="shared" si="3"/>
        <v>32.027958207964616</v>
      </c>
      <c r="N13" s="17">
        <f t="shared" si="4"/>
        <v>26.79226529822235</v>
      </c>
      <c r="O13" s="17">
        <f t="shared" si="5"/>
        <v>0</v>
      </c>
      <c r="P13" s="17">
        <f t="shared" si="6"/>
        <v>0</v>
      </c>
      <c r="Q13" s="17">
        <f t="shared" si="7"/>
        <v>58.820223506186963</v>
      </c>
      <c r="R13" s="23">
        <f t="shared" si="8"/>
        <v>10.834382921615987</v>
      </c>
      <c r="S13" s="23">
        <f t="shared" si="9"/>
        <v>9.0632584098439182</v>
      </c>
      <c r="T13" s="23">
        <f>(Q13/D13)/10</f>
        <v>19.897641331459901</v>
      </c>
      <c r="U13" s="174">
        <f>STDEV(T13:T15)</f>
        <v>1.1897829846764976</v>
      </c>
      <c r="Y13" s="196" t="s">
        <v>25</v>
      </c>
      <c r="Z13" s="30" t="s">
        <v>236</v>
      </c>
      <c r="AA13" s="31">
        <v>478008</v>
      </c>
      <c r="AB13" s="221"/>
      <c r="AC13" s="210"/>
      <c r="AD13" s="221"/>
      <c r="AE13" s="45">
        <f t="shared" si="2"/>
        <v>2.1285113592471645</v>
      </c>
      <c r="AF13" s="216"/>
      <c r="AG13" s="216"/>
      <c r="AH13" s="216"/>
      <c r="AI13" s="23">
        <f>AE13*Experimentos!R37</f>
        <v>437.28137364373748</v>
      </c>
      <c r="AJ13" s="216"/>
      <c r="AK13" s="147"/>
      <c r="AL13" s="216"/>
      <c r="AM13" s="23">
        <f t="shared" si="10"/>
        <v>0.43728137364373748</v>
      </c>
      <c r="AN13" s="174">
        <f t="shared" ref="AN13" si="14">STDEV(AM13:AM16)</f>
        <v>4.7890923155701317E-3</v>
      </c>
    </row>
    <row r="14" spans="1:40">
      <c r="A14" s="196"/>
      <c r="B14" s="75" t="s">
        <v>237</v>
      </c>
      <c r="C14" s="2">
        <v>0.3145</v>
      </c>
      <c r="D14" s="40">
        <f>C14*('Análisis sólidos'!F9/100)</f>
        <v>0.28935766853932543</v>
      </c>
      <c r="E14" s="31">
        <v>71610</v>
      </c>
      <c r="F14" s="31">
        <v>62839</v>
      </c>
      <c r="G14" s="31">
        <v>0</v>
      </c>
      <c r="H14" s="31">
        <v>0</v>
      </c>
      <c r="I14" s="45">
        <f t="shared" si="0"/>
        <v>0.34474964008567716</v>
      </c>
      <c r="J14" s="18">
        <f t="shared" si="1"/>
        <v>0.32123465753113872</v>
      </c>
      <c r="K14" s="18">
        <v>0</v>
      </c>
      <c r="L14" s="18">
        <v>0</v>
      </c>
      <c r="M14" s="17">
        <f t="shared" si="3"/>
        <v>31.523865333073271</v>
      </c>
      <c r="N14" s="17">
        <f t="shared" si="4"/>
        <v>26.79226529822235</v>
      </c>
      <c r="O14" s="17">
        <f t="shared" si="5"/>
        <v>0</v>
      </c>
      <c r="P14" s="17">
        <f t="shared" si="6"/>
        <v>0</v>
      </c>
      <c r="Q14" s="17">
        <f t="shared" si="7"/>
        <v>58.316130631295621</v>
      </c>
      <c r="R14" s="23">
        <f t="shared" si="8"/>
        <v>10.894428854160122</v>
      </c>
      <c r="S14" s="23">
        <f t="shared" si="9"/>
        <v>9.2592207538405429</v>
      </c>
      <c r="T14" s="23">
        <f t="shared" si="13"/>
        <v>19.727117341164671</v>
      </c>
      <c r="U14" s="174"/>
      <c r="W14" s="16" t="s">
        <v>324</v>
      </c>
      <c r="Y14" s="196"/>
      <c r="Z14" s="30" t="s">
        <v>237</v>
      </c>
      <c r="AA14" s="31">
        <v>478396</v>
      </c>
      <c r="AB14" s="221"/>
      <c r="AC14" s="210"/>
      <c r="AD14" s="221"/>
      <c r="AE14" s="45">
        <f t="shared" si="2"/>
        <v>2.1302143684820396</v>
      </c>
      <c r="AF14" s="216"/>
      <c r="AG14" s="216"/>
      <c r="AH14" s="216"/>
      <c r="AI14" s="23">
        <f>AE14*Experimentos!R37</f>
        <v>437.63123986095019</v>
      </c>
      <c r="AJ14" s="216"/>
      <c r="AK14" s="147"/>
      <c r="AL14" s="216"/>
      <c r="AM14" s="23">
        <f t="shared" si="10"/>
        <v>0.43763123986095021</v>
      </c>
      <c r="AN14" s="174"/>
    </row>
    <row r="15" spans="1:40">
      <c r="A15" s="196" t="s">
        <v>27</v>
      </c>
      <c r="B15" s="75" t="s">
        <v>236</v>
      </c>
      <c r="C15" s="2">
        <v>0.38440000000000002</v>
      </c>
      <c r="D15" s="40">
        <f>C15*('Análisis sólidos'!F10/100)</f>
        <v>0.35060506007477632</v>
      </c>
      <c r="E15" s="31">
        <v>74193</v>
      </c>
      <c r="F15" s="31">
        <v>70512</v>
      </c>
      <c r="G15" s="31">
        <v>0</v>
      </c>
      <c r="H15" s="31">
        <v>0</v>
      </c>
      <c r="I15" s="45">
        <f t="shared" si="0"/>
        <v>0.35608694125495982</v>
      </c>
      <c r="J15" s="18">
        <f t="shared" si="1"/>
        <v>0.35605100165619258</v>
      </c>
      <c r="K15" s="18">
        <v>0</v>
      </c>
      <c r="L15" s="18">
        <v>0</v>
      </c>
      <c r="M15" s="17">
        <f t="shared" si="3"/>
        <v>32.560546778809204</v>
      </c>
      <c r="N15" s="17">
        <f t="shared" si="4"/>
        <v>29.696088738948781</v>
      </c>
      <c r="O15" s="17">
        <f t="shared" si="5"/>
        <v>0</v>
      </c>
      <c r="P15" s="17">
        <f t="shared" si="6"/>
        <v>0</v>
      </c>
      <c r="Q15" s="17">
        <f t="shared" si="7"/>
        <v>62.256635517757985</v>
      </c>
      <c r="R15" s="23">
        <f t="shared" si="8"/>
        <v>9.2869586000455211</v>
      </c>
      <c r="S15" s="23">
        <f t="shared" si="9"/>
        <v>8.4699544075648134</v>
      </c>
      <c r="T15" s="23">
        <f>(Q15/D15)/10</f>
        <v>17.756913007610333</v>
      </c>
      <c r="U15" s="174"/>
      <c r="W15" s="17">
        <f>T41/100</f>
        <v>0.95144482983140133</v>
      </c>
      <c r="Y15" s="196" t="s">
        <v>27</v>
      </c>
      <c r="Z15" s="30" t="s">
        <v>236</v>
      </c>
      <c r="AA15" s="31">
        <v>484975</v>
      </c>
      <c r="AB15" s="221"/>
      <c r="AC15" s="210"/>
      <c r="AD15" s="221"/>
      <c r="AE15" s="45">
        <f t="shared" si="2"/>
        <v>2.1590909090909092</v>
      </c>
      <c r="AF15" s="216"/>
      <c r="AG15" s="216"/>
      <c r="AH15" s="216"/>
      <c r="AI15" s="23">
        <f>AE15*Experimentos!R38</f>
        <v>447.4284090909091</v>
      </c>
      <c r="AJ15" s="216"/>
      <c r="AK15" s="147"/>
      <c r="AL15" s="216"/>
      <c r="AM15" s="23">
        <f t="shared" si="10"/>
        <v>0.44742840909090908</v>
      </c>
      <c r="AN15" s="174"/>
    </row>
    <row r="16" spans="1:40">
      <c r="A16" s="196"/>
      <c r="B16" s="76" t="s">
        <v>237</v>
      </c>
      <c r="C16" s="58">
        <v>0.30730000000000002</v>
      </c>
      <c r="D16" s="74">
        <f>C16*('Análisis sólidos'!F10/100)</f>
        <v>0.28028338959671895</v>
      </c>
      <c r="E16" s="77">
        <v>59104</v>
      </c>
      <c r="F16" s="77">
        <v>57517</v>
      </c>
      <c r="G16" s="77">
        <v>0</v>
      </c>
      <c r="H16" s="77">
        <v>0</v>
      </c>
      <c r="I16" s="52">
        <f t="shared" si="0"/>
        <v>0.28985831665437689</v>
      </c>
      <c r="J16" s="53">
        <f t="shared" si="1"/>
        <v>0.29708600857590128</v>
      </c>
      <c r="K16" s="53">
        <v>0</v>
      </c>
      <c r="L16" s="53">
        <v>0</v>
      </c>
      <c r="M16" s="59">
        <f t="shared" si="3"/>
        <v>26.504609366997592</v>
      </c>
      <c r="N16" s="59">
        <f t="shared" si="4"/>
        <v>24.77817063491646</v>
      </c>
      <c r="O16" s="59">
        <f t="shared" si="5"/>
        <v>0</v>
      </c>
      <c r="P16" s="59">
        <f t="shared" si="6"/>
        <v>0</v>
      </c>
      <c r="Q16" s="59">
        <f t="shared" si="7"/>
        <v>51.282780001914048</v>
      </c>
      <c r="R16" s="54">
        <f t="shared" si="8"/>
        <v>9.4563610798104385</v>
      </c>
      <c r="S16" s="54">
        <f t="shared" si="9"/>
        <v>8.8403992368467197</v>
      </c>
      <c r="T16" s="34">
        <f t="shared" si="13"/>
        <v>14.626936642322438</v>
      </c>
      <c r="U16" s="174"/>
      <c r="Y16" s="196"/>
      <c r="Z16" s="30" t="s">
        <v>237</v>
      </c>
      <c r="AA16" s="31">
        <v>479653</v>
      </c>
      <c r="AB16" s="221"/>
      <c r="AC16" s="210"/>
      <c r="AD16" s="221"/>
      <c r="AE16" s="45">
        <f t="shared" si="2"/>
        <v>2.1357315916991468</v>
      </c>
      <c r="AF16" s="217"/>
      <c r="AG16" s="216"/>
      <c r="AH16" s="217"/>
      <c r="AI16" s="23">
        <f>AE16*Experimentos!R38</f>
        <v>442.58765774781421</v>
      </c>
      <c r="AJ16" s="217"/>
      <c r="AK16" s="147"/>
      <c r="AL16" s="217"/>
      <c r="AM16" s="23">
        <f t="shared" si="10"/>
        <v>0.44258765774781422</v>
      </c>
      <c r="AN16" s="174"/>
    </row>
    <row r="17" spans="1:45">
      <c r="A17" s="196" t="s">
        <v>29</v>
      </c>
      <c r="B17" s="2" t="s">
        <v>236</v>
      </c>
      <c r="C17" s="2">
        <v>0.30640000000000001</v>
      </c>
      <c r="D17" s="40">
        <f>C17*('Análisis sólidos'!F11/100)</f>
        <v>0.26938352711284819</v>
      </c>
      <c r="E17" s="31">
        <v>92384</v>
      </c>
      <c r="F17" s="31">
        <v>10709</v>
      </c>
      <c r="G17" s="31">
        <v>0</v>
      </c>
      <c r="H17" s="31">
        <v>0</v>
      </c>
      <c r="I17" s="45">
        <f t="shared" si="0"/>
        <v>0.43593086133642334</v>
      </c>
      <c r="J17" s="18">
        <f t="shared" si="1"/>
        <v>8.4694058125553001E-2</v>
      </c>
      <c r="K17" s="18">
        <v>0</v>
      </c>
      <c r="L17" s="18">
        <v>0</v>
      </c>
      <c r="M17" s="17">
        <f t="shared" si="3"/>
        <v>39.86146516029671</v>
      </c>
      <c r="N17" s="17">
        <f t="shared" si="4"/>
        <v>7.0638258397225453</v>
      </c>
      <c r="O17" s="17">
        <f t="shared" si="5"/>
        <v>0</v>
      </c>
      <c r="P17" s="17">
        <f t="shared" si="6"/>
        <v>0</v>
      </c>
      <c r="Q17" s="17">
        <f t="shared" si="7"/>
        <v>46.925291000019257</v>
      </c>
      <c r="R17" s="23">
        <f t="shared" si="8"/>
        <v>14.797291277427751</v>
      </c>
      <c r="S17" s="23">
        <f t="shared" si="9"/>
        <v>2.622218929059986</v>
      </c>
      <c r="T17" s="23">
        <f>(Q17/D17)/10</f>
        <v>17.41951020648774</v>
      </c>
      <c r="U17" s="174">
        <f>STDEV(T17:T18,T20)</f>
        <v>0.788725622195664</v>
      </c>
      <c r="W17" s="16" t="s">
        <v>325</v>
      </c>
      <c r="Y17" s="196" t="s">
        <v>29</v>
      </c>
      <c r="Z17" s="30" t="s">
        <v>236</v>
      </c>
      <c r="AA17" s="31">
        <v>34105</v>
      </c>
      <c r="AB17" s="31">
        <v>27593</v>
      </c>
      <c r="AC17" s="210"/>
      <c r="AD17" s="31">
        <v>20140</v>
      </c>
      <c r="AE17" s="45">
        <f>((AA17-$D$50)/$C$50)*10</f>
        <v>1.8013272937954283</v>
      </c>
      <c r="AF17" s="18">
        <f>((AB17-$J$50)/$I$50)*10</f>
        <v>1.613054427479184</v>
      </c>
      <c r="AG17" s="216"/>
      <c r="AH17" s="18">
        <f>((AD17-$M$50)/$L$50)*10</f>
        <v>1.2143617043295403</v>
      </c>
      <c r="AI17" s="23">
        <f>AE17*Experimentos!R39</f>
        <v>393.26577478141792</v>
      </c>
      <c r="AJ17" s="23">
        <f>AF17*Experimentos!$R$39</f>
        <v>352.16204260725544</v>
      </c>
      <c r="AK17" s="147"/>
      <c r="AL17" s="23">
        <f>AH17*Experimentos!$R$39</f>
        <v>265.11944728922521</v>
      </c>
      <c r="AM17" s="23">
        <f t="shared" si="10"/>
        <v>1.0105472646778986</v>
      </c>
      <c r="AN17" s="174">
        <f t="shared" ref="AN17" si="15">STDEV(AM17:AM20)</f>
        <v>4.4787582006807651E-2</v>
      </c>
    </row>
    <row r="18" spans="1:45">
      <c r="A18" s="196"/>
      <c r="B18" s="2" t="s">
        <v>237</v>
      </c>
      <c r="C18" s="2">
        <v>0.30120000000000002</v>
      </c>
      <c r="D18" s="40">
        <f>C18*('Análisis sólidos'!F11/100)</f>
        <v>0.26481174401563279</v>
      </c>
      <c r="E18" s="31">
        <v>82820</v>
      </c>
      <c r="F18" s="31">
        <v>10418</v>
      </c>
      <c r="G18" s="31">
        <v>0</v>
      </c>
      <c r="H18" s="31">
        <v>0</v>
      </c>
      <c r="I18" s="45">
        <f t="shared" si="0"/>
        <v>0.39395256153657082</v>
      </c>
      <c r="J18" s="18">
        <f t="shared" si="1"/>
        <v>8.3373641581777347E-2</v>
      </c>
      <c r="K18" s="18">
        <v>0</v>
      </c>
      <c r="L18" s="18">
        <v>0</v>
      </c>
      <c r="M18" s="17">
        <f t="shared" si="3"/>
        <v>36.022974511044517</v>
      </c>
      <c r="N18" s="17">
        <f t="shared" si="4"/>
        <v>6.9536977775237467</v>
      </c>
      <c r="O18" s="17">
        <f t="shared" si="5"/>
        <v>0</v>
      </c>
      <c r="P18" s="17">
        <f t="shared" si="6"/>
        <v>0</v>
      </c>
      <c r="Q18" s="17">
        <f t="shared" si="7"/>
        <v>42.976672288568267</v>
      </c>
      <c r="R18" s="23">
        <f t="shared" si="8"/>
        <v>13.60323902738919</v>
      </c>
      <c r="S18" s="23">
        <f t="shared" si="9"/>
        <v>2.625902338044813</v>
      </c>
      <c r="T18" s="23">
        <f t="shared" si="13"/>
        <v>15.95371207333134</v>
      </c>
      <c r="U18" s="174"/>
      <c r="W18" s="17">
        <f>T44/100</f>
        <v>0.46912991810840182</v>
      </c>
      <c r="Y18" s="196"/>
      <c r="Z18" s="30" t="s">
        <v>237</v>
      </c>
      <c r="AA18" s="31">
        <v>37595</v>
      </c>
      <c r="AB18" s="31">
        <v>31554</v>
      </c>
      <c r="AC18" s="210"/>
      <c r="AD18" s="31">
        <v>22150</v>
      </c>
      <c r="AE18" s="45">
        <f t="shared" ref="AE18:AE28" si="16">((AA18-$D$50)/$C$50)*10</f>
        <v>1.9545103409529829</v>
      </c>
      <c r="AF18" s="18">
        <f t="shared" ref="AF18:AF24" si="17">((AB18-$J$50)/$I$50)*10</f>
        <v>1.7927853529051436</v>
      </c>
      <c r="AG18" s="216"/>
      <c r="AH18" s="18">
        <f t="shared" ref="AH18:AH28" si="18">((AD18-$M$50)/$L$50)*10</f>
        <v>1.2975663671022839</v>
      </c>
      <c r="AI18" s="23">
        <f>AE18*Experimentos!R39</f>
        <v>426.70869763685522</v>
      </c>
      <c r="AJ18" s="23">
        <f>AF18*Experimentos!R39</f>
        <v>391.40089824625096</v>
      </c>
      <c r="AK18" s="147"/>
      <c r="AL18" s="23">
        <f>AH18*Experimentos!$R$39</f>
        <v>283.28468926577062</v>
      </c>
      <c r="AM18" s="23">
        <f t="shared" si="10"/>
        <v>1.1013942851488769</v>
      </c>
      <c r="AN18" s="174"/>
    </row>
    <row r="19" spans="1:45">
      <c r="A19" s="196" t="s">
        <v>33</v>
      </c>
      <c r="B19" s="26" t="s">
        <v>236</v>
      </c>
      <c r="C19" s="26">
        <v>0.31059999999999999</v>
      </c>
      <c r="D19" s="50">
        <f>C19*('Análisis sólidos'!F12/100)</f>
        <v>0.25431690815247809</v>
      </c>
      <c r="E19" s="77">
        <v>110342</v>
      </c>
      <c r="F19" s="77">
        <v>10115</v>
      </c>
      <c r="G19" s="77">
        <v>0</v>
      </c>
      <c r="H19" s="77">
        <v>0</v>
      </c>
      <c r="I19" s="46">
        <f t="shared" si="0"/>
        <v>0.51475209803715016</v>
      </c>
      <c r="J19" s="33">
        <f t="shared" si="1"/>
        <v>8.1998774871248042E-2</v>
      </c>
      <c r="K19" s="33">
        <v>0</v>
      </c>
      <c r="L19" s="33">
        <v>0</v>
      </c>
      <c r="M19" s="47">
        <f t="shared" si="3"/>
        <v>47.068869497317898</v>
      </c>
      <c r="N19" s="47">
        <f t="shared" si="4"/>
        <v>6.8390283519353048</v>
      </c>
      <c r="O19" s="47">
        <f t="shared" si="5"/>
        <v>0</v>
      </c>
      <c r="P19" s="47">
        <f t="shared" si="6"/>
        <v>0</v>
      </c>
      <c r="Q19" s="47">
        <f t="shared" si="7"/>
        <v>53.907897849253203</v>
      </c>
      <c r="R19" s="34">
        <f t="shared" si="8"/>
        <v>18.507959159796531</v>
      </c>
      <c r="S19" s="34">
        <f t="shared" si="9"/>
        <v>2.6891756437345884</v>
      </c>
      <c r="T19" s="34">
        <f>(Q19/D19)/10</f>
        <v>21.197134803531121</v>
      </c>
      <c r="U19" s="174"/>
      <c r="Y19" s="196" t="s">
        <v>33</v>
      </c>
      <c r="Z19" s="30" t="s">
        <v>236</v>
      </c>
      <c r="AA19" s="31">
        <v>39182</v>
      </c>
      <c r="AB19" s="31">
        <v>30127</v>
      </c>
      <c r="AC19" s="210"/>
      <c r="AD19" s="31">
        <v>21666</v>
      </c>
      <c r="AE19" s="45">
        <f t="shared" si="16"/>
        <v>2.0241669300186103</v>
      </c>
      <c r="AF19" s="18">
        <f t="shared" si="17"/>
        <v>1.7280350296072782</v>
      </c>
      <c r="AG19" s="216"/>
      <c r="AH19" s="18">
        <f t="shared" si="18"/>
        <v>1.2775310154694441</v>
      </c>
      <c r="AI19" s="23">
        <f>AE19*Experimentos!R40</f>
        <v>442.9282076266723</v>
      </c>
      <c r="AJ19" s="23">
        <f>AF19*Experimentos!R40</f>
        <v>378.12862517866461</v>
      </c>
      <c r="AK19" s="147"/>
      <c r="AL19" s="23">
        <f>AH19*Experimentos!$R$40</f>
        <v>279.54933680502376</v>
      </c>
      <c r="AM19" s="23">
        <f t="shared" si="10"/>
        <v>1.1006061696103606</v>
      </c>
      <c r="AN19" s="174"/>
    </row>
    <row r="20" spans="1:45">
      <c r="A20" s="196"/>
      <c r="B20" s="2" t="s">
        <v>237</v>
      </c>
      <c r="C20" s="2">
        <v>0.37280000000000002</v>
      </c>
      <c r="D20" s="40">
        <f>C20*('Análisis sólidos'!F12/100)</f>
        <v>0.30524579317206646</v>
      </c>
      <c r="E20" s="31">
        <v>83779</v>
      </c>
      <c r="F20" s="31">
        <v>11367</v>
      </c>
      <c r="G20" s="31">
        <v>0</v>
      </c>
      <c r="H20" s="31">
        <v>0</v>
      </c>
      <c r="I20" s="45">
        <f t="shared" si="0"/>
        <v>0.39816180343410934</v>
      </c>
      <c r="J20" s="18">
        <f t="shared" si="1"/>
        <v>8.76797422692107E-2</v>
      </c>
      <c r="K20" s="18">
        <v>0</v>
      </c>
      <c r="L20" s="18">
        <v>0</v>
      </c>
      <c r="M20" s="17">
        <f t="shared" si="3"/>
        <v>36.407867080328586</v>
      </c>
      <c r="N20" s="17">
        <f t="shared" si="4"/>
        <v>7.3128439322545402</v>
      </c>
      <c r="O20" s="17">
        <f t="shared" si="5"/>
        <v>0</v>
      </c>
      <c r="P20" s="17">
        <f t="shared" si="6"/>
        <v>0</v>
      </c>
      <c r="Q20" s="17">
        <f t="shared" si="7"/>
        <v>43.720711012583124</v>
      </c>
      <c r="R20" s="23">
        <f t="shared" si="8"/>
        <v>11.927393561098331</v>
      </c>
      <c r="S20" s="23">
        <f t="shared" si="9"/>
        <v>2.3957230847510171</v>
      </c>
      <c r="T20" s="23">
        <f t="shared" si="13"/>
        <v>17.19142912289967</v>
      </c>
      <c r="U20" s="174"/>
      <c r="Y20" s="196"/>
      <c r="Z20" s="30" t="s">
        <v>237</v>
      </c>
      <c r="AA20" s="31">
        <v>38655</v>
      </c>
      <c r="AB20" s="31">
        <v>30505</v>
      </c>
      <c r="AC20" s="210"/>
      <c r="AD20" s="31">
        <v>21550</v>
      </c>
      <c r="AE20" s="45">
        <f t="shared" si="16"/>
        <v>2.0010358509779138</v>
      </c>
      <c r="AF20" s="18">
        <f t="shared" si="17"/>
        <v>1.7451868321346735</v>
      </c>
      <c r="AG20" s="216"/>
      <c r="AH20" s="18">
        <f t="shared" si="18"/>
        <v>1.2727291543343004</v>
      </c>
      <c r="AI20" s="23">
        <f>AE20*Experimentos!R40</f>
        <v>437.86666491098708</v>
      </c>
      <c r="AJ20" s="23">
        <f>AF20*Experimentos!R40</f>
        <v>381.88178260770923</v>
      </c>
      <c r="AK20" s="147"/>
      <c r="AL20" s="23">
        <f>AH20*Experimentos!$R$40</f>
        <v>278.49859355143161</v>
      </c>
      <c r="AM20" s="23">
        <f t="shared" si="10"/>
        <v>1.0982470410701279</v>
      </c>
      <c r="AN20" s="174"/>
    </row>
    <row r="21" spans="1:45">
      <c r="A21" s="196" t="s">
        <v>35</v>
      </c>
      <c r="B21" s="2" t="s">
        <v>236</v>
      </c>
      <c r="C21" s="2">
        <v>0.30980000000000002</v>
      </c>
      <c r="D21" s="40">
        <f>C21*('Análisis sólidos'!F13/100)</f>
        <v>0.28598378983810208</v>
      </c>
      <c r="E21" s="31">
        <v>58120</v>
      </c>
      <c r="F21" s="31">
        <v>24185</v>
      </c>
      <c r="G21" s="31">
        <v>0</v>
      </c>
      <c r="H21" s="31">
        <v>0</v>
      </c>
      <c r="I21" s="45">
        <f t="shared" si="0"/>
        <v>0.28553934478036447</v>
      </c>
      <c r="J21" s="18">
        <f t="shared" si="1"/>
        <v>0.14584159538988589</v>
      </c>
      <c r="K21" s="18">
        <v>0</v>
      </c>
      <c r="L21" s="18">
        <f t="shared" ref="L21:L44" si="19">(H21-$M$50)/$L$50</f>
        <v>3.8065926241757156E-2</v>
      </c>
      <c r="M21" s="17">
        <f t="shared" si="3"/>
        <v>26.109683101955333</v>
      </c>
      <c r="N21" s="17">
        <f t="shared" si="4"/>
        <v>12.163776926289653</v>
      </c>
      <c r="O21" s="17">
        <f t="shared" si="5"/>
        <v>0</v>
      </c>
      <c r="P21" s="17">
        <f t="shared" si="6"/>
        <v>7.0593143928791813</v>
      </c>
      <c r="Q21" s="17">
        <f t="shared" si="7"/>
        <v>45.332774421124164</v>
      </c>
      <c r="R21" s="23">
        <f t="shared" si="8"/>
        <v>9.1297772914808402</v>
      </c>
      <c r="S21" s="23">
        <f t="shared" si="9"/>
        <v>4.2533099282220412</v>
      </c>
      <c r="T21" s="23">
        <f>(Q21/D21)/10</f>
        <v>15.851518873425466</v>
      </c>
      <c r="U21" s="174">
        <f t="shared" ref="U21" si="20">STDEV(T21:T24)</f>
        <v>1.4931759801363884</v>
      </c>
      <c r="Y21" s="196" t="s">
        <v>35</v>
      </c>
      <c r="Z21" s="30" t="s">
        <v>236</v>
      </c>
      <c r="AA21" s="31">
        <v>20864</v>
      </c>
      <c r="AB21" s="31">
        <v>815</v>
      </c>
      <c r="AC21" s="210"/>
      <c r="AD21" s="31">
        <v>18025</v>
      </c>
      <c r="AE21" s="45">
        <f t="shared" si="16"/>
        <v>1.2201534463991011</v>
      </c>
      <c r="AF21" s="18">
        <f t="shared" si="17"/>
        <v>0.39799895637180388</v>
      </c>
      <c r="AG21" s="216"/>
      <c r="AH21" s="18">
        <f t="shared" si="18"/>
        <v>1.1268105293223993</v>
      </c>
      <c r="AI21" s="23">
        <f>AE21*Experimentos!R41</f>
        <v>268.92181958636189</v>
      </c>
      <c r="AJ21" s="23">
        <f>AF21*Experimentos!R41</f>
        <v>87.718969984345577</v>
      </c>
      <c r="AK21" s="147"/>
      <c r="AL21" s="23">
        <f>AH21*Experimentos!$R$41</f>
        <v>248.34904066265682</v>
      </c>
      <c r="AM21" s="23">
        <f t="shared" si="10"/>
        <v>0.60498983023336428</v>
      </c>
      <c r="AN21" s="174">
        <f>STDEV(AM21,AM23:AM24)</f>
        <v>1.6052777736507391E-2</v>
      </c>
    </row>
    <row r="22" spans="1:45">
      <c r="A22" s="196"/>
      <c r="B22" s="2" t="s">
        <v>237</v>
      </c>
      <c r="C22" s="2">
        <v>0.31919999999999998</v>
      </c>
      <c r="D22" s="40">
        <f>C22*('Análisis sólidos'!F13/100)</f>
        <v>0.29466115466856735</v>
      </c>
      <c r="E22" s="31">
        <v>62966</v>
      </c>
      <c r="F22" s="31">
        <v>24491</v>
      </c>
      <c r="G22" s="31">
        <v>0</v>
      </c>
      <c r="H22" s="31">
        <v>0</v>
      </c>
      <c r="I22" s="45">
        <f t="shared" si="0"/>
        <v>0.30680940342006391</v>
      </c>
      <c r="J22" s="18">
        <f t="shared" si="1"/>
        <v>0.14723007464210358</v>
      </c>
      <c r="K22" s="18">
        <v>0</v>
      </c>
      <c r="L22" s="18">
        <f t="shared" si="19"/>
        <v>3.8065926241757156E-2</v>
      </c>
      <c r="M22" s="17">
        <f t="shared" si="3"/>
        <v>28.054614687722388</v>
      </c>
      <c r="N22" s="17">
        <f t="shared" si="4"/>
        <v>12.279581692725506</v>
      </c>
      <c r="O22" s="17">
        <f t="shared" si="5"/>
        <v>0</v>
      </c>
      <c r="P22" s="17">
        <f t="shared" si="6"/>
        <v>7.0593143928791813</v>
      </c>
      <c r="Q22" s="17">
        <f t="shared" si="7"/>
        <v>47.393510773327073</v>
      </c>
      <c r="R22" s="23">
        <f t="shared" si="8"/>
        <v>9.5209749379004531</v>
      </c>
      <c r="S22" s="23">
        <f t="shared" si="9"/>
        <v>4.1673568090566562</v>
      </c>
      <c r="T22" s="23">
        <f t="shared" si="13"/>
        <v>16.572096901071543</v>
      </c>
      <c r="U22" s="174"/>
      <c r="Y22" s="196"/>
      <c r="Z22" s="30" t="s">
        <v>237</v>
      </c>
      <c r="AA22" s="31">
        <v>21389</v>
      </c>
      <c r="AB22" s="31">
        <v>903</v>
      </c>
      <c r="AC22" s="210"/>
      <c r="AD22" s="31">
        <v>18685</v>
      </c>
      <c r="AE22" s="45">
        <f t="shared" si="16"/>
        <v>1.2431967414586187</v>
      </c>
      <c r="AF22" s="18">
        <f t="shared" si="17"/>
        <v>0.40199196860040376</v>
      </c>
      <c r="AG22" s="216"/>
      <c r="AH22" s="18">
        <f t="shared" si="18"/>
        <v>1.1541314633671809</v>
      </c>
      <c r="AI22" s="69">
        <f>AE22*Experimentos!R41</f>
        <v>274.00056181747959</v>
      </c>
      <c r="AJ22" s="69">
        <f>AF22*Experimentos!R41</f>
        <v>88.599029879528985</v>
      </c>
      <c r="AK22" s="147"/>
      <c r="AL22" s="23">
        <f>AH22*Experimentos!$R$41</f>
        <v>254.37057452612666</v>
      </c>
      <c r="AM22" s="69">
        <f t="shared" si="10"/>
        <v>0.61697016622313527</v>
      </c>
      <c r="AN22" s="174"/>
      <c r="AP22" s="203" t="s">
        <v>113</v>
      </c>
      <c r="AQ22" s="203"/>
      <c r="AR22" s="203"/>
      <c r="AS22" s="203"/>
    </row>
    <row r="23" spans="1:45">
      <c r="A23" s="196" t="s">
        <v>36</v>
      </c>
      <c r="B23" s="2" t="s">
        <v>236</v>
      </c>
      <c r="C23" s="2">
        <v>0.30769999999999997</v>
      </c>
      <c r="D23" s="40">
        <f>C23*('Análisis sólidos'!F14/100)</f>
        <v>0.29104087310079174</v>
      </c>
      <c r="E23" s="31">
        <v>51910</v>
      </c>
      <c r="F23" s="31">
        <v>23793</v>
      </c>
      <c r="G23" s="31">
        <v>0</v>
      </c>
      <c r="H23" s="31">
        <v>0</v>
      </c>
      <c r="I23" s="45">
        <f t="shared" si="0"/>
        <v>0.25828241862424944</v>
      </c>
      <c r="J23" s="18">
        <f t="shared" si="1"/>
        <v>0.14406288994260044</v>
      </c>
      <c r="K23" s="18">
        <v>0</v>
      </c>
      <c r="L23" s="18">
        <f t="shared" si="19"/>
        <v>3.8065926241757156E-2</v>
      </c>
      <c r="M23" s="17">
        <f t="shared" si="3"/>
        <v>23.617313075621578</v>
      </c>
      <c r="N23" s="17">
        <f t="shared" si="4"/>
        <v>12.01542572222804</v>
      </c>
      <c r="O23" s="17">
        <f t="shared" si="5"/>
        <v>0</v>
      </c>
      <c r="P23" s="17">
        <f t="shared" si="6"/>
        <v>7.0593143928791813</v>
      </c>
      <c r="Q23" s="17">
        <f t="shared" si="7"/>
        <v>42.692053190728799</v>
      </c>
      <c r="R23" s="23">
        <f t="shared" si="8"/>
        <v>8.11477536608494</v>
      </c>
      <c r="S23" s="23">
        <f t="shared" si="9"/>
        <v>4.1284324068348024</v>
      </c>
      <c r="T23" s="23">
        <f>(Q23/D23)/10</f>
        <v>14.668748322488682</v>
      </c>
      <c r="U23" s="174"/>
      <c r="Y23" s="196" t="s">
        <v>36</v>
      </c>
      <c r="Z23" s="30" t="s">
        <v>236</v>
      </c>
      <c r="AA23" s="31">
        <v>22618</v>
      </c>
      <c r="AB23" s="31">
        <v>1056</v>
      </c>
      <c r="AC23" s="210"/>
      <c r="AD23" s="31">
        <v>19085</v>
      </c>
      <c r="AE23" s="45">
        <f t="shared" si="16"/>
        <v>1.2971399978931843</v>
      </c>
      <c r="AF23" s="18">
        <f t="shared" si="17"/>
        <v>0.40893436486149237</v>
      </c>
      <c r="AG23" s="216"/>
      <c r="AH23" s="18">
        <f t="shared" si="18"/>
        <v>1.1706896052125031</v>
      </c>
      <c r="AI23" s="69">
        <f>AE23*Experimentos!R42</f>
        <v>286.77171073422522</v>
      </c>
      <c r="AJ23" s="69">
        <f>AF23*Experimentos!R42</f>
        <v>90.407209383578746</v>
      </c>
      <c r="AK23" s="147"/>
      <c r="AL23" s="23">
        <f>AH23*Experimentos!$R$42</f>
        <v>258.81605792038022</v>
      </c>
      <c r="AM23" s="69">
        <f t="shared" si="10"/>
        <v>0.63599497803818417</v>
      </c>
      <c r="AN23" s="174"/>
      <c r="AP23" s="203" t="s">
        <v>114</v>
      </c>
      <c r="AQ23" s="203"/>
      <c r="AR23" s="203"/>
      <c r="AS23" s="203"/>
    </row>
    <row r="24" spans="1:45">
      <c r="A24" s="196"/>
      <c r="B24" s="2" t="s">
        <v>237</v>
      </c>
      <c r="C24" s="2">
        <v>0.35049999999999998</v>
      </c>
      <c r="D24" s="40">
        <f>C24*('Análisis sólidos'!F14/100)</f>
        <v>0.33152364647977739</v>
      </c>
      <c r="E24" s="31">
        <v>77226</v>
      </c>
      <c r="F24" s="31">
        <v>24396</v>
      </c>
      <c r="G24" s="31">
        <v>0</v>
      </c>
      <c r="H24" s="31">
        <v>0</v>
      </c>
      <c r="I24" s="45">
        <f t="shared" si="0"/>
        <v>0.36939938200077249</v>
      </c>
      <c r="J24" s="18">
        <f t="shared" si="1"/>
        <v>0.14679901082197064</v>
      </c>
      <c r="K24" s="18">
        <v>0</v>
      </c>
      <c r="L24" s="18">
        <f t="shared" si="19"/>
        <v>3.8065926241757156E-2</v>
      </c>
      <c r="M24" s="17">
        <f t="shared" si="3"/>
        <v>33.777834748192504</v>
      </c>
      <c r="N24" s="17">
        <f t="shared" si="4"/>
        <v>12.243629232557511</v>
      </c>
      <c r="O24" s="17">
        <f t="shared" si="5"/>
        <v>0</v>
      </c>
      <c r="P24" s="17">
        <f t="shared" si="6"/>
        <v>7.0593143928791813</v>
      </c>
      <c r="Q24" s="17">
        <f t="shared" si="7"/>
        <v>53.080778373629194</v>
      </c>
      <c r="R24" s="23">
        <f t="shared" si="8"/>
        <v>10.188665305433323</v>
      </c>
      <c r="S24" s="23">
        <f t="shared" si="9"/>
        <v>3.6931390453031709</v>
      </c>
      <c r="T24" s="23">
        <f t="shared" si="13"/>
        <v>18.238255612725069</v>
      </c>
      <c r="U24" s="174"/>
      <c r="Y24" s="196"/>
      <c r="Z24" s="30" t="s">
        <v>237</v>
      </c>
      <c r="AA24" s="31">
        <v>21895</v>
      </c>
      <c r="AB24" s="31">
        <v>1121</v>
      </c>
      <c r="AC24" s="210"/>
      <c r="AD24" s="31">
        <v>18875</v>
      </c>
      <c r="AE24" s="45">
        <f t="shared" si="16"/>
        <v>1.2654060886969345</v>
      </c>
      <c r="AF24" s="18">
        <f t="shared" si="17"/>
        <v>0.41188374889398094</v>
      </c>
      <c r="AG24" s="216"/>
      <c r="AH24" s="18">
        <f t="shared" si="18"/>
        <v>1.1619965807437089</v>
      </c>
      <c r="AI24" s="69">
        <f>AE24*Experimentos!R42</f>
        <v>279.75597808911829</v>
      </c>
      <c r="AJ24" s="69">
        <f>AF24*Experimentos!R42</f>
        <v>91.059259205481311</v>
      </c>
      <c r="AK24" s="147"/>
      <c r="AL24" s="23">
        <f>AH24*Experimentos!$R$42</f>
        <v>256.89420407081917</v>
      </c>
      <c r="AM24" s="69">
        <f t="shared" si="10"/>
        <v>0.62770944136541884</v>
      </c>
      <c r="AN24" s="174"/>
    </row>
    <row r="25" spans="1:45">
      <c r="A25" s="196" t="s">
        <v>39</v>
      </c>
      <c r="B25" s="2" t="s">
        <v>236</v>
      </c>
      <c r="C25" s="2">
        <v>0.31419999999999998</v>
      </c>
      <c r="D25" s="40">
        <f>C25*('Análisis sólidos'!F15/100)</f>
        <v>0.29413624432105023</v>
      </c>
      <c r="E25" s="31">
        <v>35560</v>
      </c>
      <c r="F25" s="31">
        <v>21589</v>
      </c>
      <c r="G25" s="31">
        <v>0</v>
      </c>
      <c r="H25" s="31">
        <v>0</v>
      </c>
      <c r="I25" s="45">
        <f t="shared" si="0"/>
        <v>0.18651901401032339</v>
      </c>
      <c r="J25" s="18">
        <f t="shared" si="1"/>
        <v>0.13406220931551602</v>
      </c>
      <c r="K25" s="18">
        <v>0</v>
      </c>
      <c r="L25" s="18">
        <f t="shared" si="19"/>
        <v>3.8065926241757156E-2</v>
      </c>
      <c r="M25" s="17">
        <f t="shared" si="3"/>
        <v>17.055276049766999</v>
      </c>
      <c r="N25" s="17">
        <f t="shared" si="4"/>
        <v>11.181328646330599</v>
      </c>
      <c r="O25" s="17">
        <f t="shared" si="5"/>
        <v>0</v>
      </c>
      <c r="P25" s="17">
        <f t="shared" si="6"/>
        <v>7.0593143928791813</v>
      </c>
      <c r="Q25" s="17">
        <f t="shared" si="7"/>
        <v>35.295919088976781</v>
      </c>
      <c r="R25" s="23">
        <f t="shared" si="8"/>
        <v>5.7984272183577392</v>
      </c>
      <c r="S25" s="23">
        <f t="shared" si="9"/>
        <v>3.8014113738822877</v>
      </c>
      <c r="T25" s="23">
        <f>(Q25/D25)/10</f>
        <v>11.999853731201934</v>
      </c>
      <c r="U25" s="174">
        <f t="shared" ref="U25" si="21">STDEV(T25:T28)</f>
        <v>1.2837266171295545</v>
      </c>
      <c r="Y25" s="196" t="s">
        <v>39</v>
      </c>
      <c r="Z25" s="30" t="s">
        <v>236</v>
      </c>
      <c r="AA25" s="31">
        <v>26356</v>
      </c>
      <c r="AB25" s="206"/>
      <c r="AC25" s="210"/>
      <c r="AD25" s="31">
        <v>19286</v>
      </c>
      <c r="AE25" s="45">
        <f t="shared" si="16"/>
        <v>1.4612082587169493</v>
      </c>
      <c r="AF25" s="212"/>
      <c r="AG25" s="216"/>
      <c r="AH25" s="18">
        <f t="shared" si="18"/>
        <v>1.1790100714897775</v>
      </c>
      <c r="AI25" s="69">
        <f>AE25*Experimentos!R43</f>
        <v>295.92389655535658</v>
      </c>
      <c r="AJ25" s="218"/>
      <c r="AK25" s="147"/>
      <c r="AL25" s="23">
        <f>AH25*Experimentos!$R$43</f>
        <v>238.77311967810977</v>
      </c>
      <c r="AM25" s="69">
        <f t="shared" si="10"/>
        <v>0.53469701623346633</v>
      </c>
      <c r="AN25" s="174">
        <f>STDEV(AM25:AM26,AM28)</f>
        <v>8.1484036945076374E-3</v>
      </c>
    </row>
    <row r="26" spans="1:45">
      <c r="A26" s="196"/>
      <c r="B26" s="2" t="s">
        <v>237</v>
      </c>
      <c r="C26" s="2">
        <v>0.30349999999999999</v>
      </c>
      <c r="D26" s="40">
        <f>C26*('Análisis sólidos'!F15/100)</f>
        <v>0.28411951034830918</v>
      </c>
      <c r="E26" s="31">
        <v>57359</v>
      </c>
      <c r="F26" s="31">
        <v>19768</v>
      </c>
      <c r="G26" s="31">
        <v>0</v>
      </c>
      <c r="H26" s="31">
        <v>0</v>
      </c>
      <c r="I26" s="45">
        <f t="shared" si="0"/>
        <v>0.28219916429649916</v>
      </c>
      <c r="J26" s="18">
        <f t="shared" si="1"/>
        <v>0.12579939651065181</v>
      </c>
      <c r="K26" s="18">
        <v>0</v>
      </c>
      <c r="L26" s="18">
        <f t="shared" si="19"/>
        <v>3.8065926241757156E-2</v>
      </c>
      <c r="M26" s="17">
        <f t="shared" si="3"/>
        <v>25.804257403076111</v>
      </c>
      <c r="N26" s="17">
        <f t="shared" si="4"/>
        <v>10.492176751952542</v>
      </c>
      <c r="O26" s="17">
        <f t="shared" si="5"/>
        <v>0</v>
      </c>
      <c r="P26" s="17">
        <f t="shared" si="6"/>
        <v>7.0593143928791813</v>
      </c>
      <c r="Q26" s="17">
        <f t="shared" si="7"/>
        <v>43.35574854790783</v>
      </c>
      <c r="R26" s="23">
        <f t="shared" si="8"/>
        <v>9.0821842440323888</v>
      </c>
      <c r="S26" s="23">
        <f t="shared" si="9"/>
        <v>3.6928744312877071</v>
      </c>
      <c r="T26" s="23">
        <f t="shared" si="13"/>
        <v>14.740022484473201</v>
      </c>
      <c r="U26" s="174"/>
      <c r="Y26" s="196"/>
      <c r="Z26" s="30" t="s">
        <v>237</v>
      </c>
      <c r="AA26" s="31">
        <v>26272</v>
      </c>
      <c r="AB26" s="207"/>
      <c r="AC26" s="210"/>
      <c r="AD26" s="31">
        <v>18960</v>
      </c>
      <c r="AE26" s="45">
        <f t="shared" si="16"/>
        <v>1.4575213315074265</v>
      </c>
      <c r="AF26" s="213"/>
      <c r="AG26" s="216"/>
      <c r="AH26" s="18">
        <f t="shared" si="18"/>
        <v>1.1655151858858399</v>
      </c>
      <c r="AI26" s="69">
        <f>AE26*Experimentos!R43</f>
        <v>295.17722005688404</v>
      </c>
      <c r="AJ26" s="219"/>
      <c r="AK26" s="147"/>
      <c r="AL26" s="23">
        <f>AH26*Experimentos!$R$43</f>
        <v>236.0401354456003</v>
      </c>
      <c r="AM26" s="69">
        <f t="shared" si="10"/>
        <v>0.53121735550248439</v>
      </c>
      <c r="AN26" s="174"/>
      <c r="AP26" s="203" t="s">
        <v>113</v>
      </c>
      <c r="AQ26" s="203"/>
      <c r="AR26" s="203"/>
      <c r="AS26" s="203"/>
    </row>
    <row r="27" spans="1:45">
      <c r="A27" s="196" t="s">
        <v>42</v>
      </c>
      <c r="B27" s="2" t="s">
        <v>236</v>
      </c>
      <c r="C27" s="2">
        <v>0.3301</v>
      </c>
      <c r="D27" s="40">
        <f>C27*('Análisis sólidos'!F16/100)</f>
        <v>0.29917836028812167</v>
      </c>
      <c r="E27" s="31">
        <v>37809</v>
      </c>
      <c r="F27" s="31">
        <v>22603</v>
      </c>
      <c r="G27" s="31">
        <v>0</v>
      </c>
      <c r="H27" s="31">
        <v>0</v>
      </c>
      <c r="I27" s="45">
        <f t="shared" si="0"/>
        <v>0.19639032269391482</v>
      </c>
      <c r="J27" s="18">
        <f t="shared" si="1"/>
        <v>0.13866324840619823</v>
      </c>
      <c r="K27" s="18">
        <v>0</v>
      </c>
      <c r="L27" s="18">
        <f t="shared" si="19"/>
        <v>3.8065926241757156E-2</v>
      </c>
      <c r="M27" s="17">
        <f t="shared" si="3"/>
        <v>17.957907320173536</v>
      </c>
      <c r="N27" s="17">
        <f t="shared" si="4"/>
        <v>11.565073852755283</v>
      </c>
      <c r="O27" s="17">
        <f t="shared" si="5"/>
        <v>0</v>
      </c>
      <c r="P27" s="17">
        <f t="shared" si="6"/>
        <v>7.0593143928791813</v>
      </c>
      <c r="Q27" s="17">
        <f t="shared" si="7"/>
        <v>36.582295565808003</v>
      </c>
      <c r="R27" s="23">
        <f t="shared" si="8"/>
        <v>6.002408497352314</v>
      </c>
      <c r="S27" s="23">
        <f t="shared" si="9"/>
        <v>3.8656117513371013</v>
      </c>
      <c r="T27" s="23">
        <f>(Q27/D27)/10</f>
        <v>12.22758742663663</v>
      </c>
      <c r="U27" s="174"/>
      <c r="Y27" s="196" t="s">
        <v>42</v>
      </c>
      <c r="Z27" s="30" t="s">
        <v>236</v>
      </c>
      <c r="AA27" s="31">
        <v>24689</v>
      </c>
      <c r="AB27" s="207"/>
      <c r="AC27" s="210"/>
      <c r="AD27" s="31">
        <v>18120</v>
      </c>
      <c r="AE27" s="45">
        <f t="shared" si="16"/>
        <v>1.3880403104041574</v>
      </c>
      <c r="AF27" s="213"/>
      <c r="AG27" s="216"/>
      <c r="AH27" s="18">
        <f t="shared" si="18"/>
        <v>1.1307430880106635</v>
      </c>
      <c r="AI27" s="69">
        <f>AE27*Experimentos!R44</f>
        <v>282.10531268654097</v>
      </c>
      <c r="AJ27" s="219"/>
      <c r="AK27" s="147"/>
      <c r="AL27" s="23">
        <f>AH27*Experimentos!$R$44</f>
        <v>229.81222520728724</v>
      </c>
      <c r="AM27" s="69">
        <f t="shared" si="10"/>
        <v>0.51191753789382821</v>
      </c>
      <c r="AN27" s="174"/>
      <c r="AP27" s="203" t="s">
        <v>326</v>
      </c>
      <c r="AQ27" s="203"/>
      <c r="AR27" s="203"/>
      <c r="AS27" s="203"/>
    </row>
    <row r="28" spans="1:45">
      <c r="A28" s="196"/>
      <c r="B28" s="2" t="s">
        <v>237</v>
      </c>
      <c r="C28" s="2">
        <v>0.34079999999999999</v>
      </c>
      <c r="D28" s="40">
        <f>C28*('Análisis sólidos'!F16/100)</f>
        <v>0.30887605327534645</v>
      </c>
      <c r="E28" s="31">
        <v>50191</v>
      </c>
      <c r="F28" s="31">
        <v>20653</v>
      </c>
      <c r="G28" s="31">
        <v>0</v>
      </c>
      <c r="H28" s="31">
        <v>0</v>
      </c>
      <c r="I28" s="45">
        <f t="shared" si="0"/>
        <v>0.25073738544190455</v>
      </c>
      <c r="J28" s="18">
        <f t="shared" si="1"/>
        <v>0.12981509630873245</v>
      </c>
      <c r="K28" s="18">
        <v>0</v>
      </c>
      <c r="L28" s="18">
        <f t="shared" si="19"/>
        <v>3.8065926241757156E-2</v>
      </c>
      <c r="M28" s="17">
        <f t="shared" si="3"/>
        <v>22.927396155288609</v>
      </c>
      <c r="N28" s="17">
        <f t="shared" si="4"/>
        <v>10.827102301938583</v>
      </c>
      <c r="O28" s="17">
        <f t="shared" si="5"/>
        <v>0</v>
      </c>
      <c r="P28" s="17">
        <f t="shared" si="6"/>
        <v>7.0593143928791813</v>
      </c>
      <c r="Q28" s="17">
        <f t="shared" si="7"/>
        <v>40.813812850106373</v>
      </c>
      <c r="R28" s="23">
        <f t="shared" si="8"/>
        <v>7.4228467737024797</v>
      </c>
      <c r="S28" s="23">
        <f t="shared" si="9"/>
        <v>3.5053226649094746</v>
      </c>
      <c r="T28" s="23">
        <f t="shared" si="13"/>
        <v>13.641966889183063</v>
      </c>
      <c r="U28" s="174"/>
      <c r="Y28" s="196"/>
      <c r="Z28" s="30" t="s">
        <v>237</v>
      </c>
      <c r="AA28" s="31">
        <v>25202</v>
      </c>
      <c r="AB28" s="207"/>
      <c r="AC28" s="210"/>
      <c r="AD28" s="31">
        <v>18438</v>
      </c>
      <c r="AE28" s="45">
        <f t="shared" si="16"/>
        <v>1.4105569015766004</v>
      </c>
      <c r="AF28" s="213"/>
      <c r="AG28" s="216"/>
      <c r="AH28" s="18">
        <f t="shared" si="18"/>
        <v>1.1439068107776946</v>
      </c>
      <c r="AI28" s="23">
        <f>AE28*Experimentos!R44</f>
        <v>286.68158467642826</v>
      </c>
      <c r="AJ28" s="219"/>
      <c r="AK28" s="147"/>
      <c r="AL28" s="23">
        <f>AH28*Experimentos!$R$44</f>
        <v>232.48762022245867</v>
      </c>
      <c r="AM28" s="23">
        <f t="shared" si="10"/>
        <v>0.51916920489888696</v>
      </c>
      <c r="AN28" s="174"/>
    </row>
    <row r="29" spans="1:45">
      <c r="A29" s="196" t="s">
        <v>45</v>
      </c>
      <c r="B29" s="2" t="s">
        <v>236</v>
      </c>
      <c r="C29" s="2">
        <v>0.30719999999999997</v>
      </c>
      <c r="D29" s="40">
        <f>C29*('Análisis sólidos'!F17/100)</f>
        <v>0.30368757047262773</v>
      </c>
      <c r="E29" s="31">
        <v>54444</v>
      </c>
      <c r="F29" s="31">
        <v>42749</v>
      </c>
      <c r="G29" s="31">
        <v>0</v>
      </c>
      <c r="H29" s="31">
        <v>0</v>
      </c>
      <c r="I29" s="45">
        <f t="shared" si="0"/>
        <v>0.26940464903964323</v>
      </c>
      <c r="J29" s="18">
        <f t="shared" si="1"/>
        <v>0.23007600335776029</v>
      </c>
      <c r="K29" s="18">
        <v>0</v>
      </c>
      <c r="L29" s="18">
        <f t="shared" si="19"/>
        <v>3.8065926241757156E-2</v>
      </c>
      <c r="M29" s="17">
        <f t="shared" si="3"/>
        <v>24.634328477671456</v>
      </c>
      <c r="N29" s="17">
        <f t="shared" si="4"/>
        <v>19.189266090064645</v>
      </c>
      <c r="O29" s="17">
        <f t="shared" si="5"/>
        <v>0</v>
      </c>
      <c r="P29" s="17">
        <f t="shared" si="6"/>
        <v>7.0593143928791813</v>
      </c>
      <c r="Q29" s="17">
        <f t="shared" si="7"/>
        <v>50.882908960615282</v>
      </c>
      <c r="R29" s="23">
        <f t="shared" si="8"/>
        <v>8.1117341876498763</v>
      </c>
      <c r="S29" s="23">
        <f t="shared" si="9"/>
        <v>6.3187525456509359</v>
      </c>
      <c r="T29" s="23">
        <f>(Q29/D29)/10</f>
        <v>16.755018613842644</v>
      </c>
      <c r="U29" s="174">
        <f t="shared" ref="U29" si="22">STDEV(T29:T32)</f>
        <v>0.78813122544441594</v>
      </c>
      <c r="Y29" s="196" t="s">
        <v>45</v>
      </c>
      <c r="Z29" s="30" t="s">
        <v>236</v>
      </c>
      <c r="AA29" s="31">
        <f>131624+190756</f>
        <v>322380</v>
      </c>
      <c r="AB29" s="207"/>
      <c r="AC29" s="210"/>
      <c r="AD29" s="31">
        <v>59779</v>
      </c>
      <c r="AE29" s="45">
        <f t="shared" ref="AE29:AE40" si="23">(AA29-$D$50)/$C$50</f>
        <v>1.4454290881000036</v>
      </c>
      <c r="AF29" s="213"/>
      <c r="AG29" s="216"/>
      <c r="AH29" s="18">
        <f t="shared" ref="AH29:AH40" si="24">(AD29-$M$50)/$L$50</f>
        <v>0.28552321658463486</v>
      </c>
      <c r="AI29" s="23">
        <f>AE29*Experimentos!R45</f>
        <v>304.91326613469573</v>
      </c>
      <c r="AJ29" s="219"/>
      <c r="AK29" s="147"/>
      <c r="AL29" s="23">
        <f>AH29*Experimentos!R45</f>
        <v>60.231122538528723</v>
      </c>
      <c r="AM29" s="23">
        <f t="shared" si="10"/>
        <v>0.36514438867322446</v>
      </c>
      <c r="AN29" s="174">
        <f t="shared" ref="AN29" si="25">STDEV(AM29:AM32)</f>
        <v>4.1046918917441218E-3</v>
      </c>
    </row>
    <row r="30" spans="1:45">
      <c r="A30" s="196"/>
      <c r="B30" s="2" t="s">
        <v>237</v>
      </c>
      <c r="C30" s="2">
        <v>0.32519999999999999</v>
      </c>
      <c r="D30" s="40">
        <f>C30*('Análisis sólidos'!F17/100)</f>
        <v>0.32148176405500828</v>
      </c>
      <c r="E30" s="31">
        <v>66316</v>
      </c>
      <c r="F30" s="31">
        <v>40173</v>
      </c>
      <c r="G30" s="31">
        <v>0</v>
      </c>
      <c r="H30" s="31">
        <v>0</v>
      </c>
      <c r="I30" s="45">
        <f t="shared" si="0"/>
        <v>0.32151322026756557</v>
      </c>
      <c r="J30" s="18">
        <f t="shared" si="1"/>
        <v>0.21838736756131316</v>
      </c>
      <c r="K30" s="18">
        <v>0</v>
      </c>
      <c r="L30" s="18">
        <f t="shared" si="19"/>
        <v>3.8065926241757156E-2</v>
      </c>
      <c r="M30" s="17">
        <f t="shared" si="3"/>
        <v>29.399129919319506</v>
      </c>
      <c r="N30" s="17">
        <f t="shared" si="4"/>
        <v>18.214386749088327</v>
      </c>
      <c r="O30" s="17">
        <f t="shared" si="5"/>
        <v>0</v>
      </c>
      <c r="P30" s="17">
        <f t="shared" si="6"/>
        <v>7.0593143928791813</v>
      </c>
      <c r="Q30" s="17">
        <f t="shared" si="7"/>
        <v>54.672831061287013</v>
      </c>
      <c r="R30" s="23">
        <f t="shared" si="8"/>
        <v>9.1448826050018379</v>
      </c>
      <c r="S30" s="23">
        <f t="shared" si="9"/>
        <v>5.665760483375875</v>
      </c>
      <c r="T30" s="23">
        <f t="shared" si="13"/>
        <v>18.002986087379178</v>
      </c>
      <c r="U30" s="174"/>
      <c r="Y30" s="196"/>
      <c r="Z30" s="30" t="s">
        <v>237</v>
      </c>
      <c r="AA30" s="31">
        <f>130789+191075</f>
        <v>321864</v>
      </c>
      <c r="AB30" s="207"/>
      <c r="AC30" s="210"/>
      <c r="AD30" s="31">
        <v>59671</v>
      </c>
      <c r="AE30" s="45">
        <f t="shared" si="23"/>
        <v>1.4431642613855824</v>
      </c>
      <c r="AF30" s="213"/>
      <c r="AG30" s="216"/>
      <c r="AH30" s="18">
        <f t="shared" si="24"/>
        <v>0.28507614675481119</v>
      </c>
      <c r="AI30" s="23">
        <f>AE30*Experimentos!R45</f>
        <v>304.4355009392886</v>
      </c>
      <c r="AJ30" s="219"/>
      <c r="AK30" s="147"/>
      <c r="AL30" s="23">
        <f>AH30*Experimentos!R45</f>
        <v>60.136813157927413</v>
      </c>
      <c r="AM30" s="23">
        <f t="shared" si="10"/>
        <v>0.36457231409721602</v>
      </c>
      <c r="AN30" s="174"/>
      <c r="AP30" t="s">
        <v>327</v>
      </c>
    </row>
    <row r="31" spans="1:45">
      <c r="A31" s="196" t="s">
        <v>49</v>
      </c>
      <c r="B31" s="2" t="s">
        <v>236</v>
      </c>
      <c r="C31" s="2">
        <v>0.32250000000000001</v>
      </c>
      <c r="D31" s="40">
        <f>C31*('Análisis sólidos'!F18/100)</f>
        <v>0.31980903602197958</v>
      </c>
      <c r="E31" s="31">
        <v>57086</v>
      </c>
      <c r="F31" s="31">
        <v>43199</v>
      </c>
      <c r="G31" s="31">
        <v>0</v>
      </c>
      <c r="H31" s="31">
        <v>0</v>
      </c>
      <c r="I31" s="45">
        <f t="shared" si="0"/>
        <v>0.28100091295340424</v>
      </c>
      <c r="J31" s="18">
        <f t="shared" si="1"/>
        <v>0.23211788461102165</v>
      </c>
      <c r="K31" s="18">
        <v>0</v>
      </c>
      <c r="L31" s="18">
        <f t="shared" si="19"/>
        <v>3.8065926241757156E-2</v>
      </c>
      <c r="M31" s="17">
        <f t="shared" si="3"/>
        <v>25.694689445396701</v>
      </c>
      <c r="N31" s="17">
        <f t="shared" si="4"/>
        <v>19.359567217176195</v>
      </c>
      <c r="O31" s="17">
        <f t="shared" si="5"/>
        <v>0</v>
      </c>
      <c r="P31" s="17">
        <f t="shared" si="6"/>
        <v>7.0593143928791813</v>
      </c>
      <c r="Q31" s="17">
        <f t="shared" si="7"/>
        <v>52.113571055452077</v>
      </c>
      <c r="R31" s="23">
        <f t="shared" si="8"/>
        <v>8.0343850708554641</v>
      </c>
      <c r="S31" s="23">
        <f t="shared" si="9"/>
        <v>6.0534772431650952</v>
      </c>
      <c r="T31" s="23">
        <f>(Q31/D31)/10</f>
        <v>16.295215327146185</v>
      </c>
      <c r="U31" s="174"/>
      <c r="Y31" s="196" t="s">
        <v>49</v>
      </c>
      <c r="Z31" s="30" t="s">
        <v>236</v>
      </c>
      <c r="AA31" s="31">
        <f>130021+187843</f>
        <v>317864</v>
      </c>
      <c r="AB31" s="207"/>
      <c r="AC31" s="210"/>
      <c r="AD31" s="31">
        <v>59217</v>
      </c>
      <c r="AE31" s="45">
        <f t="shared" si="23"/>
        <v>1.4256074651497594</v>
      </c>
      <c r="AF31" s="213"/>
      <c r="AG31" s="216"/>
      <c r="AH31" s="18">
        <f t="shared" si="24"/>
        <v>0.28319679765536709</v>
      </c>
      <c r="AI31" s="23">
        <f>AE31*Experimentos!R46</f>
        <v>308.81508910074092</v>
      </c>
      <c r="AJ31" s="219"/>
      <c r="AK31" s="147"/>
      <c r="AL31" s="23">
        <f>AH31*Experimentos!R46</f>
        <v>61.346090308105623</v>
      </c>
      <c r="AM31" s="23">
        <f t="shared" si="10"/>
        <v>0.37016117940884652</v>
      </c>
      <c r="AN31" s="174"/>
      <c r="AP31" t="s">
        <v>328</v>
      </c>
    </row>
    <row r="32" spans="1:45">
      <c r="A32" s="196"/>
      <c r="B32" s="2" t="s">
        <v>237</v>
      </c>
      <c r="C32" s="2">
        <v>0.33069999999999999</v>
      </c>
      <c r="D32" s="40">
        <f>C32*('Análisis sólidos'!F18/100)</f>
        <v>0.32794061461230589</v>
      </c>
      <c r="E32" s="31">
        <v>59089</v>
      </c>
      <c r="F32" s="31">
        <v>41821</v>
      </c>
      <c r="G32" s="31">
        <v>0</v>
      </c>
      <c r="H32" s="31">
        <v>0</v>
      </c>
      <c r="I32" s="45">
        <f t="shared" si="0"/>
        <v>0.28979247866849256</v>
      </c>
      <c r="J32" s="18">
        <f t="shared" si="1"/>
        <v>0.22586519046214582</v>
      </c>
      <c r="K32" s="18">
        <v>0</v>
      </c>
      <c r="L32" s="18">
        <f t="shared" si="19"/>
        <v>3.8065926241757156E-2</v>
      </c>
      <c r="M32" s="17">
        <f t="shared" si="3"/>
        <v>26.498589149542681</v>
      </c>
      <c r="N32" s="17">
        <f t="shared" si="4"/>
        <v>18.838067321265726</v>
      </c>
      <c r="O32" s="17">
        <f t="shared" si="5"/>
        <v>0</v>
      </c>
      <c r="P32" s="17">
        <f t="shared" si="6"/>
        <v>7.0593143928791813</v>
      </c>
      <c r="Q32" s="17">
        <f t="shared" si="7"/>
        <v>52.395970863687587</v>
      </c>
      <c r="R32" s="23">
        <f t="shared" si="8"/>
        <v>8.0803011181977364</v>
      </c>
      <c r="S32" s="23">
        <f t="shared" si="9"/>
        <v>5.7443532401548509</v>
      </c>
      <c r="T32" s="23">
        <f t="shared" si="13"/>
        <v>16.383517962915395</v>
      </c>
      <c r="U32" s="174"/>
      <c r="Y32" s="196"/>
      <c r="Z32" s="30" t="s">
        <v>237</v>
      </c>
      <c r="AA32" s="31">
        <f>136582+183708</f>
        <v>320290</v>
      </c>
      <c r="AB32" s="207"/>
      <c r="AC32" s="210"/>
      <c r="AD32" s="31">
        <v>59945</v>
      </c>
      <c r="AE32" s="45">
        <f t="shared" si="23"/>
        <v>1.4362556620667861</v>
      </c>
      <c r="AF32" s="213"/>
      <c r="AG32" s="216"/>
      <c r="AH32" s="18">
        <f t="shared" si="24"/>
        <v>0.28621037947121575</v>
      </c>
      <c r="AI32" s="23">
        <f>AE32*Experimentos!R46</f>
        <v>311.12170151690719</v>
      </c>
      <c r="AJ32" s="219"/>
      <c r="AK32" s="147"/>
      <c r="AL32" s="23">
        <f>AH32*Experimentos!R46</f>
        <v>61.998892401054754</v>
      </c>
      <c r="AM32" s="23">
        <f t="shared" si="10"/>
        <v>0.37312059391796198</v>
      </c>
      <c r="AN32" s="174"/>
      <c r="AP32" t="s">
        <v>329</v>
      </c>
    </row>
    <row r="33" spans="1:42">
      <c r="A33" s="196" t="s">
        <v>50</v>
      </c>
      <c r="B33" s="2" t="s">
        <v>236</v>
      </c>
      <c r="C33" s="2">
        <v>0.33579999999999999</v>
      </c>
      <c r="D33" s="40">
        <f>C33*('Análisis sólidos'!F19/100)</f>
        <v>0.33331708839960555</v>
      </c>
      <c r="E33" s="31">
        <v>65477</v>
      </c>
      <c r="F33" s="31">
        <v>40808</v>
      </c>
      <c r="G33" s="31">
        <v>0</v>
      </c>
      <c r="H33" s="31">
        <v>0</v>
      </c>
      <c r="I33" s="45">
        <f t="shared" si="0"/>
        <v>0.3178306822571017</v>
      </c>
      <c r="J33" s="18">
        <f t="shared" si="1"/>
        <v>0.22126868888535972</v>
      </c>
      <c r="K33" s="18">
        <v>0</v>
      </c>
      <c r="L33" s="18">
        <f t="shared" si="19"/>
        <v>3.8065926241757156E-2</v>
      </c>
      <c r="M33" s="17">
        <f t="shared" si="3"/>
        <v>29.062399089674731</v>
      </c>
      <c r="N33" s="17">
        <f t="shared" si="4"/>
        <v>18.454700561790176</v>
      </c>
      <c r="O33" s="17">
        <f t="shared" si="5"/>
        <v>0</v>
      </c>
      <c r="P33" s="17">
        <f t="shared" si="6"/>
        <v>7.0593143928791813</v>
      </c>
      <c r="Q33" s="17">
        <f t="shared" si="7"/>
        <v>54.576414044344084</v>
      </c>
      <c r="R33" s="23">
        <f t="shared" si="8"/>
        <v>8.719144652683557</v>
      </c>
      <c r="S33" s="23">
        <f t="shared" si="9"/>
        <v>5.5366799975359484</v>
      </c>
      <c r="T33" s="23">
        <f>(Q33/D33)/10</f>
        <v>16.373722183398463</v>
      </c>
      <c r="U33" s="174">
        <f t="shared" ref="U33" si="26">STDEV(T33:T36)</f>
        <v>0.44612224991530552</v>
      </c>
      <c r="Y33" s="196" t="s">
        <v>50</v>
      </c>
      <c r="Z33" s="30" t="s">
        <v>236</v>
      </c>
      <c r="AA33" s="31">
        <f>136787+242144</f>
        <v>378931</v>
      </c>
      <c r="AB33" s="207"/>
      <c r="AC33" s="210"/>
      <c r="AD33" s="31">
        <v>73602</v>
      </c>
      <c r="AE33" s="45">
        <f t="shared" si="23"/>
        <v>1.6936426840830086</v>
      </c>
      <c r="AF33" s="213"/>
      <c r="AG33" s="216"/>
      <c r="AH33" s="18">
        <f t="shared" si="24"/>
        <v>0.34274401526660675</v>
      </c>
      <c r="AI33" s="23">
        <f>AE33*Experimentos!R47</f>
        <v>280.78902059412195</v>
      </c>
      <c r="AJ33" s="219"/>
      <c r="AK33" s="147"/>
      <c r="AL33" s="23">
        <f>AH33*Experimentos!R47</f>
        <v>56.82353029105073</v>
      </c>
      <c r="AM33" s="23">
        <f>SUM(AI33:AL33)/1000</f>
        <v>0.33761255088517272</v>
      </c>
      <c r="AN33" s="174">
        <f t="shared" ref="AN33" si="27">STDEV(AM33:AM36)</f>
        <v>1.3964495220134487E-2</v>
      </c>
      <c r="AP33" t="s">
        <v>330</v>
      </c>
    </row>
    <row r="34" spans="1:42">
      <c r="A34" s="196"/>
      <c r="B34" s="2" t="s">
        <v>237</v>
      </c>
      <c r="C34" s="2">
        <v>0.34760000000000002</v>
      </c>
      <c r="D34" s="40">
        <f>C34*('Análisis sólidos'!F19/100)</f>
        <v>0.34502983897469597</v>
      </c>
      <c r="E34" s="31">
        <v>68614</v>
      </c>
      <c r="F34" s="31">
        <v>42093</v>
      </c>
      <c r="G34" s="31">
        <v>0</v>
      </c>
      <c r="H34" s="31">
        <v>0</v>
      </c>
      <c r="I34" s="45">
        <f t="shared" si="0"/>
        <v>0.33159959970504582</v>
      </c>
      <c r="J34" s="18">
        <f t="shared" si="1"/>
        <v>0.22709939424189488</v>
      </c>
      <c r="K34" s="18">
        <v>0</v>
      </c>
      <c r="L34" s="18">
        <f t="shared" si="19"/>
        <v>3.8065926241757156E-2</v>
      </c>
      <c r="M34" s="17">
        <f t="shared" si="3"/>
        <v>30.321427233412091</v>
      </c>
      <c r="N34" s="17">
        <f t="shared" si="4"/>
        <v>18.941004891430925</v>
      </c>
      <c r="O34" s="17">
        <f t="shared" si="5"/>
        <v>0</v>
      </c>
      <c r="P34" s="17">
        <f t="shared" si="6"/>
        <v>7.0593143928791813</v>
      </c>
      <c r="Q34" s="17">
        <f t="shared" si="7"/>
        <v>56.321746517722197</v>
      </c>
      <c r="R34" s="23">
        <f t="shared" si="8"/>
        <v>8.7880594106053032</v>
      </c>
      <c r="S34" s="23">
        <f t="shared" si="9"/>
        <v>5.489671544848628</v>
      </c>
      <c r="T34" s="23">
        <f t="shared" si="13"/>
        <v>16.897347444184877</v>
      </c>
      <c r="U34" s="174"/>
      <c r="Y34" s="196"/>
      <c r="Z34" s="30" t="s">
        <v>237</v>
      </c>
      <c r="AA34" s="31">
        <f>140330+237242</f>
        <v>377572</v>
      </c>
      <c r="AB34" s="207"/>
      <c r="AC34" s="210"/>
      <c r="AD34" s="31">
        <v>73803</v>
      </c>
      <c r="AE34" s="45">
        <f t="shared" si="23"/>
        <v>1.6876777625618877</v>
      </c>
      <c r="AF34" s="213"/>
      <c r="AG34" s="216"/>
      <c r="AH34" s="18">
        <f t="shared" si="24"/>
        <v>0.34357606189433421</v>
      </c>
      <c r="AI34" s="23">
        <f>AE34*Experimentos!R47</f>
        <v>279.80009625513537</v>
      </c>
      <c r="AJ34" s="219"/>
      <c r="AK34" s="147"/>
      <c r="AL34" s="23">
        <f>AH34*Experimentos!R47</f>
        <v>56.961475301461668</v>
      </c>
      <c r="AM34" s="23">
        <f t="shared" si="10"/>
        <v>0.33676157155659708</v>
      </c>
      <c r="AN34" s="174"/>
      <c r="AP34" t="s">
        <v>331</v>
      </c>
    </row>
    <row r="35" spans="1:42">
      <c r="A35" s="196" t="s">
        <v>53</v>
      </c>
      <c r="B35" s="2" t="s">
        <v>236</v>
      </c>
      <c r="C35" s="2">
        <v>0.32800000000000001</v>
      </c>
      <c r="D35" s="40">
        <f>C35*('Análisis sólidos'!F20/100)</f>
        <v>0.31827595959595933</v>
      </c>
      <c r="E35" s="31">
        <v>63068</v>
      </c>
      <c r="F35" s="31">
        <v>41830</v>
      </c>
      <c r="G35" s="31">
        <v>0</v>
      </c>
      <c r="H35" s="31">
        <v>0</v>
      </c>
      <c r="I35" s="45">
        <f t="shared" si="0"/>
        <v>0.30725710172407739</v>
      </c>
      <c r="J35" s="18">
        <f t="shared" si="1"/>
        <v>0.22590602808721102</v>
      </c>
      <c r="K35" s="18">
        <v>0</v>
      </c>
      <c r="L35" s="18">
        <f t="shared" si="19"/>
        <v>3.8065926241757156E-2</v>
      </c>
      <c r="M35" s="17">
        <f t="shared" si="3"/>
        <v>28.095552166415793</v>
      </c>
      <c r="N35" s="17">
        <f t="shared" si="4"/>
        <v>18.841473343807955</v>
      </c>
      <c r="O35" s="17">
        <f t="shared" si="5"/>
        <v>0</v>
      </c>
      <c r="P35" s="17">
        <f t="shared" si="6"/>
        <v>7.0593143928791813</v>
      </c>
      <c r="Q35" s="17">
        <f t="shared" si="7"/>
        <v>53.996339903102928</v>
      </c>
      <c r="R35" s="23">
        <f t="shared" si="8"/>
        <v>8.8274188858254199</v>
      </c>
      <c r="S35" s="23">
        <f t="shared" si="9"/>
        <v>5.9198543828841412</v>
      </c>
      <c r="T35" s="23">
        <f>(Q35/D35)/10</f>
        <v>16.965258693006369</v>
      </c>
      <c r="U35" s="174"/>
      <c r="Y35" s="196" t="s">
        <v>53</v>
      </c>
      <c r="Z35" s="30" t="s">
        <v>236</v>
      </c>
      <c r="AA35" s="31">
        <f>138767+197506</f>
        <v>336273</v>
      </c>
      <c r="AB35" s="207"/>
      <c r="AC35" s="210"/>
      <c r="AD35" s="31">
        <v>61885</v>
      </c>
      <c r="AE35" s="45">
        <f t="shared" si="23"/>
        <v>1.5064082306260753</v>
      </c>
      <c r="AF35" s="213"/>
      <c r="AG35" s="216"/>
      <c r="AH35" s="18">
        <f t="shared" si="24"/>
        <v>0.29424107826619694</v>
      </c>
      <c r="AI35" s="23">
        <f>AE35*Experimentos!R48</f>
        <v>293.17716984444678</v>
      </c>
      <c r="AJ35" s="219"/>
      <c r="AK35" s="147"/>
      <c r="AL35" s="23">
        <f>AH35*Experimentos!R48</f>
        <v>57.26519865216725</v>
      </c>
      <c r="AM35" s="23">
        <f t="shared" si="10"/>
        <v>0.35044236849661403</v>
      </c>
      <c r="AN35" s="174"/>
      <c r="AP35" t="s">
        <v>332</v>
      </c>
    </row>
    <row r="36" spans="1:42">
      <c r="A36" s="196"/>
      <c r="B36" s="2" t="s">
        <v>237</v>
      </c>
      <c r="C36" s="2">
        <v>0.33510000000000001</v>
      </c>
      <c r="D36" s="40">
        <f>C36*('Análisis sólidos'!F20/100)</f>
        <v>0.32516546969696941</v>
      </c>
      <c r="E36" s="31">
        <v>56598</v>
      </c>
      <c r="F36" s="31">
        <v>52888</v>
      </c>
      <c r="G36" s="31">
        <v>0</v>
      </c>
      <c r="H36" s="31">
        <v>0</v>
      </c>
      <c r="I36" s="45">
        <f t="shared" si="0"/>
        <v>0.27885898381263385</v>
      </c>
      <c r="J36" s="18">
        <f t="shared" si="1"/>
        <v>0.27608185675068631</v>
      </c>
      <c r="K36" s="18">
        <v>0</v>
      </c>
      <c r="L36" s="18">
        <f t="shared" si="19"/>
        <v>3.8065926241757156E-2</v>
      </c>
      <c r="M36" s="17">
        <f t="shared" si="3"/>
        <v>25.498831704196885</v>
      </c>
      <c r="N36" s="17">
        <f t="shared" si="4"/>
        <v>23.026339707362354</v>
      </c>
      <c r="O36" s="17">
        <f t="shared" si="5"/>
        <v>0</v>
      </c>
      <c r="P36" s="17">
        <f t="shared" si="6"/>
        <v>7.0593143928791813</v>
      </c>
      <c r="Q36" s="17">
        <f t="shared" si="7"/>
        <v>55.584485804438422</v>
      </c>
      <c r="R36" s="23">
        <f t="shared" si="8"/>
        <v>7.8418018149220901</v>
      </c>
      <c r="S36" s="23">
        <f t="shared" si="9"/>
        <v>7.081422184471565</v>
      </c>
      <c r="T36" s="23">
        <f>(Q36/D35)/10</f>
        <v>17.464242626116363</v>
      </c>
      <c r="U36" s="174"/>
      <c r="Y36" s="196"/>
      <c r="Z36" s="30" t="s">
        <v>237</v>
      </c>
      <c r="AA36" s="31">
        <f>146784+206566</f>
        <v>353350</v>
      </c>
      <c r="AB36" s="207"/>
      <c r="AC36" s="210"/>
      <c r="AD36" s="31">
        <v>63800</v>
      </c>
      <c r="AE36" s="45">
        <f t="shared" si="23"/>
        <v>1.5813625829558622</v>
      </c>
      <c r="AF36" s="213"/>
      <c r="AG36" s="216"/>
      <c r="AH36" s="18">
        <f t="shared" si="24"/>
        <v>0.3021682886746449</v>
      </c>
      <c r="AI36" s="23">
        <f>AE36*Experimentos!R48</f>
        <v>307.76478589486993</v>
      </c>
      <c r="AJ36" s="219"/>
      <c r="AK36" s="147"/>
      <c r="AL36" s="23">
        <f>AH36*Experimentos!R48</f>
        <v>58.807992341859389</v>
      </c>
      <c r="AM36" s="23">
        <f t="shared" si="10"/>
        <v>0.36657277823672935</v>
      </c>
      <c r="AN36" s="174"/>
    </row>
    <row r="37" spans="1:42">
      <c r="A37" s="196" t="s">
        <v>54</v>
      </c>
      <c r="B37" s="2" t="s">
        <v>236</v>
      </c>
      <c r="C37" s="2">
        <v>0.3412</v>
      </c>
      <c r="D37" s="40">
        <f>C37*('Análisis sólidos'!F21/100)</f>
        <v>0.33795450785773407</v>
      </c>
      <c r="E37" s="31">
        <v>50128</v>
      </c>
      <c r="F37" s="31">
        <v>49167</v>
      </c>
      <c r="G37" s="31">
        <v>0</v>
      </c>
      <c r="H37" s="31">
        <v>0</v>
      </c>
      <c r="I37" s="45">
        <f t="shared" si="0"/>
        <v>0.25046086590119038</v>
      </c>
      <c r="J37" s="18">
        <f t="shared" si="1"/>
        <v>0.25919776754316309</v>
      </c>
      <c r="K37" s="18">
        <v>0</v>
      </c>
      <c r="L37" s="18">
        <f t="shared" si="19"/>
        <v>3.8065926241757156E-2</v>
      </c>
      <c r="M37" s="17">
        <f t="shared" si="3"/>
        <v>22.90211124197798</v>
      </c>
      <c r="N37" s="17">
        <f t="shared" si="4"/>
        <v>21.618138609624431</v>
      </c>
      <c r="O37" s="17">
        <f t="shared" si="5"/>
        <v>0</v>
      </c>
      <c r="P37" s="17">
        <f t="shared" si="6"/>
        <v>7.0593143928791813</v>
      </c>
      <c r="Q37" s="17">
        <f t="shared" si="7"/>
        <v>51.579564244481595</v>
      </c>
      <c r="R37" s="23">
        <f t="shared" si="8"/>
        <v>6.7766846452655969</v>
      </c>
      <c r="S37" s="23">
        <f t="shared" si="9"/>
        <v>6.3967599505211634</v>
      </c>
      <c r="T37" s="23">
        <f>(Q37/D37)/10</f>
        <v>15.262280290752807</v>
      </c>
      <c r="U37" s="174">
        <f t="shared" ref="U37" si="28">STDEV(T37:T40)</f>
        <v>1.2558578980675414</v>
      </c>
      <c r="Y37" s="196" t="s">
        <v>54</v>
      </c>
      <c r="Z37" s="30" t="s">
        <v>236</v>
      </c>
      <c r="AA37" s="31">
        <f>121618+209870</f>
        <v>331488</v>
      </c>
      <c r="AB37" s="207"/>
      <c r="AC37" s="210"/>
      <c r="AD37" s="31">
        <v>61296</v>
      </c>
      <c r="AE37" s="45">
        <f t="shared" si="23"/>
        <v>1.4854059131289723</v>
      </c>
      <c r="AF37" s="213"/>
      <c r="AG37" s="216"/>
      <c r="AH37" s="18">
        <f t="shared" si="24"/>
        <v>0.29180289187947328</v>
      </c>
      <c r="AI37" s="23">
        <f>AE37*Experimentos!R49</f>
        <v>309.39519764563363</v>
      </c>
      <c r="AJ37" s="219"/>
      <c r="AK37" s="147"/>
      <c r="AL37" s="23">
        <f>AH37*Experimentos!R49</f>
        <v>60.779624349575485</v>
      </c>
      <c r="AM37" s="23">
        <f t="shared" si="10"/>
        <v>0.37017482199520912</v>
      </c>
      <c r="AN37" s="174">
        <f t="shared" ref="AN37" si="29">STDEV(AM37:AM40)</f>
        <v>4.9660876117513268E-3</v>
      </c>
      <c r="AP37" t="s">
        <v>333</v>
      </c>
    </row>
    <row r="38" spans="1:42">
      <c r="A38" s="196"/>
      <c r="B38" s="2" t="s">
        <v>237</v>
      </c>
      <c r="C38" s="2">
        <v>0.35859999999999997</v>
      </c>
      <c r="D38" s="40">
        <f>C38*('Análisis sólidos'!F21/100)</f>
        <v>0.35518899917287056</v>
      </c>
      <c r="E38" s="31">
        <v>61072</v>
      </c>
      <c r="F38" s="31">
        <v>48530</v>
      </c>
      <c r="G38" s="31">
        <v>0</v>
      </c>
      <c r="H38" s="31">
        <v>0</v>
      </c>
      <c r="I38" s="45">
        <f t="shared" si="0"/>
        <v>0.29849626040240179</v>
      </c>
      <c r="J38" s="18">
        <f t="shared" si="1"/>
        <v>0.2563073711913243</v>
      </c>
      <c r="K38" s="18">
        <v>0</v>
      </c>
      <c r="L38" s="18">
        <f t="shared" si="19"/>
        <v>3.8065926241757156E-2</v>
      </c>
      <c r="M38" s="17">
        <f t="shared" si="3"/>
        <v>27.294461897082112</v>
      </c>
      <c r="N38" s="17">
        <f t="shared" si="4"/>
        <v>21.377067903024312</v>
      </c>
      <c r="O38" s="17">
        <f t="shared" si="5"/>
        <v>0</v>
      </c>
      <c r="P38" s="17">
        <f t="shared" si="6"/>
        <v>7.0593143928791813</v>
      </c>
      <c r="Q38" s="17">
        <f t="shared" si="7"/>
        <v>55.730844192985607</v>
      </c>
      <c r="R38" s="23">
        <f t="shared" si="8"/>
        <v>7.6844896549844695</v>
      </c>
      <c r="S38" s="23">
        <f t="shared" si="9"/>
        <v>6.0185050642911637</v>
      </c>
      <c r="T38" s="23">
        <f t="shared" si="13"/>
        <v>16.490634951508376</v>
      </c>
      <c r="U38" s="174"/>
      <c r="Y38" s="196"/>
      <c r="Z38" s="30" t="s">
        <v>237</v>
      </c>
      <c r="AA38" s="31">
        <f>122228+197506</f>
        <v>319734</v>
      </c>
      <c r="AB38" s="207"/>
      <c r="AC38" s="210"/>
      <c r="AD38" s="31">
        <v>61310</v>
      </c>
      <c r="AE38" s="45">
        <f t="shared" si="23"/>
        <v>1.4338152673900066</v>
      </c>
      <c r="AF38" s="213"/>
      <c r="AG38" s="216"/>
      <c r="AH38" s="18">
        <f t="shared" si="24"/>
        <v>0.29186084537593188</v>
      </c>
      <c r="AI38" s="23">
        <f>AE38*Experimentos!R49</f>
        <v>298.64938204466449</v>
      </c>
      <c r="AJ38" s="219"/>
      <c r="AK38" s="147"/>
      <c r="AL38" s="23">
        <f>AH38*Experimentos!R49</f>
        <v>60.791695483352846</v>
      </c>
      <c r="AM38" s="23">
        <f t="shared" si="10"/>
        <v>0.35944107752801735</v>
      </c>
      <c r="AN38" s="174"/>
    </row>
    <row r="39" spans="1:42">
      <c r="A39" s="196" t="s">
        <v>58</v>
      </c>
      <c r="B39" s="2" t="s">
        <v>236</v>
      </c>
      <c r="C39" s="2">
        <v>0.30330000000000001</v>
      </c>
      <c r="D39" s="40">
        <f>C39*('Análisis sólidos'!F22/100)</f>
        <v>0.30069512913318153</v>
      </c>
      <c r="E39" s="31">
        <v>52062</v>
      </c>
      <c r="F39" s="31">
        <v>41976</v>
      </c>
      <c r="G39" s="31">
        <v>0</v>
      </c>
      <c r="H39" s="31">
        <v>0</v>
      </c>
      <c r="I39" s="45">
        <f t="shared" si="0"/>
        <v>0.25894957688121073</v>
      </c>
      <c r="J39" s="18">
        <f t="shared" si="1"/>
        <v>0.22656850511604693</v>
      </c>
      <c r="K39" s="18">
        <v>0</v>
      </c>
      <c r="L39" s="18">
        <f t="shared" si="19"/>
        <v>3.8065926241757156E-2</v>
      </c>
      <c r="M39" s="17">
        <f t="shared" si="3"/>
        <v>23.678317945831356</v>
      </c>
      <c r="N39" s="17">
        <f t="shared" si="4"/>
        <v>18.896726598381921</v>
      </c>
      <c r="O39" s="17">
        <f t="shared" si="5"/>
        <v>0</v>
      </c>
      <c r="P39" s="17">
        <f t="shared" si="6"/>
        <v>7.0593143928791813</v>
      </c>
      <c r="Q39" s="17">
        <f t="shared" si="7"/>
        <v>49.634358937092458</v>
      </c>
      <c r="R39" s="23">
        <f t="shared" si="8"/>
        <v>7.8745266057648511</v>
      </c>
      <c r="S39" s="23">
        <f t="shared" si="9"/>
        <v>6.2843474228717326</v>
      </c>
      <c r="T39" s="23">
        <f>(Q39/D39)/10</f>
        <v>16.506539058405828</v>
      </c>
      <c r="U39" s="174"/>
      <c r="Y39" s="196" t="s">
        <v>58</v>
      </c>
      <c r="Z39" s="30" t="s">
        <v>236</v>
      </c>
      <c r="AA39" s="31">
        <f>118391+210876</f>
        <v>329267</v>
      </c>
      <c r="AB39" s="207"/>
      <c r="AC39" s="210"/>
      <c r="AD39" s="31">
        <v>57406</v>
      </c>
      <c r="AE39" s="45">
        <f t="shared" si="23"/>
        <v>1.4756575020190317</v>
      </c>
      <c r="AF39" s="213"/>
      <c r="AG39" s="216"/>
      <c r="AH39" s="18">
        <f t="shared" si="24"/>
        <v>0.2757000989348975</v>
      </c>
      <c r="AI39" s="23">
        <f>AE39*Experimentos!R50</f>
        <v>305.1217016924752</v>
      </c>
      <c r="AJ39" s="219"/>
      <c r="AK39" s="147"/>
      <c r="AL39" s="23">
        <f>AH39*Experimentos!R50</f>
        <v>57.006509456768761</v>
      </c>
      <c r="AM39" s="23">
        <f t="shared" si="10"/>
        <v>0.36212821114924393</v>
      </c>
      <c r="AN39" s="174"/>
    </row>
    <row r="40" spans="1:42">
      <c r="A40" s="205"/>
      <c r="B40" s="15" t="s">
        <v>237</v>
      </c>
      <c r="C40" s="2">
        <v>0.31969999999999998</v>
      </c>
      <c r="D40" s="40">
        <f>C40*('Análisis sólidos'!F22/100)</f>
        <v>0.3169542788785959</v>
      </c>
      <c r="E40" s="31">
        <v>68570</v>
      </c>
      <c r="F40" s="31">
        <v>38809</v>
      </c>
      <c r="G40" s="31">
        <v>0</v>
      </c>
      <c r="H40" s="31">
        <v>0</v>
      </c>
      <c r="I40" s="45">
        <f t="shared" si="0"/>
        <v>0.33140647494645176</v>
      </c>
      <c r="J40" s="18">
        <f t="shared" si="1"/>
        <v>0.21219819860698325</v>
      </c>
      <c r="K40" s="18">
        <v>0</v>
      </c>
      <c r="L40" s="18">
        <f t="shared" si="19"/>
        <v>3.8065926241757156E-2</v>
      </c>
      <c r="M40" s="17">
        <f t="shared" si="3"/>
        <v>30.303767928877683</v>
      </c>
      <c r="N40" s="17">
        <f t="shared" si="4"/>
        <v>17.698185110465776</v>
      </c>
      <c r="O40" s="17">
        <f t="shared" si="5"/>
        <v>0</v>
      </c>
      <c r="P40" s="17">
        <f t="shared" si="6"/>
        <v>7.0593143928791813</v>
      </c>
      <c r="Q40" s="17">
        <f t="shared" si="7"/>
        <v>55.061267432222643</v>
      </c>
      <c r="R40" s="23">
        <f t="shared" si="8"/>
        <v>9.5609272214574013</v>
      </c>
      <c r="S40" s="23">
        <f t="shared" si="9"/>
        <v>5.5838290535414332</v>
      </c>
      <c r="T40" s="23">
        <f t="shared" si="13"/>
        <v>18.311326688579427</v>
      </c>
      <c r="U40" s="174"/>
      <c r="Y40" s="205"/>
      <c r="Z40" s="78" t="s">
        <v>237</v>
      </c>
      <c r="AA40" s="31">
        <f>118177+208305</f>
        <v>326482</v>
      </c>
      <c r="AB40" s="207"/>
      <c r="AC40" s="210"/>
      <c r="AD40" s="31">
        <v>57853</v>
      </c>
      <c r="AE40" s="45">
        <f t="shared" si="23"/>
        <v>1.4634335826398399</v>
      </c>
      <c r="AF40" s="213"/>
      <c r="AG40" s="216"/>
      <c r="AH40" s="18">
        <f t="shared" si="24"/>
        <v>0.27755047128611227</v>
      </c>
      <c r="AI40" s="23">
        <f>AE40*Experimentos!R50</f>
        <v>302.59416188243972</v>
      </c>
      <c r="AJ40" s="219"/>
      <c r="AK40" s="147"/>
      <c r="AL40" s="23">
        <f>AH40*Experimentos!R50</f>
        <v>57.389110947829437</v>
      </c>
      <c r="AM40" s="23">
        <f t="shared" si="10"/>
        <v>0.35998327283026915</v>
      </c>
      <c r="AN40" s="174"/>
    </row>
    <row r="41" spans="1:42">
      <c r="A41" s="8" t="s">
        <v>143</v>
      </c>
      <c r="B41" s="6" t="s">
        <v>236</v>
      </c>
      <c r="C41" s="2">
        <v>0.30030000000000001</v>
      </c>
      <c r="D41" s="30">
        <f>C41</f>
        <v>0.30030000000000001</v>
      </c>
      <c r="E41" s="68">
        <v>724396</v>
      </c>
      <c r="F41" s="68">
        <v>0</v>
      </c>
      <c r="G41" s="68">
        <v>0</v>
      </c>
      <c r="H41" s="68">
        <v>0</v>
      </c>
      <c r="I41" s="45">
        <f t="shared" si="0"/>
        <v>3.2099573369851471</v>
      </c>
      <c r="J41" s="18">
        <f t="shared" si="1"/>
        <v>3.6101821811829297E-2</v>
      </c>
      <c r="K41" s="18">
        <v>0</v>
      </c>
      <c r="L41" s="18">
        <f t="shared" si="19"/>
        <v>3.8065926241757156E-2</v>
      </c>
      <c r="M41" s="17">
        <f t="shared" ref="M41:M44" si="30">I41*$W$6</f>
        <v>279.26628831770779</v>
      </c>
      <c r="N41" s="17">
        <f t="shared" ref="N41:N44" si="31">J41*$W$6</f>
        <v>3.1408584976291487</v>
      </c>
      <c r="O41" s="17">
        <f t="shared" si="5"/>
        <v>0</v>
      </c>
      <c r="P41" s="17">
        <f t="shared" ref="P41:P44" si="32">L41*$W$6</f>
        <v>3.3117355830328727</v>
      </c>
      <c r="Q41" s="17">
        <f t="shared" si="7"/>
        <v>285.71888239836983</v>
      </c>
      <c r="R41" s="17"/>
      <c r="S41" s="17"/>
      <c r="T41" s="23">
        <f>(Q41/D41)/10</f>
        <v>95.144482983140136</v>
      </c>
      <c r="U41" s="222"/>
      <c r="Y41" s="204" t="s">
        <v>60</v>
      </c>
      <c r="Z41" s="67" t="s">
        <v>236</v>
      </c>
      <c r="AA41" s="31">
        <f>11102+17529</f>
        <v>28631</v>
      </c>
      <c r="AB41" s="207"/>
      <c r="AC41" s="210"/>
      <c r="AD41" s="31">
        <v>6881</v>
      </c>
      <c r="AE41" s="45">
        <f>((AA41-$D$50)/$C$50)*10</f>
        <v>1.5610625373081921</v>
      </c>
      <c r="AF41" s="213"/>
      <c r="AG41" s="216"/>
      <c r="AH41" s="18">
        <f>((AD41-$M$50)/$L$50)*10</f>
        <v>0.66550069751172525</v>
      </c>
      <c r="AI41" s="23">
        <f>AE41*Experimentos!R51</f>
        <v>337.06462305558483</v>
      </c>
      <c r="AJ41" s="219"/>
      <c r="AK41" s="147"/>
      <c r="AL41" s="23">
        <f>AH41*Experimentos!R51</f>
        <v>143.6949106067317</v>
      </c>
      <c r="AM41" s="23">
        <f t="shared" ref="AM41:AM64" si="33">SUM(AI41:AL41)/1000</f>
        <v>0.48075953366231655</v>
      </c>
      <c r="AN41" s="174">
        <f t="shared" ref="AN41" si="34">STDEV(AM41:AM44)</f>
        <v>1.5232916895047374E-2</v>
      </c>
    </row>
    <row r="42" spans="1:42">
      <c r="A42" s="8" t="s">
        <v>183</v>
      </c>
      <c r="B42" s="6" t="s">
        <v>236</v>
      </c>
      <c r="C42" s="2">
        <v>0.3044</v>
      </c>
      <c r="D42" s="30">
        <f t="shared" ref="D42:D44" si="35">C42</f>
        <v>0.3044</v>
      </c>
      <c r="E42" s="31">
        <v>0</v>
      </c>
      <c r="F42" s="31">
        <v>0</v>
      </c>
      <c r="G42" s="31">
        <v>775358.5</v>
      </c>
      <c r="H42" s="31">
        <v>0</v>
      </c>
      <c r="I42" s="45">
        <f t="shared" si="0"/>
        <v>3.0439095473857931E-2</v>
      </c>
      <c r="J42" s="18">
        <f t="shared" si="1"/>
        <v>3.6101821811829297E-2</v>
      </c>
      <c r="K42" s="18">
        <f>(G42-$G$50)/$F$50</f>
        <v>3.4857085445086962</v>
      </c>
      <c r="L42" s="18">
        <f t="shared" si="19"/>
        <v>3.8065926241757156E-2</v>
      </c>
      <c r="M42" s="17">
        <f t="shared" si="30"/>
        <v>2.6482013062256402</v>
      </c>
      <c r="N42" s="17">
        <f t="shared" si="31"/>
        <v>3.1408584976291487</v>
      </c>
      <c r="O42" s="17">
        <f t="shared" si="5"/>
        <v>303.25664337225658</v>
      </c>
      <c r="P42" s="17">
        <f t="shared" si="32"/>
        <v>3.3117355830328727</v>
      </c>
      <c r="Q42" s="17">
        <f t="shared" si="7"/>
        <v>312.35743875914426</v>
      </c>
      <c r="R42" s="17"/>
      <c r="S42" s="17"/>
      <c r="T42" s="23">
        <f t="shared" ref="T42:T44" si="36">(Q42/D42)/10</f>
        <v>102.61413888276749</v>
      </c>
      <c r="U42" s="223"/>
      <c r="Y42" s="204"/>
      <c r="Z42" s="67" t="s">
        <v>237</v>
      </c>
      <c r="AA42" s="31">
        <f>9483+16774</f>
        <v>26257</v>
      </c>
      <c r="AB42" s="207"/>
      <c r="AC42" s="210"/>
      <c r="AD42" s="31">
        <v>7457</v>
      </c>
      <c r="AE42" s="45">
        <f t="shared" ref="AE42:AE44" si="37">((AA42-$D$50)/$C$50)*10</f>
        <v>1.4568629516485831</v>
      </c>
      <c r="AF42" s="213"/>
      <c r="AG42" s="216"/>
      <c r="AH42" s="18">
        <f t="shared" ref="AH42:AH44" si="38">((AD42-$M$50)/$L$50)*10</f>
        <v>0.68934442176898914</v>
      </c>
      <c r="AI42" s="23">
        <f>AE42*Experimentos!R51</f>
        <v>314.56584851996206</v>
      </c>
      <c r="AJ42" s="219"/>
      <c r="AK42" s="147"/>
      <c r="AL42" s="23">
        <f>AH42*Experimentos!R51</f>
        <v>148.84324754836013</v>
      </c>
      <c r="AM42" s="23">
        <f t="shared" si="33"/>
        <v>0.4634090960683222</v>
      </c>
      <c r="AN42" s="174"/>
    </row>
    <row r="43" spans="1:42">
      <c r="A43" s="8" t="s">
        <v>145</v>
      </c>
      <c r="B43" s="6" t="s">
        <v>236</v>
      </c>
      <c r="C43" s="2">
        <v>0.30580000000000002</v>
      </c>
      <c r="D43" s="30">
        <f t="shared" si="35"/>
        <v>0.30580000000000002</v>
      </c>
      <c r="E43" s="31">
        <v>0</v>
      </c>
      <c r="F43" s="31">
        <v>784985.5</v>
      </c>
      <c r="G43" s="31">
        <v>0</v>
      </c>
      <c r="H43" s="31">
        <v>0</v>
      </c>
      <c r="I43" s="45">
        <f t="shared" si="0"/>
        <v>3.0439095473857931E-2</v>
      </c>
      <c r="J43" s="18">
        <f t="shared" si="1"/>
        <v>3.5979844363273363</v>
      </c>
      <c r="K43" s="18">
        <v>0</v>
      </c>
      <c r="L43" s="18">
        <f t="shared" si="19"/>
        <v>3.8065926241757156E-2</v>
      </c>
      <c r="M43" s="17">
        <f t="shared" si="30"/>
        <v>2.6482013062256402</v>
      </c>
      <c r="N43" s="17">
        <f t="shared" si="31"/>
        <v>313.02464596047827</v>
      </c>
      <c r="O43" s="17">
        <f t="shared" si="5"/>
        <v>0</v>
      </c>
      <c r="P43" s="17">
        <f t="shared" si="32"/>
        <v>3.3117355830328727</v>
      </c>
      <c r="Q43" s="17">
        <f t="shared" si="7"/>
        <v>318.9845828497368</v>
      </c>
      <c r="R43" s="17"/>
      <c r="S43" s="17"/>
      <c r="T43" s="23">
        <f t="shared" si="36"/>
        <v>104.31150518304014</v>
      </c>
      <c r="U43" s="223"/>
      <c r="Y43" s="204" t="s">
        <v>63</v>
      </c>
      <c r="Z43" s="67" t="s">
        <v>236</v>
      </c>
      <c r="AA43" s="31">
        <f>9081+15405</f>
        <v>24486</v>
      </c>
      <c r="AB43" s="207"/>
      <c r="AC43" s="210"/>
      <c r="AD43" s="31">
        <v>8032</v>
      </c>
      <c r="AE43" s="45">
        <f t="shared" si="37"/>
        <v>1.3791302363144773</v>
      </c>
      <c r="AF43" s="213"/>
      <c r="AG43" s="216"/>
      <c r="AH43" s="18">
        <f t="shared" si="38"/>
        <v>0.71314675067163957</v>
      </c>
      <c r="AI43" s="23">
        <f>AE43*Experimentos!R52</f>
        <v>296.63712252888092</v>
      </c>
      <c r="AJ43" s="219"/>
      <c r="AK43" s="147"/>
      <c r="AL43" s="23">
        <f>AH43*Experimentos!R52</f>
        <v>153.39073460196295</v>
      </c>
      <c r="AM43" s="23">
        <f t="shared" si="33"/>
        <v>0.45002785713084387</v>
      </c>
      <c r="AN43" s="174"/>
    </row>
    <row r="44" spans="1:42">
      <c r="A44" s="8" t="s">
        <v>185</v>
      </c>
      <c r="B44" s="43" t="s">
        <v>236</v>
      </c>
      <c r="C44" s="26">
        <v>0.30880000000000002</v>
      </c>
      <c r="D44" s="44">
        <f t="shared" si="35"/>
        <v>0.30880000000000002</v>
      </c>
      <c r="E44" s="35">
        <v>285901.5</v>
      </c>
      <c r="F44" s="35">
        <v>0</v>
      </c>
      <c r="G44" s="35">
        <v>0</v>
      </c>
      <c r="H44" s="35">
        <v>82559.5</v>
      </c>
      <c r="I44" s="46">
        <f t="shared" si="0"/>
        <v>1.2853176902278871</v>
      </c>
      <c r="J44" s="33">
        <v>0</v>
      </c>
      <c r="K44" s="33">
        <v>0</v>
      </c>
      <c r="L44" s="33">
        <f t="shared" si="19"/>
        <v>0.37982390416147499</v>
      </c>
      <c r="M44" s="47">
        <f t="shared" si="30"/>
        <v>111.82263904982618</v>
      </c>
      <c r="N44" s="47">
        <f t="shared" si="31"/>
        <v>0</v>
      </c>
      <c r="O44" s="26">
        <f t="shared" si="5"/>
        <v>0</v>
      </c>
      <c r="P44" s="47">
        <f t="shared" si="32"/>
        <v>33.044679662048324</v>
      </c>
      <c r="Q44" s="47">
        <f t="shared" si="7"/>
        <v>144.8673187118745</v>
      </c>
      <c r="R44" s="47"/>
      <c r="S44" s="47"/>
      <c r="T44" s="34">
        <f t="shared" si="36"/>
        <v>46.912991810840182</v>
      </c>
      <c r="U44" s="224"/>
      <c r="Y44" s="204"/>
      <c r="Z44" s="67" t="s">
        <v>237</v>
      </c>
      <c r="AA44" s="31">
        <f>8876+15383</f>
        <v>24259</v>
      </c>
      <c r="AB44" s="207"/>
      <c r="AC44" s="210"/>
      <c r="AD44" s="31">
        <v>7995</v>
      </c>
      <c r="AE44" s="45">
        <f t="shared" si="37"/>
        <v>1.3691667544506478</v>
      </c>
      <c r="AF44" s="213"/>
      <c r="AG44" s="216"/>
      <c r="AH44" s="18">
        <f t="shared" si="38"/>
        <v>0.71161512255094728</v>
      </c>
      <c r="AI44" s="23">
        <f>AE44*Experimentos!R52</f>
        <v>294.49407721478985</v>
      </c>
      <c r="AJ44" s="219"/>
      <c r="AK44" s="147"/>
      <c r="AL44" s="23">
        <f>AH44*Experimentos!R52</f>
        <v>153.06129670948326</v>
      </c>
      <c r="AM44" s="23">
        <f t="shared" si="33"/>
        <v>0.44755537392427314</v>
      </c>
      <c r="AN44" s="174"/>
    </row>
    <row r="45" spans="1:42">
      <c r="Y45" s="204" t="s">
        <v>65</v>
      </c>
      <c r="Z45" s="67" t="s">
        <v>236</v>
      </c>
      <c r="AA45" s="31">
        <v>252983</v>
      </c>
      <c r="AB45" s="207"/>
      <c r="AC45" s="210"/>
      <c r="AD45" s="31">
        <v>60108</v>
      </c>
      <c r="AE45" s="45">
        <f t="shared" ref="AE45:AE64" si="39">(AA45-$D$50)/$C$50</f>
        <v>1.1408318410056533</v>
      </c>
      <c r="AF45" s="213"/>
      <c r="AG45" s="216"/>
      <c r="AH45" s="18">
        <f t="shared" ref="AH45:AH64" si="40">(AD45-$M$50)/$L$50</f>
        <v>0.28688512375141262</v>
      </c>
      <c r="AI45" s="23">
        <f>AE45*Experimentos!R53</f>
        <v>188.1573955370624</v>
      </c>
      <c r="AJ45" s="219"/>
      <c r="AK45" s="147"/>
      <c r="AL45" s="23">
        <f>AH45*Experimentos!R53</f>
        <v>47.315963460320482</v>
      </c>
      <c r="AM45" s="23">
        <f t="shared" si="33"/>
        <v>0.23547335899738289</v>
      </c>
      <c r="AN45" s="174">
        <f t="shared" ref="AN45" si="41">STDEV(AM45:AM48)</f>
        <v>1.1782971457222156E-2</v>
      </c>
    </row>
    <row r="46" spans="1:42">
      <c r="Y46" s="204"/>
      <c r="Z46" s="67" t="s">
        <v>237</v>
      </c>
      <c r="AA46" s="31">
        <v>254835</v>
      </c>
      <c r="AB46" s="207"/>
      <c r="AC46" s="210"/>
      <c r="AD46" s="31">
        <v>61141</v>
      </c>
      <c r="AE46" s="45">
        <f t="shared" si="39"/>
        <v>1.1489606376628392</v>
      </c>
      <c r="AF46" s="213"/>
      <c r="AG46" s="216"/>
      <c r="AH46" s="18">
        <f t="shared" si="40"/>
        <v>0.29116126388296704</v>
      </c>
      <c r="AI46" s="23">
        <f>AE46*Experimentos!R53</f>
        <v>189.49807796973207</v>
      </c>
      <c r="AJ46" s="219"/>
      <c r="AK46" s="147"/>
      <c r="AL46" s="23">
        <f>AH46*Experimentos!R53</f>
        <v>48.021227252217756</v>
      </c>
      <c r="AM46" s="23">
        <f t="shared" si="33"/>
        <v>0.23751930522194983</v>
      </c>
      <c r="AN46" s="174"/>
    </row>
    <row r="47" spans="1:42">
      <c r="Y47" s="204" t="s">
        <v>67</v>
      </c>
      <c r="Z47" s="67" t="s">
        <v>236</v>
      </c>
      <c r="AA47" s="31">
        <v>273547</v>
      </c>
      <c r="AB47" s="207"/>
      <c r="AC47" s="210"/>
      <c r="AD47" s="31">
        <v>63667</v>
      </c>
      <c r="AE47" s="45">
        <f t="shared" si="39"/>
        <v>1.2310913304540188</v>
      </c>
      <c r="AF47" s="213"/>
      <c r="AG47" s="216"/>
      <c r="AH47" s="18">
        <f t="shared" si="40"/>
        <v>0.30161773045828794</v>
      </c>
      <c r="AI47" s="23">
        <f>AE47*Experimentos!R54</f>
        <v>206.17086511113453</v>
      </c>
      <c r="AJ47" s="219"/>
      <c r="AK47" s="147"/>
      <c r="AL47" s="23">
        <f>AH47*Experimentos!R54</f>
        <v>50.511921319849478</v>
      </c>
      <c r="AM47" s="23">
        <f t="shared" si="33"/>
        <v>0.25668278643098402</v>
      </c>
      <c r="AN47" s="174"/>
    </row>
    <row r="48" spans="1:42">
      <c r="C48" s="193" t="s">
        <v>143</v>
      </c>
      <c r="D48" s="193"/>
      <c r="F48" s="193" t="s">
        <v>183</v>
      </c>
      <c r="G48" s="193"/>
      <c r="I48" s="193" t="s">
        <v>145</v>
      </c>
      <c r="J48" s="193"/>
      <c r="L48" s="194" t="s">
        <v>185</v>
      </c>
      <c r="M48" s="195"/>
      <c r="Y48" s="204"/>
      <c r="Z48" s="67" t="s">
        <v>237</v>
      </c>
      <c r="AA48" s="31">
        <v>273547</v>
      </c>
      <c r="AB48" s="207"/>
      <c r="AC48" s="211"/>
      <c r="AD48" s="31">
        <v>64156</v>
      </c>
      <c r="AE48" s="45">
        <f t="shared" si="39"/>
        <v>1.2310913304540188</v>
      </c>
      <c r="AF48" s="213"/>
      <c r="AG48" s="217"/>
      <c r="AH48" s="18">
        <f t="shared" si="40"/>
        <v>0.3036419632988786</v>
      </c>
      <c r="AI48" s="23">
        <f>AE48*Experimentos!R54</f>
        <v>206.17086511113453</v>
      </c>
      <c r="AJ48" s="219"/>
      <c r="AK48" s="147"/>
      <c r="AL48" s="23">
        <f>AH48*Experimentos!R54</f>
        <v>50.8509195936632</v>
      </c>
      <c r="AM48" s="23">
        <f t="shared" si="33"/>
        <v>0.2570217847047977</v>
      </c>
      <c r="AN48" s="174"/>
    </row>
    <row r="49" spans="3:43">
      <c r="C49" s="19" t="s">
        <v>181</v>
      </c>
      <c r="D49" s="19" t="s">
        <v>182</v>
      </c>
      <c r="F49" s="19" t="s">
        <v>181</v>
      </c>
      <c r="G49" s="19" t="s">
        <v>182</v>
      </c>
      <c r="I49" s="19" t="s">
        <v>181</v>
      </c>
      <c r="J49" s="19" t="s">
        <v>182</v>
      </c>
      <c r="L49" s="19" t="s">
        <v>181</v>
      </c>
      <c r="M49" s="19" t="s">
        <v>182</v>
      </c>
      <c r="Y49" s="204" t="s">
        <v>68</v>
      </c>
      <c r="Z49" s="67" t="s">
        <v>236</v>
      </c>
      <c r="AA49" s="82">
        <f>150604+186592</f>
        <v>337196</v>
      </c>
      <c r="AB49" s="207"/>
      <c r="AC49" s="31">
        <v>146635</v>
      </c>
      <c r="AD49" s="31">
        <v>58879</v>
      </c>
      <c r="AE49" s="45">
        <f t="shared" si="39"/>
        <v>1.5104594613574915</v>
      </c>
      <c r="AF49" s="213"/>
      <c r="AG49" s="134">
        <f>(AC49-$M$50)/$L$50</f>
        <v>0.64506670861395943</v>
      </c>
      <c r="AH49" s="18">
        <f t="shared" si="40"/>
        <v>0.28179763466943736</v>
      </c>
      <c r="AI49" s="23">
        <f>AE49*Experimentos!R55</f>
        <v>320.64033445696833</v>
      </c>
      <c r="AJ49" s="219"/>
      <c r="AK49" s="69">
        <f>AG49*Experimentos!R55</f>
        <v>136.93476090457131</v>
      </c>
      <c r="AL49" s="23">
        <f>AH49*Experimentos!R55</f>
        <v>59.820001887628166</v>
      </c>
      <c r="AM49" s="23">
        <f>SUM(AI49:AL49)/1000</f>
        <v>0.51739509724916777</v>
      </c>
      <c r="AN49" s="174">
        <f t="shared" ref="AN49" si="42">STDEV(AM49:AM52)</f>
        <v>6.4907439520061347E-3</v>
      </c>
      <c r="AQ49" s="152">
        <f>AVERAGE(AG49:AG52)</f>
        <v>0.66435280432829835</v>
      </c>
    </row>
    <row r="50" spans="3:43">
      <c r="C50" s="2">
        <f>'Calibrado HPLC'!G5</f>
        <v>227832</v>
      </c>
      <c r="D50" s="2">
        <f>'Calibrado HPLC'!H5</f>
        <v>-6935</v>
      </c>
      <c r="F50" s="2">
        <f>'Calibrado HPLC'!G9</f>
        <v>223945</v>
      </c>
      <c r="G50" s="2">
        <f>'Calibrado HPLC'!H9</f>
        <v>-5248.5</v>
      </c>
      <c r="I50" s="2">
        <f>'Calibrado HPLC'!G13</f>
        <v>220385</v>
      </c>
      <c r="J50" s="2">
        <f>'Calibrado HPLC'!H13</f>
        <v>-7956.3</v>
      </c>
      <c r="L50" s="2">
        <f>'Calibrado HPLC'!G17</f>
        <v>241573</v>
      </c>
      <c r="M50" s="2">
        <f>'Calibrado HPLC'!H17</f>
        <v>-9195.7000000000007</v>
      </c>
      <c r="Y50" s="204"/>
      <c r="Z50" s="67" t="s">
        <v>237</v>
      </c>
      <c r="AA50" s="82">
        <f>153913+188803</f>
        <v>342716</v>
      </c>
      <c r="AB50" s="207"/>
      <c r="AC50" s="31">
        <v>146427</v>
      </c>
      <c r="AD50" s="31">
        <v>57877</v>
      </c>
      <c r="AE50" s="45">
        <f t="shared" si="39"/>
        <v>1.5346878401629271</v>
      </c>
      <c r="AF50" s="213"/>
      <c r="AG50" s="134">
        <f t="shared" ref="AG50:AG60" si="43">(AC50-$M$50)/$L$50</f>
        <v>0.64420568523800259</v>
      </c>
      <c r="AH50" s="18">
        <f t="shared" si="40"/>
        <v>0.2776498201371842</v>
      </c>
      <c r="AI50" s="23">
        <f>AE50*Experimentos!R55</f>
        <v>325.78353470978618</v>
      </c>
      <c r="AJ50" s="219"/>
      <c r="AK50" s="69">
        <f>AG50*Experimentos!R55</f>
        <v>136.75198286232319</v>
      </c>
      <c r="AL50" s="23">
        <f>AH50*Experimentos!R55</f>
        <v>58.939503818721462</v>
      </c>
      <c r="AM50" s="23">
        <f t="shared" si="33"/>
        <v>0.52147502139083091</v>
      </c>
      <c r="AN50" s="174"/>
      <c r="AQ50" s="152">
        <f>AVERAGE(AG53:AG56)</f>
        <v>0.91113038294842552</v>
      </c>
    </row>
    <row r="51" spans="3:43">
      <c r="Y51" s="204" t="s">
        <v>71</v>
      </c>
      <c r="Z51" s="67" t="s">
        <v>236</v>
      </c>
      <c r="AA51" s="82">
        <v>300289</v>
      </c>
      <c r="AB51" s="207"/>
      <c r="AC51" s="31">
        <v>156306</v>
      </c>
      <c r="AD51" s="31">
        <v>96593</v>
      </c>
      <c r="AE51" s="45">
        <f t="shared" si="39"/>
        <v>1.3484672916886127</v>
      </c>
      <c r="AF51" s="213"/>
      <c r="AG51" s="134">
        <f t="shared" si="43"/>
        <v>0.68510015606048691</v>
      </c>
      <c r="AH51" s="18">
        <f t="shared" si="40"/>
        <v>0.43791607505805696</v>
      </c>
      <c r="AI51" s="23">
        <f>AE51*Experimentos!R56</f>
        <v>288.24836827135783</v>
      </c>
      <c r="AJ51" s="219"/>
      <c r="AK51" s="69">
        <f>AG51*Experimentos!R56</f>
        <v>146.44700935948967</v>
      </c>
      <c r="AL51" s="23">
        <f>AH51*Experimentos!R56</f>
        <v>93.608940204410246</v>
      </c>
      <c r="AM51" s="23">
        <f t="shared" si="33"/>
        <v>0.52830431783525778</v>
      </c>
      <c r="AN51" s="174"/>
      <c r="AQ51" s="152">
        <f>AVERAGE(AG57:AG60)</f>
        <v>0.91677753722477273</v>
      </c>
    </row>
    <row r="52" spans="3:43">
      <c r="Y52" s="204"/>
      <c r="Z52" s="67" t="s">
        <v>237</v>
      </c>
      <c r="AA52" s="82">
        <v>340463</v>
      </c>
      <c r="AB52" s="207"/>
      <c r="AC52" s="31">
        <v>155808</v>
      </c>
      <c r="AD52" s="31">
        <v>58383</v>
      </c>
      <c r="AE52" s="45">
        <f t="shared" si="39"/>
        <v>1.5247989746830999</v>
      </c>
      <c r="AF52" s="213"/>
      <c r="AG52" s="134">
        <f t="shared" si="43"/>
        <v>0.68303866740074437</v>
      </c>
      <c r="AH52" s="18">
        <f t="shared" si="40"/>
        <v>0.27974442508061742</v>
      </c>
      <c r="AI52" s="23">
        <f>AE52*Experimentos!R56</f>
        <v>325.94102882825939</v>
      </c>
      <c r="AJ52" s="219"/>
      <c r="AK52" s="69">
        <f>AG52*Experimentos!R56</f>
        <v>146.00634554358311</v>
      </c>
      <c r="AL52" s="23">
        <f>AH52*Experimentos!R56</f>
        <v>59.798168305232778</v>
      </c>
      <c r="AM52" s="23">
        <f t="shared" si="33"/>
        <v>0.5317455426770753</v>
      </c>
      <c r="AN52" s="174"/>
    </row>
    <row r="53" spans="3:43">
      <c r="Y53" s="204" t="s">
        <v>72</v>
      </c>
      <c r="Z53" s="67" t="s">
        <v>236</v>
      </c>
      <c r="AA53" s="31">
        <v>37827</v>
      </c>
      <c r="AB53" s="207"/>
      <c r="AC53" s="31">
        <v>12881</v>
      </c>
      <c r="AD53" s="31">
        <v>10607</v>
      </c>
      <c r="AE53" s="45">
        <f>((AA53-$D$50)/$C$50)*10</f>
        <v>1.9646932827697603</v>
      </c>
      <c r="AF53" s="213"/>
      <c r="AG53" s="134">
        <f>(AC53-$M$50)/$L$50*10</f>
        <v>0.9138728251915571</v>
      </c>
      <c r="AH53" s="18">
        <f>((AD53-$M$50)/$L$50)*10</f>
        <v>0.8197397888009007</v>
      </c>
      <c r="AI53" s="23">
        <f>AE53*Experimentos!R57</f>
        <v>421.09271129604275</v>
      </c>
      <c r="AJ53" s="219"/>
      <c r="AK53" s="69">
        <f>AG53*Experimentos!R57</f>
        <v>195.87036262330645</v>
      </c>
      <c r="AL53" s="23">
        <f>AH53*Experimentos!R57</f>
        <v>175.69482893369707</v>
      </c>
      <c r="AM53" s="23">
        <f t="shared" si="33"/>
        <v>0.79265790285304627</v>
      </c>
      <c r="AN53" s="174">
        <f t="shared" ref="AN53" si="44">STDEV(AM53:AM56)</f>
        <v>2.6933327430410752E-2</v>
      </c>
    </row>
    <row r="54" spans="3:43">
      <c r="Y54" s="204"/>
      <c r="Z54" s="67" t="s">
        <v>237</v>
      </c>
      <c r="AA54" s="31">
        <v>38205</v>
      </c>
      <c r="AB54" s="207"/>
      <c r="AC54" s="31">
        <v>13248</v>
      </c>
      <c r="AD54" s="31">
        <v>10757</v>
      </c>
      <c r="AE54" s="45">
        <f t="shared" ref="AE54:AE56" si="45">((AA54-$D$50)/$C$50)*10</f>
        <v>1.9812844552126128</v>
      </c>
      <c r="AF54" s="213"/>
      <c r="AG54" s="134">
        <f>(AC54-$M$50)/$L$50*10</f>
        <v>0.92906492033464005</v>
      </c>
      <c r="AH54" s="18">
        <f t="shared" ref="AH54:AH56" si="46">((AD54-$M$50)/$L$50)*10</f>
        <v>0.82594909199289668</v>
      </c>
      <c r="AI54" s="23">
        <f>AE54*Experimentos!R57</f>
        <v>424.64869728571932</v>
      </c>
      <c r="AJ54" s="219"/>
      <c r="AK54" s="69">
        <f>AG54*Experimentos!R57</f>
        <v>199.1264843753234</v>
      </c>
      <c r="AL54" s="23">
        <f>AH54*Experimentos!R57</f>
        <v>177.02566888683756</v>
      </c>
      <c r="AM54" s="23">
        <f t="shared" si="33"/>
        <v>0.80080085054788042</v>
      </c>
      <c r="AN54" s="174"/>
    </row>
    <row r="55" spans="3:43">
      <c r="Y55" s="204" t="s">
        <v>73</v>
      </c>
      <c r="Z55" s="67" t="s">
        <v>236</v>
      </c>
      <c r="AA55" s="31">
        <v>36250</v>
      </c>
      <c r="AB55" s="207"/>
      <c r="AC55" s="31">
        <v>12822</v>
      </c>
      <c r="AD55" s="31">
        <v>6228</v>
      </c>
      <c r="AE55" s="45">
        <f t="shared" si="45"/>
        <v>1.8954756136100284</v>
      </c>
      <c r="AF55" s="213"/>
      <c r="AG55" s="134">
        <f>(AC55-$M$50)/$L$50*10</f>
        <v>0.91143049926937203</v>
      </c>
      <c r="AH55" s="18">
        <f t="shared" si="46"/>
        <v>0.63846953094923697</v>
      </c>
      <c r="AI55" s="23">
        <f>AE55*Experimentos!R58</f>
        <v>410.57897266406826</v>
      </c>
      <c r="AJ55" s="219"/>
      <c r="AK55" s="69">
        <f>AG55*Experimentos!R58</f>
        <v>197.42496044673868</v>
      </c>
      <c r="AL55" s="23">
        <f>AH55*Experimentos!R58</f>
        <v>138.29888509891424</v>
      </c>
      <c r="AM55" s="23">
        <f t="shared" si="33"/>
        <v>0.74630281820972122</v>
      </c>
      <c r="AN55" s="174"/>
    </row>
    <row r="56" spans="3:43">
      <c r="Y56" s="204"/>
      <c r="Z56" s="67" t="s">
        <v>237</v>
      </c>
      <c r="AA56" s="31">
        <v>36250</v>
      </c>
      <c r="AB56" s="207"/>
      <c r="AC56" s="31">
        <v>12308</v>
      </c>
      <c r="AD56" s="31">
        <v>7766</v>
      </c>
      <c r="AE56" s="45">
        <f t="shared" si="45"/>
        <v>1.8954756136100284</v>
      </c>
      <c r="AF56" s="213"/>
      <c r="AG56" s="134">
        <f>(AC56-$M$50)/$L$50*10</f>
        <v>0.89015328699813312</v>
      </c>
      <c r="AH56" s="18">
        <f t="shared" si="46"/>
        <v>0.70213558634450046</v>
      </c>
      <c r="AI56" s="23">
        <f>AE56*Experimentos!R58</f>
        <v>410.57897266406826</v>
      </c>
      <c r="AJ56" s="219"/>
      <c r="AK56" s="69">
        <f>AG56*Experimentos!R58</f>
        <v>192.81610349666562</v>
      </c>
      <c r="AL56" s="23">
        <f>AH56*Experimentos!R58</f>
        <v>152.08958935808226</v>
      </c>
      <c r="AM56" s="23">
        <f t="shared" si="33"/>
        <v>0.75548466551881621</v>
      </c>
      <c r="AN56" s="174"/>
    </row>
    <row r="57" spans="3:43">
      <c r="Y57" s="204" t="s">
        <v>74</v>
      </c>
      <c r="Z57" s="67" t="s">
        <v>236</v>
      </c>
      <c r="AA57" s="31">
        <v>294236</v>
      </c>
      <c r="AB57" s="207"/>
      <c r="AC57" s="31">
        <v>205858</v>
      </c>
      <c r="AD57" s="31">
        <v>74125</v>
      </c>
      <c r="AE57" s="45">
        <f t="shared" si="39"/>
        <v>1.3218994697847537</v>
      </c>
      <c r="AF57" s="213"/>
      <c r="AG57" s="134">
        <f t="shared" si="43"/>
        <v>0.89022241724033735</v>
      </c>
      <c r="AH57" s="18">
        <f t="shared" si="40"/>
        <v>0.34490899231288263</v>
      </c>
      <c r="AI57" s="23">
        <f>AE57*Experimentos!R59</f>
        <v>223.14984949436428</v>
      </c>
      <c r="AJ57" s="219"/>
      <c r="AK57" s="69">
        <f>AG57*Experimentos!R59</f>
        <v>150.27844625434136</v>
      </c>
      <c r="AL57" s="23">
        <f>AH57*Experimentos!R59</f>
        <v>58.224086992337718</v>
      </c>
      <c r="AM57" s="23">
        <f t="shared" si="33"/>
        <v>0.43165238274104339</v>
      </c>
      <c r="AN57" s="174">
        <f t="shared" ref="AN57" si="47">STDEV(AM57:AM60)</f>
        <v>8.5724708790008153E-3</v>
      </c>
    </row>
    <row r="58" spans="3:43">
      <c r="Y58" s="204"/>
      <c r="Z58" s="67" t="s">
        <v>237</v>
      </c>
      <c r="AA58" s="31">
        <v>295757</v>
      </c>
      <c r="AB58" s="207"/>
      <c r="AC58" s="31">
        <v>206560</v>
      </c>
      <c r="AD58" s="31">
        <v>74162</v>
      </c>
      <c r="AE58" s="45">
        <f t="shared" si="39"/>
        <v>1.3285754415534254</v>
      </c>
      <c r="AF58" s="213"/>
      <c r="AG58" s="134">
        <f t="shared" si="43"/>
        <v>0.89312837113419141</v>
      </c>
      <c r="AH58" s="18">
        <f t="shared" si="40"/>
        <v>0.34506215512495186</v>
      </c>
      <c r="AI58" s="23">
        <f>AE58*Experimentos!R59</f>
        <v>224.27682028863376</v>
      </c>
      <c r="AJ58" s="219"/>
      <c r="AK58" s="69">
        <f>AG58*Experimentos!R59</f>
        <v>150.76900033116286</v>
      </c>
      <c r="AL58" s="23">
        <f>AH58*Experimentos!R59</f>
        <v>58.249942406643122</v>
      </c>
      <c r="AM58" s="23">
        <f t="shared" si="33"/>
        <v>0.43329576302643974</v>
      </c>
      <c r="AN58" s="174"/>
    </row>
    <row r="59" spans="3:43">
      <c r="Y59" s="204" t="s">
        <v>75</v>
      </c>
      <c r="Z59" s="67" t="s">
        <v>236</v>
      </c>
      <c r="AA59" s="31">
        <v>312001</v>
      </c>
      <c r="AB59" s="207"/>
      <c r="AC59" s="31">
        <v>219451</v>
      </c>
      <c r="AD59" s="31">
        <v>68004</v>
      </c>
      <c r="AE59" s="45">
        <f t="shared" si="39"/>
        <v>1.3998735910671021</v>
      </c>
      <c r="AF59" s="213"/>
      <c r="AG59" s="134">
        <f t="shared" si="43"/>
        <v>0.94649112276620317</v>
      </c>
      <c r="AH59" s="18">
        <f t="shared" si="40"/>
        <v>0.31957089575407849</v>
      </c>
      <c r="AI59" s="23">
        <f>AE59*Experimentos!R60</f>
        <v>235.4867354893079</v>
      </c>
      <c r="AJ59" s="219"/>
      <c r="AK59" s="69">
        <f>AG59*Experimentos!R60</f>
        <v>159.21873667173071</v>
      </c>
      <c r="AL59" s="23">
        <f>AH59*Experimentos!R60</f>
        <v>53.75821608375108</v>
      </c>
      <c r="AM59" s="23">
        <f t="shared" si="33"/>
        <v>0.44846368824478977</v>
      </c>
      <c r="AN59" s="174"/>
    </row>
    <row r="60" spans="3:43">
      <c r="Y60" s="204"/>
      <c r="Z60" s="67" t="s">
        <v>237</v>
      </c>
      <c r="AA60" s="31">
        <v>310839</v>
      </c>
      <c r="AB60" s="207"/>
      <c r="AC60" s="31">
        <v>217223</v>
      </c>
      <c r="AD60" s="31">
        <v>67724</v>
      </c>
      <c r="AE60" s="45">
        <f t="shared" si="39"/>
        <v>1.3947733417605954</v>
      </c>
      <c r="AF60" s="213"/>
      <c r="AG60" s="134">
        <f t="shared" si="43"/>
        <v>0.93726823775835877</v>
      </c>
      <c r="AH60" s="18">
        <f t="shared" si="40"/>
        <v>0.3184118258249059</v>
      </c>
      <c r="AI60" s="23">
        <f>AE60*Experimentos!R60</f>
        <v>234.62877155096737</v>
      </c>
      <c r="AJ60" s="219"/>
      <c r="AK60" s="69">
        <f>AG60*Experimentos!R60</f>
        <v>157.66726295571112</v>
      </c>
      <c r="AL60" s="23">
        <f>AH60*Experimentos!R60</f>
        <v>53.563237340265673</v>
      </c>
      <c r="AM60" s="23">
        <f t="shared" si="33"/>
        <v>0.44585927184694418</v>
      </c>
      <c r="AN60" s="174"/>
    </row>
    <row r="61" spans="3:43">
      <c r="Y61" s="204" t="s">
        <v>334</v>
      </c>
      <c r="Z61" s="67" t="s">
        <v>236</v>
      </c>
      <c r="AA61" s="31">
        <v>31095</v>
      </c>
      <c r="AB61" s="207"/>
      <c r="AC61" s="209"/>
      <c r="AD61" s="31">
        <v>4875</v>
      </c>
      <c r="AE61" s="45">
        <f>((AA61-$D$50)/$C$50)*10</f>
        <v>1.669212402120861</v>
      </c>
      <c r="AF61" s="213"/>
      <c r="AG61" s="215"/>
      <c r="AH61" s="18">
        <f>((AD61-$M$50)/$L$50)*10</f>
        <v>0.58246161615743486</v>
      </c>
      <c r="AI61" s="23">
        <f>AE61*Experimentos!R61</f>
        <v>361.66825116752693</v>
      </c>
      <c r="AJ61" s="219"/>
      <c r="AK61" s="147"/>
      <c r="AL61" s="23">
        <f>AH61*Experimentos!R61</f>
        <v>126.2019583728314</v>
      </c>
      <c r="AM61" s="23">
        <f t="shared" si="33"/>
        <v>0.48787020954035837</v>
      </c>
      <c r="AN61" s="197">
        <f>STDEV(AM61:AM62)</f>
        <v>1.032688887219624E-2</v>
      </c>
    </row>
    <row r="62" spans="3:43">
      <c r="Y62" s="204"/>
      <c r="Z62" s="67" t="s">
        <v>237</v>
      </c>
      <c r="AA62" s="31">
        <v>32758</v>
      </c>
      <c r="AB62" s="208"/>
      <c r="AC62" s="210"/>
      <c r="AD62" s="31">
        <v>4740</v>
      </c>
      <c r="AE62" s="45">
        <f>((AA62-$D$50)/$C$50)*10</f>
        <v>1.7422047824712947</v>
      </c>
      <c r="AF62" s="214"/>
      <c r="AG62" s="216"/>
      <c r="AH62" s="18">
        <f>((AD62-$M$50)/$L$50)*10</f>
        <v>0.57687324328463863</v>
      </c>
      <c r="AI62" s="23">
        <f>AE62*Experimentos!R61</f>
        <v>377.48351021805541</v>
      </c>
      <c r="AJ62" s="220"/>
      <c r="AK62" s="147"/>
      <c r="AL62" s="23">
        <f>AH62*Experimentos!R61</f>
        <v>124.99112562248264</v>
      </c>
      <c r="AM62" s="23">
        <f t="shared" si="33"/>
        <v>0.50247463584053809</v>
      </c>
      <c r="AN62" s="199"/>
    </row>
    <row r="63" spans="3:43">
      <c r="Y63" s="204" t="s">
        <v>335</v>
      </c>
      <c r="Z63" s="67" t="s">
        <v>236</v>
      </c>
      <c r="AA63" s="31">
        <v>112369</v>
      </c>
      <c r="AB63" s="31">
        <v>28824</v>
      </c>
      <c r="AC63" s="210"/>
      <c r="AD63" s="31">
        <v>64334</v>
      </c>
      <c r="AE63" s="45">
        <f t="shared" si="39"/>
        <v>0.52364900452965346</v>
      </c>
      <c r="AF63" s="18">
        <f t="shared" ref="AF63:AF64" si="48">(AB63-$J$50)/$I$50</f>
        <v>0.16689112235406223</v>
      </c>
      <c r="AG63" s="216"/>
      <c r="AH63" s="18">
        <f t="shared" si="40"/>
        <v>0.30437880061099543</v>
      </c>
      <c r="AI63" s="23">
        <f>AE63*Experimentos!R62</f>
        <v>84.433165490361333</v>
      </c>
      <c r="AJ63" s="23">
        <f>AF63*Experimentos!R62</f>
        <v>26.909524568368994</v>
      </c>
      <c r="AK63" s="147"/>
      <c r="AL63" s="23">
        <f>AH63*Experimentos!R62</f>
        <v>49.078037810516904</v>
      </c>
      <c r="AM63" s="23">
        <f t="shared" si="33"/>
        <v>0.16042072786924724</v>
      </c>
      <c r="AN63" s="197">
        <f>STDEV(AM63:AM64)</f>
        <v>2.0619195448730457E-3</v>
      </c>
    </row>
    <row r="64" spans="3:43">
      <c r="Y64" s="204"/>
      <c r="Z64" s="67" t="s">
        <v>237</v>
      </c>
      <c r="AA64" s="31">
        <v>116340</v>
      </c>
      <c r="AB64" s="31">
        <v>29212</v>
      </c>
      <c r="AC64" s="211"/>
      <c r="AD64" s="31">
        <v>64067</v>
      </c>
      <c r="AE64" s="45">
        <f t="shared" si="39"/>
        <v>0.54107851399276663</v>
      </c>
      <c r="AF64" s="18">
        <f t="shared" si="48"/>
        <v>0.16865167774576312</v>
      </c>
      <c r="AG64" s="217"/>
      <c r="AH64" s="18">
        <f t="shared" si="40"/>
        <v>0.30327354464282019</v>
      </c>
      <c r="AI64" s="23">
        <f>AE64*Experimentos!R62</f>
        <v>87.243499596193701</v>
      </c>
      <c r="AJ64" s="23">
        <f>AF64*Experimentos!R62</f>
        <v>27.193396519726846</v>
      </c>
      <c r="AK64" s="148"/>
      <c r="AL64" s="23">
        <f>AH64*Experimentos!R62</f>
        <v>48.899826338208328</v>
      </c>
      <c r="AM64" s="23">
        <f t="shared" si="33"/>
        <v>0.16333672245412886</v>
      </c>
      <c r="AN64" s="199"/>
    </row>
    <row r="65" spans="25:34">
      <c r="Y65" s="204" t="s">
        <v>336</v>
      </c>
      <c r="Z65" s="67" t="s">
        <v>236</v>
      </c>
      <c r="AA65" s="156">
        <v>378122</v>
      </c>
      <c r="AB65" s="156">
        <v>23123</v>
      </c>
      <c r="AC65" s="157">
        <v>226079</v>
      </c>
      <c r="AD65" s="156">
        <v>80120</v>
      </c>
      <c r="AE65" s="156">
        <v>1.347</v>
      </c>
      <c r="AF65" s="156">
        <v>8.2000000000000003E-2</v>
      </c>
      <c r="AG65" s="156">
        <v>0.82499999999999996</v>
      </c>
      <c r="AH65" s="156">
        <v>0.27300000000000002</v>
      </c>
    </row>
    <row r="66" spans="25:34">
      <c r="Y66" s="204"/>
      <c r="Z66" s="67" t="s">
        <v>237</v>
      </c>
    </row>
  </sheetData>
  <mergeCells count="98">
    <mergeCell ref="Y65:Y66"/>
    <mergeCell ref="Y63:Y64"/>
    <mergeCell ref="Y51:Y52"/>
    <mergeCell ref="Y53:Y54"/>
    <mergeCell ref="Y55:Y56"/>
    <mergeCell ref="Y57:Y58"/>
    <mergeCell ref="Y59:Y60"/>
    <mergeCell ref="C48:D48"/>
    <mergeCell ref="F48:G48"/>
    <mergeCell ref="I48:J48"/>
    <mergeCell ref="L48:M48"/>
    <mergeCell ref="Y61:Y62"/>
    <mergeCell ref="Y47:Y48"/>
    <mergeCell ref="Y49:Y50"/>
    <mergeCell ref="U41:U44"/>
    <mergeCell ref="A35:A36"/>
    <mergeCell ref="A37:A38"/>
    <mergeCell ref="A25:A26"/>
    <mergeCell ref="B3:U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39:A40"/>
    <mergeCell ref="U5:U8"/>
    <mergeCell ref="U9:U12"/>
    <mergeCell ref="U13:U16"/>
    <mergeCell ref="U17:U20"/>
    <mergeCell ref="U21:U24"/>
    <mergeCell ref="U25:U28"/>
    <mergeCell ref="U29:U32"/>
    <mergeCell ref="U33:U36"/>
    <mergeCell ref="U37:U40"/>
    <mergeCell ref="A27:A28"/>
    <mergeCell ref="A29:A30"/>
    <mergeCell ref="A31:A32"/>
    <mergeCell ref="A33:A34"/>
    <mergeCell ref="Y9:Y10"/>
    <mergeCell ref="Y11:Y12"/>
    <mergeCell ref="Y13:Y14"/>
    <mergeCell ref="Z3:AN3"/>
    <mergeCell ref="AN5:AN8"/>
    <mergeCell ref="AN9:AN12"/>
    <mergeCell ref="AN13:AN16"/>
    <mergeCell ref="AB9:AB16"/>
    <mergeCell ref="AD5:AD16"/>
    <mergeCell ref="AH5:AH16"/>
    <mergeCell ref="AL5:AL16"/>
    <mergeCell ref="AJ9:AJ16"/>
    <mergeCell ref="Y15:Y16"/>
    <mergeCell ref="Y5:Y6"/>
    <mergeCell ref="Y7:Y8"/>
    <mergeCell ref="Y27:Y28"/>
    <mergeCell ref="AN61:AN62"/>
    <mergeCell ref="AN63:AN64"/>
    <mergeCell ref="AN45:AN48"/>
    <mergeCell ref="AB25:AB62"/>
    <mergeCell ref="AC5:AC48"/>
    <mergeCell ref="AC61:AC64"/>
    <mergeCell ref="AF25:AF62"/>
    <mergeCell ref="AN57:AN60"/>
    <mergeCell ref="AF9:AF16"/>
    <mergeCell ref="AN49:AN52"/>
    <mergeCell ref="AN53:AN56"/>
    <mergeCell ref="AG61:AG64"/>
    <mergeCell ref="AG5:AG48"/>
    <mergeCell ref="AJ25:AJ62"/>
    <mergeCell ref="AN17:AN20"/>
    <mergeCell ref="Y17:Y18"/>
    <mergeCell ref="Y19:Y20"/>
    <mergeCell ref="Y21:Y22"/>
    <mergeCell ref="Y23:Y24"/>
    <mergeCell ref="Y25:Y26"/>
    <mergeCell ref="Y41:Y42"/>
    <mergeCell ref="Y43:Y44"/>
    <mergeCell ref="Y45:Y46"/>
    <mergeCell ref="Y29:Y30"/>
    <mergeCell ref="Y31:Y32"/>
    <mergeCell ref="Y33:Y34"/>
    <mergeCell ref="Y35:Y36"/>
    <mergeCell ref="Y37:Y38"/>
    <mergeCell ref="Y39:Y40"/>
    <mergeCell ref="AP22:AS22"/>
    <mergeCell ref="AP23:AS23"/>
    <mergeCell ref="AP26:AS26"/>
    <mergeCell ref="AP27:AS27"/>
    <mergeCell ref="AN41:AN44"/>
    <mergeCell ref="AN37:AN40"/>
    <mergeCell ref="AN21:AN24"/>
    <mergeCell ref="AN25:AN28"/>
    <mergeCell ref="AN29:AN32"/>
    <mergeCell ref="AN33:AN36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73"/>
  <sheetViews>
    <sheetView topLeftCell="Y1" zoomScale="60" zoomScaleNormal="60" workbookViewId="0">
      <selection activeCell="Q9" sqref="Q9"/>
    </sheetView>
  </sheetViews>
  <sheetFormatPr defaultColWidth="11.42578125" defaultRowHeight="15"/>
  <cols>
    <col min="1" max="1" width="12.42578125" bestFit="1" customWidth="1"/>
    <col min="3" max="3" width="13.28515625" bestFit="1" customWidth="1"/>
    <col min="5" max="5" width="15.5703125" bestFit="1" customWidth="1"/>
    <col min="6" max="6" width="13.7109375" bestFit="1" customWidth="1"/>
    <col min="7" max="7" width="17.85546875" bestFit="1" customWidth="1"/>
    <col min="8" max="8" width="17.7109375" bestFit="1" customWidth="1"/>
    <col min="9" max="9" width="19.5703125" bestFit="1" customWidth="1"/>
    <col min="10" max="10" width="19.42578125" bestFit="1" customWidth="1"/>
    <col min="11" max="11" width="19.5703125" bestFit="1" customWidth="1"/>
    <col min="12" max="12" width="19.42578125" bestFit="1" customWidth="1"/>
    <col min="13" max="13" width="16" bestFit="1" customWidth="1"/>
    <col min="14" max="14" width="15.85546875" bestFit="1" customWidth="1"/>
    <col min="15" max="15" width="16" bestFit="1" customWidth="1"/>
    <col min="16" max="16" width="15.85546875" bestFit="1" customWidth="1"/>
    <col min="17" max="17" width="12.7109375" bestFit="1" customWidth="1"/>
    <col min="20" max="20" width="13.140625" bestFit="1" customWidth="1"/>
    <col min="24" max="25" width="11.42578125" customWidth="1"/>
    <col min="26" max="26" width="13.42578125" customWidth="1"/>
    <col min="27" max="27" width="11.42578125" customWidth="1"/>
    <col min="28" max="28" width="14.5703125" customWidth="1"/>
    <col min="29" max="29" width="11.42578125" customWidth="1"/>
    <col min="30" max="30" width="15.5703125" customWidth="1"/>
    <col min="31" max="31" width="13.7109375" customWidth="1"/>
    <col min="32" max="32" width="17.85546875" customWidth="1"/>
    <col min="33" max="33" width="17.7109375" customWidth="1"/>
    <col min="34" max="34" width="17.42578125" customWidth="1"/>
    <col min="35" max="35" width="15.5703125" customWidth="1"/>
    <col min="36" max="36" width="19.5703125" customWidth="1"/>
    <col min="37" max="37" width="19.42578125" customWidth="1"/>
    <col min="38" max="38" width="13.85546875" customWidth="1"/>
    <col min="39" max="39" width="12.140625" customWidth="1"/>
    <col min="40" max="40" width="16" customWidth="1"/>
    <col min="41" max="41" width="15.85546875" customWidth="1"/>
    <col min="42" max="42" width="12.7109375" customWidth="1"/>
    <col min="43" max="44" width="11.42578125" customWidth="1"/>
  </cols>
  <sheetData>
    <row r="1" spans="1:46">
      <c r="E1" s="251" t="s">
        <v>337</v>
      </c>
      <c r="F1" s="251"/>
      <c r="G1" s="251"/>
      <c r="H1" s="251"/>
      <c r="I1" s="251"/>
    </row>
    <row r="3" spans="1:46">
      <c r="B3" s="181" t="s">
        <v>338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AA3" s="181" t="s">
        <v>339</v>
      </c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</row>
    <row r="4" spans="1:46">
      <c r="A4" s="7" t="s">
        <v>0</v>
      </c>
      <c r="B4" s="7" t="s">
        <v>228</v>
      </c>
      <c r="C4" s="4" t="s">
        <v>229</v>
      </c>
      <c r="D4" s="4" t="s">
        <v>230</v>
      </c>
      <c r="E4" s="41" t="s">
        <v>306</v>
      </c>
      <c r="F4" s="41" t="s">
        <v>307</v>
      </c>
      <c r="G4" s="41" t="s">
        <v>308</v>
      </c>
      <c r="H4" s="41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318</v>
      </c>
      <c r="R4" s="4" t="s">
        <v>141</v>
      </c>
      <c r="S4" s="4" t="s">
        <v>142</v>
      </c>
      <c r="T4" s="4" t="s">
        <v>340</v>
      </c>
      <c r="U4" s="4" t="s">
        <v>319</v>
      </c>
      <c r="V4" s="4" t="s">
        <v>235</v>
      </c>
      <c r="Z4" s="7" t="s">
        <v>0</v>
      </c>
      <c r="AA4" s="7" t="s">
        <v>228</v>
      </c>
      <c r="AB4" s="4" t="s">
        <v>229</v>
      </c>
      <c r="AC4" s="4" t="s">
        <v>230</v>
      </c>
      <c r="AD4" s="41" t="s">
        <v>306</v>
      </c>
      <c r="AE4" s="41" t="s">
        <v>307</v>
      </c>
      <c r="AF4" s="41" t="s">
        <v>308</v>
      </c>
      <c r="AG4" s="41" t="s">
        <v>309</v>
      </c>
      <c r="AH4" s="4" t="s">
        <v>310</v>
      </c>
      <c r="AI4" s="4" t="s">
        <v>311</v>
      </c>
      <c r="AJ4" s="4" t="s">
        <v>312</v>
      </c>
      <c r="AK4" s="4" t="s">
        <v>313</v>
      </c>
      <c r="AL4" s="4" t="s">
        <v>314</v>
      </c>
      <c r="AM4" s="4" t="s">
        <v>315</v>
      </c>
      <c r="AN4" s="4" t="s">
        <v>316</v>
      </c>
      <c r="AO4" s="4" t="s">
        <v>317</v>
      </c>
      <c r="AP4" s="4" t="s">
        <v>318</v>
      </c>
      <c r="AQ4" s="4" t="s">
        <v>141</v>
      </c>
      <c r="AR4" s="4" t="s">
        <v>142</v>
      </c>
      <c r="AS4" s="4" t="s">
        <v>319</v>
      </c>
      <c r="AT4" s="4" t="s">
        <v>235</v>
      </c>
    </row>
    <row r="5" spans="1:46">
      <c r="A5" s="196" t="s">
        <v>13</v>
      </c>
      <c r="B5" s="2" t="s">
        <v>236</v>
      </c>
      <c r="C5" s="166">
        <v>0.30109999999999998</v>
      </c>
      <c r="D5" s="227">
        <f>C5*('Análisis sólidos'!F5/100)</f>
        <v>0.27713200481769484</v>
      </c>
      <c r="E5" s="82">
        <v>18501</v>
      </c>
      <c r="F5" s="82">
        <v>11492</v>
      </c>
      <c r="G5" s="235"/>
      <c r="H5" s="82">
        <v>308</v>
      </c>
      <c r="I5" s="45">
        <f t="shared" ref="I5:I44" si="0">(E5-$D$73)/$C$73</f>
        <v>0.11164366726359774</v>
      </c>
      <c r="J5" s="18">
        <f>(F5-$J$73)/$I$73</f>
        <v>8.8246931506227741E-2</v>
      </c>
      <c r="K5" s="238"/>
      <c r="L5" s="18">
        <f t="shared" ref="L5:L16" si="1">(H5-$M$454)/$L$73</f>
        <v>1.2749769220898031E-3</v>
      </c>
      <c r="M5" s="17">
        <f t="shared" ref="M5:M40" si="2">(I5*$X$6)/$X$15</f>
        <v>10.208683412210222</v>
      </c>
      <c r="N5" s="17">
        <f t="shared" ref="N5:N16" si="3">(J5*$X$6)/$X$12</f>
        <v>7.3601498008966368</v>
      </c>
      <c r="O5" s="245"/>
      <c r="P5" s="17">
        <f t="shared" ref="P5:P16" si="4">(L5*$X$6)/$X$18</f>
        <v>0.23644408071237508</v>
      </c>
      <c r="Q5" s="17">
        <f>SUM(M5:O5)</f>
        <v>17.56883321310686</v>
      </c>
      <c r="R5" s="23">
        <f>(M5/D5)/10</f>
        <v>3.6836898065691757</v>
      </c>
      <c r="S5" s="23">
        <f>(N5/D5)/10</f>
        <v>2.6558281515476168</v>
      </c>
      <c r="T5" s="23">
        <f>(P5/D5)/10</f>
        <v>8.5318215363799133E-2</v>
      </c>
      <c r="U5" s="23">
        <f>(Q5/D5)/10</f>
        <v>6.3395179581167929</v>
      </c>
      <c r="V5" s="174">
        <f>STDEV(U5:U8)</f>
        <v>0.21050276374855481</v>
      </c>
      <c r="X5" s="13" t="s">
        <v>321</v>
      </c>
      <c r="Z5" s="196" t="s">
        <v>13</v>
      </c>
      <c r="AA5" s="2" t="s">
        <v>236</v>
      </c>
      <c r="AB5" s="166">
        <f>C5</f>
        <v>0.30109999999999998</v>
      </c>
      <c r="AC5" s="227">
        <f>D5</f>
        <v>0.27713200481769484</v>
      </c>
      <c r="AD5" s="31">
        <v>1545</v>
      </c>
      <c r="AE5" s="226"/>
      <c r="AF5" s="215"/>
      <c r="AG5" s="215"/>
      <c r="AH5" s="45">
        <f t="shared" ref="AH5:AH44" si="5">(AD5-$D$73)/$C$73</f>
        <v>3.7220408019944522E-2</v>
      </c>
      <c r="AI5" s="226"/>
      <c r="AJ5" s="215"/>
      <c r="AK5" s="215"/>
      <c r="AL5" s="17">
        <f>(AH5*$X$6)/$X$15</f>
        <v>3.4034296011771774</v>
      </c>
      <c r="AM5" s="226"/>
      <c r="AN5" s="215"/>
      <c r="AO5" s="215"/>
      <c r="AP5" s="17">
        <f>SUM(AL5:AO5)</f>
        <v>3.4034296011771774</v>
      </c>
      <c r="AQ5" s="23">
        <f>(AL5/AC5)/10</f>
        <v>1.2280896980541993</v>
      </c>
      <c r="AR5" s="226"/>
      <c r="AS5" s="23">
        <f>(AP5/AC5)/10</f>
        <v>1.2280896980541993</v>
      </c>
      <c r="AT5" s="174">
        <f>STDEV(AS5:AS8)</f>
        <v>0.66167902108697974</v>
      </c>
    </row>
    <row r="6" spans="1:46">
      <c r="A6" s="196"/>
      <c r="B6" s="2" t="s">
        <v>237</v>
      </c>
      <c r="C6" s="167"/>
      <c r="D6" s="228"/>
      <c r="E6" s="82">
        <v>18586</v>
      </c>
      <c r="F6" s="82">
        <v>11377</v>
      </c>
      <c r="G6" s="236"/>
      <c r="H6" s="82">
        <v>296</v>
      </c>
      <c r="I6" s="45">
        <f t="shared" si="0"/>
        <v>0.11201674918360897</v>
      </c>
      <c r="J6" s="18">
        <f t="shared" ref="J6:J43" si="6">(F6-$J$73)/$I$73</f>
        <v>8.7725117408172057E-2</v>
      </c>
      <c r="K6" s="239"/>
      <c r="L6" s="18">
        <f t="shared" si="1"/>
        <v>1.2253024965538366E-3</v>
      </c>
      <c r="M6" s="17">
        <f t="shared" si="2"/>
        <v>10.242797977788058</v>
      </c>
      <c r="N6" s="17">
        <f t="shared" si="3"/>
        <v>7.3166284017459082</v>
      </c>
      <c r="O6" s="246"/>
      <c r="P6" s="17">
        <f t="shared" si="4"/>
        <v>0.22723197367163317</v>
      </c>
      <c r="Q6" s="17">
        <f t="shared" ref="Q6:Q68" si="7">SUM(M6:O6)</f>
        <v>17.559426379533967</v>
      </c>
      <c r="R6" s="23">
        <f>(M6/D5)/10</f>
        <v>3.6959996679293887</v>
      </c>
      <c r="S6" s="23">
        <f>(N6/D5)/10</f>
        <v>2.6401239389723283</v>
      </c>
      <c r="T6" s="23">
        <f>(P6/D5)/10</f>
        <v>8.1994129050923834E-2</v>
      </c>
      <c r="U6" s="23">
        <f>(Q6/D5)/10</f>
        <v>6.3361236069017171</v>
      </c>
      <c r="V6" s="174"/>
      <c r="X6" s="2">
        <v>87</v>
      </c>
      <c r="Z6" s="196"/>
      <c r="AA6" s="2" t="s">
        <v>237</v>
      </c>
      <c r="AB6" s="167"/>
      <c r="AC6" s="228"/>
      <c r="AD6" s="31">
        <v>1006</v>
      </c>
      <c r="AE6" s="226"/>
      <c r="AF6" s="216"/>
      <c r="AG6" s="216"/>
      <c r="AH6" s="45">
        <f t="shared" si="5"/>
        <v>3.4854629727167387E-2</v>
      </c>
      <c r="AI6" s="226"/>
      <c r="AJ6" s="216"/>
      <c r="AK6" s="216"/>
      <c r="AL6" s="17">
        <f t="shared" ref="AL6:AL40" si="8">(AH6*$X$6)/$X$15</f>
        <v>3.1871031206306562</v>
      </c>
      <c r="AM6" s="226"/>
      <c r="AN6" s="216"/>
      <c r="AO6" s="216"/>
      <c r="AP6" s="17">
        <f t="shared" ref="AP6:AP64" si="9">SUM(AL6:AO6)</f>
        <v>3.1871031206306562</v>
      </c>
      <c r="AQ6" s="23">
        <f>(AL6/AC5)/10</f>
        <v>1.1500306948406127</v>
      </c>
      <c r="AR6" s="226"/>
      <c r="AS6" s="23">
        <f>(AP6/AC5)/10</f>
        <v>1.1500306948406127</v>
      </c>
      <c r="AT6" s="174"/>
    </row>
    <row r="7" spans="1:46">
      <c r="A7" s="196" t="s">
        <v>18</v>
      </c>
      <c r="B7" s="2" t="s">
        <v>236</v>
      </c>
      <c r="C7" s="166">
        <v>0.31430000000000002</v>
      </c>
      <c r="D7" s="227">
        <f>C7*('Análisis sólidos'!F6/100)</f>
        <v>0.28852516382699922</v>
      </c>
      <c r="E7" s="82">
        <v>20630</v>
      </c>
      <c r="F7" s="82">
        <v>13945</v>
      </c>
      <c r="G7" s="236"/>
      <c r="H7" s="82">
        <v>491</v>
      </c>
      <c r="I7" s="45">
        <f t="shared" si="0"/>
        <v>0.12098827206011448</v>
      </c>
      <c r="J7" s="18">
        <f t="shared" si="6"/>
        <v>9.9377453093450099E-2</v>
      </c>
      <c r="K7" s="239"/>
      <c r="L7" s="18">
        <f t="shared" si="1"/>
        <v>2.0325119115132901E-3</v>
      </c>
      <c r="M7" s="17">
        <f t="shared" si="2"/>
        <v>11.063152942977464</v>
      </c>
      <c r="N7" s="17">
        <f t="shared" si="3"/>
        <v>8.2884801671291335</v>
      </c>
      <c r="O7" s="246"/>
      <c r="P7" s="17">
        <f t="shared" si="4"/>
        <v>0.37692871308368886</v>
      </c>
      <c r="Q7" s="17">
        <f t="shared" si="7"/>
        <v>19.351633110106597</v>
      </c>
      <c r="R7" s="23">
        <f t="shared" ref="R7:R39" si="10">(M7/D7)/10</f>
        <v>3.8343806121572719</v>
      </c>
      <c r="S7" s="23">
        <f t="shared" ref="S7:S39" si="11">(N7/D7)/10</f>
        <v>2.8727061644089171</v>
      </c>
      <c r="T7" s="23">
        <f t="shared" ref="T7:T67" si="12">(P7/D7)/10</f>
        <v>0.13063980558371566</v>
      </c>
      <c r="U7" s="23">
        <f>(Q7/D7)/10</f>
        <v>6.7070867765661886</v>
      </c>
      <c r="V7" s="174"/>
      <c r="Z7" s="196" t="s">
        <v>18</v>
      </c>
      <c r="AA7" s="2" t="s">
        <v>236</v>
      </c>
      <c r="AB7" s="166">
        <f>C7</f>
        <v>0.31430000000000002</v>
      </c>
      <c r="AC7" s="227">
        <f>D7</f>
        <v>0.28852516382699922</v>
      </c>
      <c r="AD7" s="31">
        <v>2069</v>
      </c>
      <c r="AE7" s="31">
        <v>342</v>
      </c>
      <c r="AF7" s="216"/>
      <c r="AG7" s="216"/>
      <c r="AH7" s="45">
        <f t="shared" si="5"/>
        <v>3.9520348326837318E-2</v>
      </c>
      <c r="AI7" s="18">
        <f t="shared" ref="AI7:AI43" si="13">(AE7-$J$73)/$I$73</f>
        <v>3.7653651564307909E-2</v>
      </c>
      <c r="AJ7" s="216"/>
      <c r="AK7" s="216"/>
      <c r="AL7" s="17">
        <f t="shared" si="8"/>
        <v>3.6137358642687856</v>
      </c>
      <c r="AM7" s="17">
        <f t="shared" ref="AM7:AM40" si="14">(AI7*$X$6)/$X$12</f>
        <v>3.1404663180216548</v>
      </c>
      <c r="AN7" s="216"/>
      <c r="AO7" s="216"/>
      <c r="AP7" s="17">
        <f t="shared" si="9"/>
        <v>6.7542021822904399</v>
      </c>
      <c r="AQ7" s="23">
        <f t="shared" ref="AQ7:AQ39" si="15">(AL7/AC7)/10</f>
        <v>1.2524855081394548</v>
      </c>
      <c r="AR7" s="23">
        <f t="shared" ref="AR7:AR39" si="16">(AM7/AC7)/10</f>
        <v>1.0884549119967539</v>
      </c>
      <c r="AS7" s="23">
        <f>(AP7/AC7)/10</f>
        <v>2.3409404201362087</v>
      </c>
      <c r="AT7" s="174"/>
    </row>
    <row r="8" spans="1:46">
      <c r="A8" s="196"/>
      <c r="B8" s="2" t="s">
        <v>237</v>
      </c>
      <c r="C8" s="167"/>
      <c r="D8" s="228"/>
      <c r="E8" s="82">
        <v>20627</v>
      </c>
      <c r="F8" s="82">
        <v>13876</v>
      </c>
      <c r="G8" s="236"/>
      <c r="H8" s="82">
        <v>459</v>
      </c>
      <c r="I8" s="45">
        <f t="shared" si="0"/>
        <v>0.1209751044629376</v>
      </c>
      <c r="J8" s="18">
        <f t="shared" si="6"/>
        <v>9.9064364634616695E-2</v>
      </c>
      <c r="K8" s="239"/>
      <c r="L8" s="18">
        <f t="shared" si="1"/>
        <v>1.9000467767507131E-3</v>
      </c>
      <c r="M8" s="17">
        <f t="shared" si="2"/>
        <v>11.061948899486481</v>
      </c>
      <c r="N8" s="17">
        <f t="shared" si="3"/>
        <v>8.262367327638696</v>
      </c>
      <c r="O8" s="246"/>
      <c r="P8" s="17">
        <f t="shared" si="4"/>
        <v>0.35236309430837714</v>
      </c>
      <c r="Q8" s="17">
        <f t="shared" si="7"/>
        <v>19.324316227125177</v>
      </c>
      <c r="R8" s="23">
        <f>(M8/D7)/10</f>
        <v>3.8339633024588684</v>
      </c>
      <c r="S8" s="23">
        <f>(N8/D7)/10</f>
        <v>2.8636557096256752</v>
      </c>
      <c r="T8" s="23">
        <f>(P8/D7)/10</f>
        <v>0.12212560236848366</v>
      </c>
      <c r="U8" s="23">
        <f>(Q8/D7)/10</f>
        <v>6.6976190120845445</v>
      </c>
      <c r="V8" s="174"/>
      <c r="X8" s="16" t="s">
        <v>322</v>
      </c>
      <c r="Z8" s="196"/>
      <c r="AA8" s="2" t="s">
        <v>237</v>
      </c>
      <c r="AB8" s="167"/>
      <c r="AC8" s="228"/>
      <c r="AD8" s="31">
        <v>1975</v>
      </c>
      <c r="AE8" s="31">
        <v>332</v>
      </c>
      <c r="AF8" s="216"/>
      <c r="AG8" s="216"/>
      <c r="AH8" s="45">
        <f t="shared" si="5"/>
        <v>3.9107763615295478E-2</v>
      </c>
      <c r="AI8" s="18">
        <f t="shared" si="13"/>
        <v>3.7608276425346553E-2</v>
      </c>
      <c r="AJ8" s="216"/>
      <c r="AK8" s="216"/>
      <c r="AL8" s="17">
        <f t="shared" si="8"/>
        <v>3.5760091682180009</v>
      </c>
      <c r="AM8" s="17">
        <f t="shared" si="14"/>
        <v>3.1366818485302876</v>
      </c>
      <c r="AN8" s="216"/>
      <c r="AO8" s="216"/>
      <c r="AP8" s="17">
        <f t="shared" si="9"/>
        <v>6.7126910167482885</v>
      </c>
      <c r="AQ8" s="23">
        <f>(AL8/AC7)/10</f>
        <v>1.2394098042561685</v>
      </c>
      <c r="AR8" s="23">
        <f>(AM8/AC7)/10</f>
        <v>1.0871432518832409</v>
      </c>
      <c r="AS8" s="23">
        <f>(AP8/AC7)/10</f>
        <v>2.3265530561394092</v>
      </c>
      <c r="AT8" s="174"/>
    </row>
    <row r="9" spans="1:46">
      <c r="A9" s="196" t="s">
        <v>19</v>
      </c>
      <c r="B9" s="2" t="s">
        <v>236</v>
      </c>
      <c r="C9" s="166">
        <v>0.30919999999999997</v>
      </c>
      <c r="D9" s="227">
        <f>C9*('Análisis sólidos'!F7/100)</f>
        <v>0.26067474697401588</v>
      </c>
      <c r="E9" s="82">
        <v>22897</v>
      </c>
      <c r="F9" s="82">
        <v>18016</v>
      </c>
      <c r="G9" s="236"/>
      <c r="H9" s="82">
        <v>2043</v>
      </c>
      <c r="I9" s="45">
        <f t="shared" si="0"/>
        <v>0.13093858632676708</v>
      </c>
      <c r="J9" s="18">
        <f t="shared" si="6"/>
        <v>0.117849672164621</v>
      </c>
      <c r="K9" s="239"/>
      <c r="L9" s="18">
        <f t="shared" si="1"/>
        <v>8.4570709474982714E-3</v>
      </c>
      <c r="M9" s="17">
        <f t="shared" si="2"/>
        <v>11.973008474329898</v>
      </c>
      <c r="N9" s="17">
        <f t="shared" si="3"/>
        <v>9.8291376970649207</v>
      </c>
      <c r="O9" s="246"/>
      <c r="P9" s="17">
        <f t="shared" si="4"/>
        <v>1.568361223686306</v>
      </c>
      <c r="Q9" s="17">
        <f>SUM(M9:O9)</f>
        <v>21.802146171394817</v>
      </c>
      <c r="R9" s="23">
        <f>(M9/D9)/10</f>
        <v>4.5930833781622002</v>
      </c>
      <c r="S9" s="23">
        <f t="shared" si="11"/>
        <v>3.7706520524769864</v>
      </c>
      <c r="T9" s="23">
        <f t="shared" si="12"/>
        <v>0.60165445325727718</v>
      </c>
      <c r="U9" s="23">
        <f>(Q9/D9)/10</f>
        <v>8.3637354306391867</v>
      </c>
      <c r="V9" s="174">
        <f t="shared" ref="V9" si="17">STDEV(U9:U12)</f>
        <v>0.94409272752627027</v>
      </c>
      <c r="X9" s="17">
        <f>'Análisis carbohidratos'!W9</f>
        <v>1.0261413888276749</v>
      </c>
      <c r="Z9" s="196" t="s">
        <v>19</v>
      </c>
      <c r="AA9" s="2" t="s">
        <v>236</v>
      </c>
      <c r="AB9" s="166">
        <f>C9</f>
        <v>0.30919999999999997</v>
      </c>
      <c r="AC9" s="227">
        <f>D9</f>
        <v>0.26067474697401588</v>
      </c>
      <c r="AD9" s="31">
        <v>2283</v>
      </c>
      <c r="AE9" s="31">
        <v>1480</v>
      </c>
      <c r="AF9" s="216"/>
      <c r="AG9" s="216"/>
      <c r="AH9" s="45">
        <f t="shared" si="5"/>
        <v>4.0459636925453846E-2</v>
      </c>
      <c r="AI9" s="18">
        <f t="shared" si="13"/>
        <v>4.281734237811103E-2</v>
      </c>
      <c r="AJ9" s="216"/>
      <c r="AK9" s="216"/>
      <c r="AL9" s="17">
        <f t="shared" si="8"/>
        <v>3.6996242999588702</v>
      </c>
      <c r="AM9" s="17">
        <f t="shared" si="14"/>
        <v>3.5711389461392988</v>
      </c>
      <c r="AN9" s="216"/>
      <c r="AO9" s="216"/>
      <c r="AP9" s="17">
        <f t="shared" si="9"/>
        <v>7.270763246098169</v>
      </c>
      <c r="AQ9" s="23">
        <f t="shared" si="15"/>
        <v>1.4192492149336007</v>
      </c>
      <c r="AR9" s="23">
        <f t="shared" si="16"/>
        <v>1.3699596863885211</v>
      </c>
      <c r="AS9" s="23">
        <f>(AP9/AC9)/10</f>
        <v>2.7892089013221217</v>
      </c>
      <c r="AT9" s="174">
        <f t="shared" ref="AT9" si="18">STDEV(AS9:AS12)</f>
        <v>2.7890381493140645E-2</v>
      </c>
    </row>
    <row r="10" spans="1:46">
      <c r="A10" s="196"/>
      <c r="B10" s="2" t="s">
        <v>237</v>
      </c>
      <c r="C10" s="167"/>
      <c r="D10" s="228"/>
      <c r="E10" s="82">
        <v>22951</v>
      </c>
      <c r="F10" s="82">
        <v>17592</v>
      </c>
      <c r="G10" s="236"/>
      <c r="H10" s="82">
        <v>2033</v>
      </c>
      <c r="I10" s="45">
        <f t="shared" si="0"/>
        <v>0.13117560307595069</v>
      </c>
      <c r="J10" s="18">
        <f t="shared" si="6"/>
        <v>0.1159257662726592</v>
      </c>
      <c r="K10" s="239"/>
      <c r="L10" s="18">
        <f t="shared" si="1"/>
        <v>8.415675592884966E-3</v>
      </c>
      <c r="M10" s="17">
        <f t="shared" si="2"/>
        <v>11.994681257167583</v>
      </c>
      <c r="N10" s="17">
        <f t="shared" si="3"/>
        <v>9.6686761906309311</v>
      </c>
      <c r="O10" s="246"/>
      <c r="P10" s="17">
        <f t="shared" si="4"/>
        <v>1.5606844678190213</v>
      </c>
      <c r="Q10" s="17">
        <f t="shared" si="7"/>
        <v>21.663357447798514</v>
      </c>
      <c r="R10" s="23">
        <f>(M10/D9)/10</f>
        <v>4.6013974872538057</v>
      </c>
      <c r="S10" s="23">
        <f>(N10/D9)/10</f>
        <v>3.7090958379618977</v>
      </c>
      <c r="T10" s="23">
        <f>(P10/D9)/10</f>
        <v>0.59870949753893521</v>
      </c>
      <c r="U10" s="23">
        <f>(Q10/D9)/10</f>
        <v>8.3104933252157043</v>
      </c>
      <c r="V10" s="174"/>
      <c r="Z10" s="196"/>
      <c r="AA10" s="2" t="s">
        <v>237</v>
      </c>
      <c r="AB10" s="167"/>
      <c r="AC10" s="228"/>
      <c r="AD10" s="31">
        <v>2232</v>
      </c>
      <c r="AE10" s="31">
        <v>1813</v>
      </c>
      <c r="AF10" s="216"/>
      <c r="AG10" s="216"/>
      <c r="AH10" s="45">
        <f t="shared" si="5"/>
        <v>4.02357877734471E-2</v>
      </c>
      <c r="AI10" s="18">
        <f t="shared" si="13"/>
        <v>4.4328334505524418E-2</v>
      </c>
      <c r="AJ10" s="216"/>
      <c r="AK10" s="216"/>
      <c r="AL10" s="17">
        <f t="shared" si="8"/>
        <v>3.6791555606121675</v>
      </c>
      <c r="AM10" s="17">
        <f t="shared" si="14"/>
        <v>3.6971617802018431</v>
      </c>
      <c r="AN10" s="216"/>
      <c r="AO10" s="216"/>
      <c r="AP10" s="17">
        <f t="shared" si="9"/>
        <v>7.3763173408140101</v>
      </c>
      <c r="AQ10" s="23">
        <f>(AL10/AC9)/10</f>
        <v>1.4113970007915291</v>
      </c>
      <c r="AR10" s="23">
        <f>(AM10/AC9)/10</f>
        <v>1.4183045435430601</v>
      </c>
      <c r="AS10" s="23">
        <f t="shared" ref="AS10" si="19">(AP10/AC9)/10</f>
        <v>2.829701544334589</v>
      </c>
      <c r="AT10" s="174"/>
    </row>
    <row r="11" spans="1:46">
      <c r="A11" s="196" t="s">
        <v>22</v>
      </c>
      <c r="B11" s="2" t="s">
        <v>236</v>
      </c>
      <c r="C11" s="166">
        <v>0.31340000000000001</v>
      </c>
      <c r="D11" s="227">
        <f>C11*('Análisis sólidos'!F8/100)</f>
        <v>0.29132875796769581</v>
      </c>
      <c r="E11" s="136">
        <v>14927</v>
      </c>
      <c r="F11" s="136">
        <v>19122</v>
      </c>
      <c r="G11" s="236"/>
      <c r="H11" s="136">
        <v>2027</v>
      </c>
      <c r="I11" s="45">
        <f t="shared" si="0"/>
        <v>9.5956669826889995E-2</v>
      </c>
      <c r="J11" s="18">
        <f t="shared" si="6"/>
        <v>0.12286816253374776</v>
      </c>
      <c r="K11" s="239"/>
      <c r="L11" s="18">
        <f t="shared" si="1"/>
        <v>8.3908383801169825E-3</v>
      </c>
      <c r="M11" s="17">
        <f t="shared" si="2"/>
        <v>8.7742662666197475</v>
      </c>
      <c r="N11" s="17">
        <f t="shared" si="3"/>
        <v>10.247700022810189</v>
      </c>
      <c r="O11" s="246"/>
      <c r="P11" s="17">
        <f t="shared" si="4"/>
        <v>1.5560784142986499</v>
      </c>
      <c r="Q11" s="17">
        <f t="shared" si="7"/>
        <v>19.021966289429937</v>
      </c>
      <c r="R11" s="23">
        <f t="shared" si="10"/>
        <v>3.0118091766253601</v>
      </c>
      <c r="S11" s="23">
        <f t="shared" si="11"/>
        <v>3.51757241348158</v>
      </c>
      <c r="T11" s="23">
        <f t="shared" si="12"/>
        <v>0.53413141399215958</v>
      </c>
      <c r="U11" s="23">
        <f>(Q11/D11)/10</f>
        <v>6.529381590106941</v>
      </c>
      <c r="V11" s="174"/>
      <c r="X11" s="16" t="s">
        <v>323</v>
      </c>
      <c r="Z11" s="196" t="s">
        <v>22</v>
      </c>
      <c r="AA11" s="2" t="s">
        <v>236</v>
      </c>
      <c r="AB11" s="166">
        <f>C11</f>
        <v>0.31340000000000001</v>
      </c>
      <c r="AC11" s="227">
        <f>D11</f>
        <v>0.29132875796769581</v>
      </c>
      <c r="AD11" s="31">
        <v>3890</v>
      </c>
      <c r="AE11" s="31">
        <v>1883</v>
      </c>
      <c r="AF11" s="216"/>
      <c r="AG11" s="216"/>
      <c r="AH11" s="45">
        <f t="shared" si="5"/>
        <v>4.7513079813195691E-2</v>
      </c>
      <c r="AI11" s="18">
        <f t="shared" si="13"/>
        <v>4.4645960478253963E-2</v>
      </c>
      <c r="AJ11" s="216"/>
      <c r="AK11" s="216"/>
      <c r="AL11" s="17">
        <f t="shared" si="8"/>
        <v>4.3445902632951583</v>
      </c>
      <c r="AM11" s="17">
        <f t="shared" si="14"/>
        <v>3.7236530666414174</v>
      </c>
      <c r="AN11" s="216"/>
      <c r="AO11" s="216"/>
      <c r="AP11" s="17">
        <f t="shared" si="9"/>
        <v>8.0682433299365748</v>
      </c>
      <c r="AQ11" s="23">
        <f t="shared" si="15"/>
        <v>1.4913015431785526</v>
      </c>
      <c r="AR11" s="23">
        <f t="shared" si="16"/>
        <v>1.278161858313458</v>
      </c>
      <c r="AS11" s="23">
        <f>(AP11/AC11)/10</f>
        <v>2.7694634014920103</v>
      </c>
      <c r="AT11" s="174"/>
    </row>
    <row r="12" spans="1:46">
      <c r="A12" s="196"/>
      <c r="B12" s="2" t="s">
        <v>237</v>
      </c>
      <c r="C12" s="167"/>
      <c r="D12" s="228"/>
      <c r="E12" s="136">
        <v>17162</v>
      </c>
      <c r="F12" s="136">
        <v>19782</v>
      </c>
      <c r="G12" s="236"/>
      <c r="H12" s="136">
        <v>2130</v>
      </c>
      <c r="I12" s="45">
        <f t="shared" si="0"/>
        <v>0.10576652972365602</v>
      </c>
      <c r="J12" s="18">
        <f t="shared" si="6"/>
        <v>0.12586292170519772</v>
      </c>
      <c r="K12" s="239"/>
      <c r="L12" s="18">
        <f t="shared" si="1"/>
        <v>8.8172105326340278E-3</v>
      </c>
      <c r="M12" s="17">
        <f t="shared" si="2"/>
        <v>9.6712786674017011</v>
      </c>
      <c r="N12" s="17">
        <f t="shared" si="3"/>
        <v>10.497475009240457</v>
      </c>
      <c r="O12" s="246"/>
      <c r="P12" s="17">
        <f t="shared" si="4"/>
        <v>1.6351489997316848</v>
      </c>
      <c r="Q12" s="17">
        <f t="shared" si="7"/>
        <v>20.168753676642158</v>
      </c>
      <c r="R12" s="23">
        <f>(M12/D11)/10</f>
        <v>3.3197130056326629</v>
      </c>
      <c r="S12" s="23">
        <f>(N12/D11)/10</f>
        <v>3.6033088811659568</v>
      </c>
      <c r="T12" s="23">
        <f>(P12/D11)/10</f>
        <v>0.56127277345994098</v>
      </c>
      <c r="U12" s="23">
        <f>(Q12/D11)/10</f>
        <v>6.9230218867986197</v>
      </c>
      <c r="V12" s="174"/>
      <c r="X12" s="17">
        <f>'Análisis carbohidratos'!W12</f>
        <v>1.0431150518304013</v>
      </c>
      <c r="Z12" s="196"/>
      <c r="AA12" s="2" t="s">
        <v>237</v>
      </c>
      <c r="AB12" s="167"/>
      <c r="AC12" s="228"/>
      <c r="AD12" s="31">
        <v>3827</v>
      </c>
      <c r="AE12" s="31">
        <v>1967</v>
      </c>
      <c r="AF12" s="216"/>
      <c r="AG12" s="216"/>
      <c r="AH12" s="45">
        <f t="shared" si="5"/>
        <v>4.7236560272481479E-2</v>
      </c>
      <c r="AI12" s="18">
        <f t="shared" si="13"/>
        <v>4.5027111645529409E-2</v>
      </c>
      <c r="AJ12" s="216"/>
      <c r="AK12" s="216"/>
      <c r="AL12" s="17">
        <f t="shared" si="8"/>
        <v>4.3193053499845258</v>
      </c>
      <c r="AM12" s="17">
        <f t="shared" si="14"/>
        <v>3.7554426103689056</v>
      </c>
      <c r="AN12" s="216"/>
      <c r="AO12" s="216"/>
      <c r="AP12" s="17">
        <f t="shared" si="9"/>
        <v>8.0747479603534309</v>
      </c>
      <c r="AQ12" s="23">
        <f>(AL12/AC11)/10</f>
        <v>1.4826223748441185</v>
      </c>
      <c r="AR12" s="23">
        <f>(AM12/AC11)/10</f>
        <v>1.2890737723823786</v>
      </c>
      <c r="AS12" s="23">
        <f t="shared" ref="AS12" si="20">(AP12/AC11)/10</f>
        <v>2.7716961472264972</v>
      </c>
      <c r="AT12" s="174"/>
    </row>
    <row r="13" spans="1:46">
      <c r="A13" s="196" t="s">
        <v>25</v>
      </c>
      <c r="B13" s="2" t="s">
        <v>236</v>
      </c>
      <c r="C13" s="166">
        <v>0.30070000000000002</v>
      </c>
      <c r="D13" s="227">
        <f>C13*('Análisis sólidos'!F9/100)</f>
        <v>0.27666089325842663</v>
      </c>
      <c r="E13" s="138">
        <v>19160</v>
      </c>
      <c r="F13" s="82">
        <v>19621</v>
      </c>
      <c r="G13" s="236"/>
      <c r="H13" s="136">
        <v>1778</v>
      </c>
      <c r="I13" s="45">
        <f t="shared" si="0"/>
        <v>0.11453614944344956</v>
      </c>
      <c r="J13" s="18">
        <f t="shared" si="6"/>
        <v>0.12513238196791979</v>
      </c>
      <c r="K13" s="239"/>
      <c r="L13" s="18">
        <f t="shared" si="1"/>
        <v>7.3600940502456811E-3</v>
      </c>
      <c r="M13" s="17">
        <f t="shared" si="2"/>
        <v>10.473171632396042</v>
      </c>
      <c r="N13" s="17">
        <f t="shared" si="3"/>
        <v>10.436545050429437</v>
      </c>
      <c r="O13" s="246"/>
      <c r="P13" s="17">
        <f t="shared" si="4"/>
        <v>1.3649271932032561</v>
      </c>
      <c r="Q13" s="17">
        <f t="shared" si="7"/>
        <v>20.909716682825479</v>
      </c>
      <c r="R13" s="23">
        <f t="shared" si="10"/>
        <v>3.7855627186937255</v>
      </c>
      <c r="S13" s="23">
        <f t="shared" si="11"/>
        <v>3.7723239188274968</v>
      </c>
      <c r="T13" s="23">
        <f t="shared" si="12"/>
        <v>0.4933574735220308</v>
      </c>
      <c r="U13" s="23">
        <f>(Q13/D13)/10</f>
        <v>7.5578866375212232</v>
      </c>
      <c r="V13" s="174">
        <f>STDEV(U13:U15)</f>
        <v>0.15361761676735125</v>
      </c>
      <c r="Z13" s="196" t="s">
        <v>25</v>
      </c>
      <c r="AA13" s="2" t="s">
        <v>236</v>
      </c>
      <c r="AB13" s="166">
        <f>C13</f>
        <v>0.30070000000000002</v>
      </c>
      <c r="AC13" s="227">
        <f>D13</f>
        <v>0.27666089325842663</v>
      </c>
      <c r="AD13" s="31">
        <v>3156</v>
      </c>
      <c r="AE13" s="31">
        <v>2433</v>
      </c>
      <c r="AF13" s="216"/>
      <c r="AG13" s="216"/>
      <c r="AH13" s="45">
        <f t="shared" si="5"/>
        <v>4.4291407703922189E-2</v>
      </c>
      <c r="AI13" s="18">
        <f t="shared" si="13"/>
        <v>4.7141593121128929E-2</v>
      </c>
      <c r="AJ13" s="216"/>
      <c r="AK13" s="216"/>
      <c r="AL13" s="17">
        <f t="shared" si="8"/>
        <v>4.0500009558347756</v>
      </c>
      <c r="AM13" s="17">
        <f t="shared" si="14"/>
        <v>3.93179888866664</v>
      </c>
      <c r="AN13" s="216"/>
      <c r="AO13" s="216"/>
      <c r="AP13" s="17">
        <f t="shared" si="9"/>
        <v>7.9817998445014151</v>
      </c>
      <c r="AQ13" s="23">
        <f t="shared" si="15"/>
        <v>1.4638863151691279</v>
      </c>
      <c r="AR13" s="23">
        <f t="shared" si="16"/>
        <v>1.4211617848692404</v>
      </c>
      <c r="AS13" s="23">
        <f>(AP13/AC13)/10</f>
        <v>2.8850481000383681</v>
      </c>
      <c r="AT13" s="174">
        <f>STDEV(AS13:AS15)</f>
        <v>9.0221882895425029E-2</v>
      </c>
    </row>
    <row r="14" spans="1:46">
      <c r="A14" s="196"/>
      <c r="B14" s="2" t="s">
        <v>237</v>
      </c>
      <c r="C14" s="167"/>
      <c r="D14" s="228"/>
      <c r="E14" s="138">
        <v>19194</v>
      </c>
      <c r="F14" s="82">
        <v>18759</v>
      </c>
      <c r="G14" s="236"/>
      <c r="H14" s="136">
        <v>1799</v>
      </c>
      <c r="I14" s="45">
        <f t="shared" si="0"/>
        <v>0.11468538221145405</v>
      </c>
      <c r="J14" s="18">
        <f t="shared" si="6"/>
        <v>0.12122104498945027</v>
      </c>
      <c r="K14" s="239"/>
      <c r="L14" s="18">
        <f t="shared" si="1"/>
        <v>7.4470242949336227E-3</v>
      </c>
      <c r="M14" s="17">
        <f t="shared" si="2"/>
        <v>10.486817458627177</v>
      </c>
      <c r="N14" s="17">
        <f t="shared" si="3"/>
        <v>10.110323780273541</v>
      </c>
      <c r="O14" s="246"/>
      <c r="P14" s="17">
        <f t="shared" si="4"/>
        <v>1.3810483805245544</v>
      </c>
      <c r="Q14" s="17">
        <f t="shared" si="7"/>
        <v>20.597141238900718</v>
      </c>
      <c r="R14" s="23">
        <f>(M14/D13)/10</f>
        <v>3.7904950479688972</v>
      </c>
      <c r="S14" s="23">
        <f>(N14/D13)/10</f>
        <v>3.6544101557676862</v>
      </c>
      <c r="T14" s="23">
        <f>(P14/D13)/10</f>
        <v>0.49918453029591303</v>
      </c>
      <c r="U14" s="23">
        <f>(Q14/D13)/10</f>
        <v>7.4449052037365835</v>
      </c>
      <c r="V14" s="174"/>
      <c r="X14" s="16" t="s">
        <v>324</v>
      </c>
      <c r="Z14" s="196"/>
      <c r="AA14" s="2" t="s">
        <v>237</v>
      </c>
      <c r="AB14" s="167"/>
      <c r="AC14" s="228"/>
      <c r="AD14" s="31">
        <v>3351</v>
      </c>
      <c r="AE14" s="31">
        <v>2223</v>
      </c>
      <c r="AF14" s="216"/>
      <c r="AG14" s="216"/>
      <c r="AH14" s="45">
        <f t="shared" si="5"/>
        <v>4.5147301520418556E-2</v>
      </c>
      <c r="AI14" s="18">
        <f t="shared" si="13"/>
        <v>4.6188715202940309E-2</v>
      </c>
      <c r="AJ14" s="216"/>
      <c r="AK14" s="216"/>
      <c r="AL14" s="17">
        <f t="shared" si="8"/>
        <v>4.128263782748637</v>
      </c>
      <c r="AM14" s="17">
        <f t="shared" si="14"/>
        <v>3.8523250293479192</v>
      </c>
      <c r="AN14" s="216"/>
      <c r="AO14" s="216"/>
      <c r="AP14" s="17">
        <f t="shared" si="9"/>
        <v>7.9805888120965562</v>
      </c>
      <c r="AQ14" s="23">
        <f>(AL14/AC13)/10</f>
        <v>1.4921746742473141</v>
      </c>
      <c r="AR14" s="23">
        <f>(AM14/AC13)/10</f>
        <v>1.3924356941006095</v>
      </c>
      <c r="AS14" s="23">
        <f t="shared" ref="AS14" si="21">(AP14/AC13)/10</f>
        <v>2.8846103683479236</v>
      </c>
      <c r="AT14" s="174"/>
    </row>
    <row r="15" spans="1:46">
      <c r="A15" s="196" t="s">
        <v>27</v>
      </c>
      <c r="B15" s="2" t="s">
        <v>236</v>
      </c>
      <c r="C15" s="166">
        <v>0.3276</v>
      </c>
      <c r="D15" s="227">
        <f>C15*('Análisis sólidos'!F10/100)</f>
        <v>0.29879869323750446</v>
      </c>
      <c r="E15" s="138">
        <v>18425</v>
      </c>
      <c r="F15" s="82">
        <v>22422</v>
      </c>
      <c r="G15" s="236"/>
      <c r="H15" s="136">
        <v>1444</v>
      </c>
      <c r="I15" s="45">
        <f t="shared" si="0"/>
        <v>0.1113100881351171</v>
      </c>
      <c r="J15" s="18">
        <f t="shared" si="6"/>
        <v>0.13784195839099758</v>
      </c>
      <c r="K15" s="239"/>
      <c r="L15" s="18">
        <f t="shared" si="1"/>
        <v>5.977489206161285E-3</v>
      </c>
      <c r="M15" s="17">
        <f t="shared" si="2"/>
        <v>10.178180977105331</v>
      </c>
      <c r="N15" s="17">
        <f t="shared" si="3"/>
        <v>11.496574954961529</v>
      </c>
      <c r="O15" s="246"/>
      <c r="P15" s="17">
        <f t="shared" si="4"/>
        <v>1.1085235472359405</v>
      </c>
      <c r="Q15" s="17">
        <f t="shared" si="7"/>
        <v>21.674755932066859</v>
      </c>
      <c r="R15" s="23">
        <f t="shared" si="10"/>
        <v>3.4063672992756553</v>
      </c>
      <c r="S15" s="23">
        <f t="shared" si="11"/>
        <v>3.8475988065393949</v>
      </c>
      <c r="T15" s="23">
        <f t="shared" si="12"/>
        <v>0.37099343883502678</v>
      </c>
      <c r="U15" s="23">
        <f>(Q15/D15)/10</f>
        <v>7.2539661058150502</v>
      </c>
      <c r="V15" s="174"/>
      <c r="X15" s="17">
        <f>'Análisis carbohidratos'!W15</f>
        <v>0.95144482983140133</v>
      </c>
      <c r="Z15" s="196" t="s">
        <v>27</v>
      </c>
      <c r="AA15" s="2" t="s">
        <v>236</v>
      </c>
      <c r="AB15" s="166">
        <f>C15</f>
        <v>0.3276</v>
      </c>
      <c r="AC15" s="227">
        <f>D15</f>
        <v>0.29879869323750446</v>
      </c>
      <c r="AD15" s="31">
        <v>4447</v>
      </c>
      <c r="AE15" s="31">
        <v>1516</v>
      </c>
      <c r="AF15" s="216"/>
      <c r="AG15" s="216"/>
      <c r="AH15" s="45">
        <f t="shared" si="5"/>
        <v>4.9957863689034022E-2</v>
      </c>
      <c r="AI15" s="18">
        <f t="shared" si="13"/>
        <v>4.2980692878371939E-2</v>
      </c>
      <c r="AJ15" s="216"/>
      <c r="AK15" s="216"/>
      <c r="AL15" s="17">
        <f t="shared" si="8"/>
        <v>4.5681410047875746</v>
      </c>
      <c r="AM15" s="17">
        <f t="shared" si="14"/>
        <v>3.5847630363082228</v>
      </c>
      <c r="AN15" s="216"/>
      <c r="AO15" s="216"/>
      <c r="AP15" s="17">
        <f t="shared" si="9"/>
        <v>8.1529040410957982</v>
      </c>
      <c r="AQ15" s="23">
        <f t="shared" si="15"/>
        <v>1.5288356703610217</v>
      </c>
      <c r="AR15" s="23">
        <f t="shared" si="16"/>
        <v>1.1997251385094987</v>
      </c>
      <c r="AS15" s="23">
        <f>(AP15/AC15)/10</f>
        <v>2.7285608088705211</v>
      </c>
      <c r="AT15" s="174"/>
    </row>
    <row r="16" spans="1:46">
      <c r="A16" s="196"/>
      <c r="B16" s="58" t="s">
        <v>237</v>
      </c>
      <c r="C16" s="167"/>
      <c r="D16" s="228"/>
      <c r="E16" s="138">
        <v>18106</v>
      </c>
      <c r="F16" s="82">
        <v>21569</v>
      </c>
      <c r="G16" s="236"/>
      <c r="H16" s="137">
        <v>1279</v>
      </c>
      <c r="I16" s="52">
        <f t="shared" si="0"/>
        <v>0.10990993363531022</v>
      </c>
      <c r="J16" s="53">
        <f t="shared" si="6"/>
        <v>0.1339714590375933</v>
      </c>
      <c r="K16" s="239"/>
      <c r="L16" s="18">
        <f t="shared" si="1"/>
        <v>5.2944658550417474E-3</v>
      </c>
      <c r="M16" s="59">
        <f t="shared" si="2"/>
        <v>10.050151019230858</v>
      </c>
      <c r="N16" s="59">
        <f t="shared" si="3"/>
        <v>11.173759707347864</v>
      </c>
      <c r="O16" s="246"/>
      <c r="P16" s="59">
        <f t="shared" si="4"/>
        <v>0.9818570754257393</v>
      </c>
      <c r="Q16" s="17">
        <f t="shared" si="7"/>
        <v>21.223910726578723</v>
      </c>
      <c r="R16" s="54">
        <f>(M16/D15)/10</f>
        <v>3.363519067080508</v>
      </c>
      <c r="S16" s="54">
        <f>(N16/D15)/10</f>
        <v>3.7395611025869648</v>
      </c>
      <c r="T16" s="23">
        <f>(P16/D15)/10</f>
        <v>0.32860152927285263</v>
      </c>
      <c r="U16" s="54">
        <f>(Q16/D15)/10</f>
        <v>7.1030801696674732</v>
      </c>
      <c r="V16" s="174"/>
      <c r="Z16" s="196"/>
      <c r="AA16" s="58" t="s">
        <v>237</v>
      </c>
      <c r="AB16" s="167"/>
      <c r="AC16" s="228"/>
      <c r="AD16" s="31">
        <v>4406</v>
      </c>
      <c r="AE16" s="31">
        <v>1675</v>
      </c>
      <c r="AF16" s="216"/>
      <c r="AG16" s="216"/>
      <c r="AH16" s="52">
        <f t="shared" si="5"/>
        <v>4.9777906527616843E-2</v>
      </c>
      <c r="AI16" s="53">
        <f t="shared" si="13"/>
        <v>4.3702157587857608E-2</v>
      </c>
      <c r="AJ16" s="216"/>
      <c r="AK16" s="216"/>
      <c r="AL16" s="59">
        <f t="shared" si="8"/>
        <v>4.5516857437441463</v>
      </c>
      <c r="AM16" s="59">
        <f t="shared" si="14"/>
        <v>3.6449361012209693</v>
      </c>
      <c r="AN16" s="216"/>
      <c r="AO16" s="216"/>
      <c r="AP16" s="59">
        <f t="shared" si="9"/>
        <v>8.1966218449651151</v>
      </c>
      <c r="AQ16" s="54">
        <f>(AL16/AC15)/10</f>
        <v>1.5233285307998898</v>
      </c>
      <c r="AR16" s="54">
        <f>(AM16/AC15)/10</f>
        <v>1.2198634678511593</v>
      </c>
      <c r="AS16" s="54">
        <f t="shared" ref="AS16" si="22">(AP16/AC15)/10</f>
        <v>2.7431919986510489</v>
      </c>
      <c r="AT16" s="174"/>
    </row>
    <row r="17" spans="1:46">
      <c r="A17" s="196" t="s">
        <v>29</v>
      </c>
      <c r="B17" s="60" t="s">
        <v>236</v>
      </c>
      <c r="C17" s="231">
        <v>0.315</v>
      </c>
      <c r="D17" s="227">
        <f>C17*('Análisis sólidos'!F11/100)</f>
        <v>0.2769445530043968</v>
      </c>
      <c r="E17" s="136">
        <v>29105</v>
      </c>
      <c r="F17" s="248"/>
      <c r="G17" s="236"/>
      <c r="H17" s="235"/>
      <c r="I17" s="55">
        <f t="shared" si="0"/>
        <v>0.15818673408476422</v>
      </c>
      <c r="J17" s="215"/>
      <c r="K17" s="239"/>
      <c r="L17" s="238"/>
      <c r="M17" s="61">
        <f t="shared" si="2"/>
        <v>14.464575805003003</v>
      </c>
      <c r="N17" s="215"/>
      <c r="O17" s="246"/>
      <c r="P17" s="238"/>
      <c r="Q17" s="17">
        <f t="shared" si="7"/>
        <v>14.464575805003003</v>
      </c>
      <c r="R17" s="57">
        <f t="shared" si="10"/>
        <v>5.2229139905753481</v>
      </c>
      <c r="S17" s="57">
        <f t="shared" si="11"/>
        <v>0</v>
      </c>
      <c r="T17" s="23">
        <f t="shared" si="12"/>
        <v>0</v>
      </c>
      <c r="U17" s="54">
        <f>(Q17/D17)/10</f>
        <v>5.2229139905753481</v>
      </c>
      <c r="V17" s="173">
        <f>STDEV(U19:U20)</f>
        <v>4.4572520081151104E-2</v>
      </c>
      <c r="X17" s="16" t="s">
        <v>325</v>
      </c>
      <c r="Z17" s="196" t="s">
        <v>29</v>
      </c>
      <c r="AA17" s="60" t="s">
        <v>236</v>
      </c>
      <c r="AB17" s="166">
        <f>C17</f>
        <v>0.315</v>
      </c>
      <c r="AC17" s="227">
        <f>D17</f>
        <v>0.2769445530043968</v>
      </c>
      <c r="AD17" s="31">
        <v>4832</v>
      </c>
      <c r="AE17" s="31">
        <v>958</v>
      </c>
      <c r="AF17" s="216"/>
      <c r="AG17" s="216"/>
      <c r="AH17" s="55">
        <f t="shared" si="5"/>
        <v>5.1647705326731977E-2</v>
      </c>
      <c r="AI17" s="56">
        <f t="shared" si="13"/>
        <v>4.0448760124327875E-2</v>
      </c>
      <c r="AJ17" s="216"/>
      <c r="AK17" s="216"/>
      <c r="AL17" s="61">
        <f t="shared" si="8"/>
        <v>4.72265991946366</v>
      </c>
      <c r="AM17" s="61">
        <f t="shared" si="14"/>
        <v>3.3735896386899049</v>
      </c>
      <c r="AN17" s="216"/>
      <c r="AO17" s="216"/>
      <c r="AP17" s="61">
        <f t="shared" si="9"/>
        <v>8.0962495581535645</v>
      </c>
      <c r="AQ17" s="57">
        <f t="shared" si="15"/>
        <v>1.7052727227275284</v>
      </c>
      <c r="AR17" s="57">
        <f t="shared" si="16"/>
        <v>1.2181462325552022</v>
      </c>
      <c r="AS17" s="57">
        <f>(AP17/AC17)/10</f>
        <v>2.9234189552827301</v>
      </c>
      <c r="AT17" s="174">
        <f>STDEV(AS17:AS18,AS20)</f>
        <v>8.6750490954850448E-2</v>
      </c>
    </row>
    <row r="18" spans="1:46">
      <c r="A18" s="196"/>
      <c r="B18" s="60" t="s">
        <v>237</v>
      </c>
      <c r="C18" s="232"/>
      <c r="D18" s="228"/>
      <c r="E18" s="136">
        <v>29786</v>
      </c>
      <c r="F18" s="249"/>
      <c r="G18" s="236"/>
      <c r="H18" s="236"/>
      <c r="I18" s="55">
        <f t="shared" si="0"/>
        <v>0.16117577864391305</v>
      </c>
      <c r="J18" s="216"/>
      <c r="K18" s="239"/>
      <c r="L18" s="239"/>
      <c r="M18" s="61">
        <f t="shared" si="2"/>
        <v>14.737893677456029</v>
      </c>
      <c r="N18" s="216"/>
      <c r="O18" s="246"/>
      <c r="P18" s="239"/>
      <c r="Q18" s="17">
        <f t="shared" si="7"/>
        <v>14.737893677456029</v>
      </c>
      <c r="R18" s="57">
        <f>(M18/D17)/10</f>
        <v>5.3216044574893839</v>
      </c>
      <c r="S18" s="57">
        <f>(N18/D17)/10</f>
        <v>0</v>
      </c>
      <c r="T18" s="23">
        <f>(P18/D17)/10</f>
        <v>0</v>
      </c>
      <c r="U18" s="54">
        <f>(Q18/D17)/10</f>
        <v>5.3216044574893839</v>
      </c>
      <c r="V18" s="173"/>
      <c r="X18" s="17">
        <f>'Análisis carbohidratos'!W18</f>
        <v>0.46912991810840182</v>
      </c>
      <c r="Z18" s="196"/>
      <c r="AA18" s="60" t="s">
        <v>237</v>
      </c>
      <c r="AB18" s="167"/>
      <c r="AC18" s="228"/>
      <c r="AD18" s="31">
        <v>4912</v>
      </c>
      <c r="AE18" s="31">
        <v>1015</v>
      </c>
      <c r="AF18" s="216"/>
      <c r="AG18" s="216"/>
      <c r="AH18" s="55">
        <f t="shared" si="5"/>
        <v>5.1998841251448435E-2</v>
      </c>
      <c r="AI18" s="56">
        <f t="shared" si="13"/>
        <v>4.070739841640765E-2</v>
      </c>
      <c r="AJ18" s="216"/>
      <c r="AK18" s="216"/>
      <c r="AL18" s="61">
        <f t="shared" si="8"/>
        <v>4.7547677458898603</v>
      </c>
      <c r="AM18" s="61">
        <f t="shared" si="14"/>
        <v>3.3951611147907013</v>
      </c>
      <c r="AN18" s="216"/>
      <c r="AO18" s="216"/>
      <c r="AP18" s="61">
        <f t="shared" si="9"/>
        <v>8.1499288606805607</v>
      </c>
      <c r="AQ18" s="57">
        <f>(AL18/AC17)/10</f>
        <v>1.7168663164912918</v>
      </c>
      <c r="AR18" s="57">
        <f>(AM18/AC17)/10</f>
        <v>1.2259353281943044</v>
      </c>
      <c r="AS18" s="57">
        <f t="shared" ref="AS18" si="23">(AP18/AC17)/10</f>
        <v>2.9428016446855958</v>
      </c>
      <c r="AT18" s="174"/>
    </row>
    <row r="19" spans="1:46">
      <c r="A19" s="196" t="s">
        <v>33</v>
      </c>
      <c r="B19" s="58" t="s">
        <v>236</v>
      </c>
      <c r="C19" s="233">
        <v>0.3196</v>
      </c>
      <c r="D19" s="227">
        <f>C19*('Análisis sólidos'!F12/100)</f>
        <v>0.26168603942540891</v>
      </c>
      <c r="E19" s="137">
        <v>30394</v>
      </c>
      <c r="F19" s="249"/>
      <c r="G19" s="236"/>
      <c r="H19" s="236"/>
      <c r="I19" s="52">
        <f t="shared" si="0"/>
        <v>0.16384441167175814</v>
      </c>
      <c r="J19" s="216"/>
      <c r="K19" s="239"/>
      <c r="L19" s="239"/>
      <c r="M19" s="59">
        <f t="shared" si="2"/>
        <v>14.981913158295148</v>
      </c>
      <c r="N19" s="216"/>
      <c r="O19" s="246"/>
      <c r="P19" s="239"/>
      <c r="Q19" s="17">
        <f t="shared" si="7"/>
        <v>14.981913158295148</v>
      </c>
      <c r="R19" s="54">
        <f t="shared" si="10"/>
        <v>5.7251480404500521</v>
      </c>
      <c r="S19" s="54">
        <f t="shared" si="11"/>
        <v>0</v>
      </c>
      <c r="T19" s="23">
        <f t="shared" si="12"/>
        <v>0</v>
      </c>
      <c r="U19" s="54">
        <f>(Q19/D19)/10</f>
        <v>5.7251480404500521</v>
      </c>
      <c r="V19" s="173"/>
      <c r="Z19" s="196" t="s">
        <v>33</v>
      </c>
      <c r="AA19" s="58" t="s">
        <v>236</v>
      </c>
      <c r="AB19" s="166">
        <f>C19</f>
        <v>0.3196</v>
      </c>
      <c r="AC19" s="227">
        <f>D19</f>
        <v>0.26168603942540891</v>
      </c>
      <c r="AD19" s="31">
        <v>4733</v>
      </c>
      <c r="AE19" s="31">
        <v>959</v>
      </c>
      <c r="AF19" s="216"/>
      <c r="AG19" s="216"/>
      <c r="AH19" s="52">
        <f t="shared" si="5"/>
        <v>5.1213174619895364E-2</v>
      </c>
      <c r="AI19" s="53">
        <f t="shared" si="13"/>
        <v>4.0453297638224014E-2</v>
      </c>
      <c r="AJ19" s="216"/>
      <c r="AK19" s="216"/>
      <c r="AL19" s="59">
        <f t="shared" si="8"/>
        <v>4.6829264842612393</v>
      </c>
      <c r="AM19" s="59">
        <f t="shared" si="14"/>
        <v>3.3739680856390422</v>
      </c>
      <c r="AN19" s="216"/>
      <c r="AO19" s="216"/>
      <c r="AP19" s="59">
        <f t="shared" si="9"/>
        <v>8.0568945699002814</v>
      </c>
      <c r="AQ19" s="54">
        <f t="shared" si="15"/>
        <v>1.7895209444659972</v>
      </c>
      <c r="AR19" s="54">
        <f t="shared" si="16"/>
        <v>1.2893190989658274</v>
      </c>
      <c r="AS19" s="54">
        <f>(AP19/AC19)/10</f>
        <v>3.0788400434318244</v>
      </c>
      <c r="AT19" s="174"/>
    </row>
    <row r="20" spans="1:46">
      <c r="A20" s="196"/>
      <c r="B20" s="2" t="s">
        <v>237</v>
      </c>
      <c r="C20" s="234"/>
      <c r="D20" s="228"/>
      <c r="E20" s="136">
        <v>30805</v>
      </c>
      <c r="F20" s="249"/>
      <c r="G20" s="236"/>
      <c r="H20" s="236"/>
      <c r="I20" s="45">
        <f t="shared" si="0"/>
        <v>0.16564837248498893</v>
      </c>
      <c r="J20" s="216"/>
      <c r="K20" s="239"/>
      <c r="L20" s="239"/>
      <c r="M20" s="17">
        <f t="shared" si="2"/>
        <v>15.146867116559747</v>
      </c>
      <c r="N20" s="216"/>
      <c r="O20" s="246"/>
      <c r="P20" s="239"/>
      <c r="Q20" s="17">
        <f t="shared" si="7"/>
        <v>15.146867116559747</v>
      </c>
      <c r="R20" s="23">
        <f>(M20/D19)/10</f>
        <v>5.7881831028579631</v>
      </c>
      <c r="S20" s="23">
        <f>(N20/D19)/10</f>
        <v>0</v>
      </c>
      <c r="T20" s="23">
        <f>(P20/D19)/10</f>
        <v>0</v>
      </c>
      <c r="U20" s="57">
        <f>(Q20/D19)/10</f>
        <v>5.7881831028579631</v>
      </c>
      <c r="V20" s="173"/>
      <c r="Z20" s="196"/>
      <c r="AA20" s="2" t="s">
        <v>237</v>
      </c>
      <c r="AB20" s="167"/>
      <c r="AC20" s="228"/>
      <c r="AD20" s="31">
        <v>4647</v>
      </c>
      <c r="AE20" s="31">
        <v>1075</v>
      </c>
      <c r="AF20" s="216"/>
      <c r="AG20" s="216"/>
      <c r="AH20" s="45">
        <f t="shared" si="5"/>
        <v>5.0835703500825169E-2</v>
      </c>
      <c r="AI20" s="18">
        <f t="shared" si="13"/>
        <v>4.0979649250175824E-2</v>
      </c>
      <c r="AJ20" s="216"/>
      <c r="AK20" s="216"/>
      <c r="AL20" s="17">
        <f t="shared" si="8"/>
        <v>4.6484105708530734</v>
      </c>
      <c r="AM20" s="17">
        <f t="shared" si="14"/>
        <v>3.4178679317389071</v>
      </c>
      <c r="AN20" s="216"/>
      <c r="AO20" s="216"/>
      <c r="AP20" s="17">
        <f t="shared" si="9"/>
        <v>8.066278502591981</v>
      </c>
      <c r="AQ20" s="23">
        <f>(AL20/AC19)/10</f>
        <v>1.7763311260546086</v>
      </c>
      <c r="AR20" s="23">
        <f>(AM20/AC19)/10</f>
        <v>1.3060948682029854</v>
      </c>
      <c r="AS20" s="23">
        <f t="shared" ref="AS20" si="24">(AP20/AC19)/10</f>
        <v>3.0824259942575942</v>
      </c>
      <c r="AT20" s="174"/>
    </row>
    <row r="21" spans="1:46">
      <c r="A21" s="196" t="s">
        <v>35</v>
      </c>
      <c r="B21" s="2" t="s">
        <v>236</v>
      </c>
      <c r="C21" s="166">
        <v>0.30609999999999998</v>
      </c>
      <c r="D21" s="227">
        <f>C21*('Análisis sólidos'!F13/100)</f>
        <v>0.28256823134100401</v>
      </c>
      <c r="E21" s="136">
        <v>28605</v>
      </c>
      <c r="F21" s="249"/>
      <c r="G21" s="236"/>
      <c r="H21" s="236"/>
      <c r="I21" s="45">
        <f t="shared" si="0"/>
        <v>0.15599213455528635</v>
      </c>
      <c r="J21" s="216"/>
      <c r="K21" s="239"/>
      <c r="L21" s="239"/>
      <c r="M21" s="17">
        <f t="shared" si="2"/>
        <v>14.263901889839254</v>
      </c>
      <c r="N21" s="216"/>
      <c r="O21" s="246"/>
      <c r="P21" s="239"/>
      <c r="Q21" s="17">
        <f t="shared" si="7"/>
        <v>14.263901889839254</v>
      </c>
      <c r="R21" s="23">
        <f t="shared" si="10"/>
        <v>5.047949595092855</v>
      </c>
      <c r="S21" s="23">
        <f t="shared" si="11"/>
        <v>0</v>
      </c>
      <c r="T21" s="23">
        <f t="shared" si="12"/>
        <v>0</v>
      </c>
      <c r="U21" s="57">
        <f>(Q21/D21)/10</f>
        <v>5.047949595092855</v>
      </c>
      <c r="V21" s="174">
        <f t="shared" ref="V21" si="25">STDEV(U21:U24)</f>
        <v>0.19070465945524326</v>
      </c>
      <c r="Z21" s="196" t="s">
        <v>35</v>
      </c>
      <c r="AA21" s="2" t="s">
        <v>236</v>
      </c>
      <c r="AB21" s="166">
        <f>C21</f>
        <v>0.30609999999999998</v>
      </c>
      <c r="AC21" s="227">
        <f>D21</f>
        <v>0.28256823134100401</v>
      </c>
      <c r="AD21" s="31">
        <v>1154</v>
      </c>
      <c r="AE21" s="31">
        <v>707</v>
      </c>
      <c r="AF21" s="216"/>
      <c r="AG21" s="216"/>
      <c r="AH21" s="45">
        <f t="shared" si="5"/>
        <v>3.550423118789283E-2</v>
      </c>
      <c r="AI21" s="18">
        <f t="shared" si="13"/>
        <v>3.9309844136397668E-2</v>
      </c>
      <c r="AJ21" s="216"/>
      <c r="AK21" s="216"/>
      <c r="AL21" s="17">
        <f t="shared" si="8"/>
        <v>3.2465025995191255</v>
      </c>
      <c r="AM21" s="17">
        <f t="shared" si="14"/>
        <v>3.2785994544565762</v>
      </c>
      <c r="AN21" s="216"/>
      <c r="AO21" s="216"/>
      <c r="AP21" s="17">
        <f t="shared" si="9"/>
        <v>6.5251020539757016</v>
      </c>
      <c r="AQ21" s="23">
        <f t="shared" si="15"/>
        <v>1.1489269632725407</v>
      </c>
      <c r="AR21" s="23">
        <f t="shared" si="16"/>
        <v>1.1602859383367674</v>
      </c>
      <c r="AS21" s="23">
        <f>(AP21/AC21)/10</f>
        <v>2.3092129016093081</v>
      </c>
      <c r="AT21" s="174">
        <f t="shared" ref="AT21" si="26">STDEV(AS21:AS24)</f>
        <v>2.7323756789720679E-2</v>
      </c>
    </row>
    <row r="22" spans="1:46">
      <c r="A22" s="196"/>
      <c r="B22" s="2" t="s">
        <v>237</v>
      </c>
      <c r="C22" s="167"/>
      <c r="D22" s="228"/>
      <c r="E22" s="136">
        <v>29812</v>
      </c>
      <c r="F22" s="249"/>
      <c r="G22" s="236"/>
      <c r="H22" s="236"/>
      <c r="I22" s="45">
        <f t="shared" si="0"/>
        <v>0.16128989781944592</v>
      </c>
      <c r="J22" s="216"/>
      <c r="K22" s="239"/>
      <c r="L22" s="239"/>
      <c r="M22" s="17">
        <f t="shared" si="2"/>
        <v>14.748328721044544</v>
      </c>
      <c r="N22" s="216"/>
      <c r="O22" s="246"/>
      <c r="P22" s="239"/>
      <c r="Q22" s="17">
        <f t="shared" si="7"/>
        <v>14.748328721044544</v>
      </c>
      <c r="R22" s="23">
        <f>(M22/D21)/10</f>
        <v>5.2193867127427449</v>
      </c>
      <c r="S22" s="23">
        <f>(N22/D21)/10</f>
        <v>0</v>
      </c>
      <c r="T22" s="23">
        <f>(P22/D21)/10</f>
        <v>0</v>
      </c>
      <c r="U22" s="57">
        <f>(Q22/D21)/10</f>
        <v>5.2193867127427449</v>
      </c>
      <c r="V22" s="174"/>
      <c r="Z22" s="196"/>
      <c r="AA22" s="2" t="s">
        <v>237</v>
      </c>
      <c r="AB22" s="167"/>
      <c r="AC22" s="228"/>
      <c r="AD22" s="31">
        <v>988</v>
      </c>
      <c r="AE22" s="31">
        <v>777</v>
      </c>
      <c r="AF22" s="216"/>
      <c r="AG22" s="216"/>
      <c r="AH22" s="45">
        <f t="shared" si="5"/>
        <v>3.4775624144106183E-2</v>
      </c>
      <c r="AI22" s="18">
        <f t="shared" si="13"/>
        <v>3.9627470109127205E-2</v>
      </c>
      <c r="AJ22" s="216"/>
      <c r="AK22" s="216"/>
      <c r="AL22" s="17">
        <f t="shared" si="8"/>
        <v>3.1798788596847611</v>
      </c>
      <c r="AM22" s="17">
        <f t="shared" si="14"/>
        <v>3.3050907408961501</v>
      </c>
      <c r="AN22" s="216"/>
      <c r="AO22" s="216"/>
      <c r="AP22" s="17">
        <f t="shared" si="9"/>
        <v>6.4849696005809108</v>
      </c>
      <c r="AQ22" s="23">
        <f>(AL22/AC21)/10</f>
        <v>1.1253490332560689</v>
      </c>
      <c r="AR22" s="23">
        <f>(AM22/AC21)/10</f>
        <v>1.1696611205056378</v>
      </c>
      <c r="AS22" s="23">
        <f t="shared" ref="AS22" si="27">(AP22/AC21)/10</f>
        <v>2.2950101537617065</v>
      </c>
      <c r="AT22" s="174"/>
    </row>
    <row r="23" spans="1:46">
      <c r="A23" s="196" t="s">
        <v>36</v>
      </c>
      <c r="B23" s="2" t="s">
        <v>236</v>
      </c>
      <c r="C23" s="166">
        <v>0.309</v>
      </c>
      <c r="D23" s="227">
        <f>C23*('Análisis sólidos'!F14/100)</f>
        <v>0.2922704900492189</v>
      </c>
      <c r="E23" s="136">
        <v>28782</v>
      </c>
      <c r="F23" s="249"/>
      <c r="G23" s="236"/>
      <c r="H23" s="236"/>
      <c r="I23" s="45">
        <f t="shared" si="0"/>
        <v>0.15676902278872151</v>
      </c>
      <c r="J23" s="216"/>
      <c r="K23" s="239"/>
      <c r="L23" s="239"/>
      <c r="M23" s="17">
        <f t="shared" si="2"/>
        <v>14.334940455807221</v>
      </c>
      <c r="N23" s="216"/>
      <c r="O23" s="246"/>
      <c r="P23" s="239"/>
      <c r="Q23" s="17">
        <f t="shared" si="7"/>
        <v>14.334940455807221</v>
      </c>
      <c r="R23" s="23">
        <f t="shared" si="10"/>
        <v>4.9046828003036467</v>
      </c>
      <c r="S23" s="23">
        <f t="shared" si="11"/>
        <v>0</v>
      </c>
      <c r="T23" s="23">
        <f t="shared" si="12"/>
        <v>0</v>
      </c>
      <c r="U23" s="54">
        <f>(Q23/D23)/10</f>
        <v>4.9046828003036467</v>
      </c>
      <c r="V23" s="174"/>
      <c r="Z23" s="196" t="s">
        <v>36</v>
      </c>
      <c r="AA23" s="2" t="s">
        <v>236</v>
      </c>
      <c r="AB23" s="166">
        <f>C23</f>
        <v>0.309</v>
      </c>
      <c r="AC23" s="227">
        <f>D23</f>
        <v>0.2922704900492189</v>
      </c>
      <c r="AD23" s="31">
        <v>1547</v>
      </c>
      <c r="AE23" s="31">
        <v>600</v>
      </c>
      <c r="AF23" s="216"/>
      <c r="AG23" s="216"/>
      <c r="AH23" s="45">
        <f t="shared" si="5"/>
        <v>3.7229186418062429E-2</v>
      </c>
      <c r="AI23" s="18">
        <f t="shared" si="13"/>
        <v>3.8824330149511081E-2</v>
      </c>
      <c r="AJ23" s="216"/>
      <c r="AK23" s="216"/>
      <c r="AL23" s="17">
        <f t="shared" si="8"/>
        <v>3.404232296837832</v>
      </c>
      <c r="AM23" s="17">
        <f t="shared" si="14"/>
        <v>3.238105630898942</v>
      </c>
      <c r="AN23" s="216"/>
      <c r="AO23" s="216"/>
      <c r="AP23" s="17">
        <f t="shared" si="9"/>
        <v>6.642337927736774</v>
      </c>
      <c r="AQ23" s="23">
        <f t="shared" si="15"/>
        <v>1.1647540250350121</v>
      </c>
      <c r="AR23" s="23">
        <f>(AM23/AC23)/10</f>
        <v>1.1079139841841845</v>
      </c>
      <c r="AS23" s="23">
        <f>(AP23/AC23)/10</f>
        <v>2.2726680092191969</v>
      </c>
      <c r="AT23" s="174"/>
    </row>
    <row r="24" spans="1:46">
      <c r="A24" s="196"/>
      <c r="B24" s="2" t="s">
        <v>237</v>
      </c>
      <c r="C24" s="167"/>
      <c r="D24" s="228"/>
      <c r="E24" s="136">
        <v>31944</v>
      </c>
      <c r="F24" s="249"/>
      <c r="G24" s="236"/>
      <c r="H24" s="237"/>
      <c r="I24" s="45">
        <f t="shared" si="0"/>
        <v>0.17064767021313951</v>
      </c>
      <c r="J24" s="216"/>
      <c r="K24" s="239"/>
      <c r="L24" s="240"/>
      <c r="M24" s="17">
        <f t="shared" si="2"/>
        <v>15.604002295302768</v>
      </c>
      <c r="N24" s="216"/>
      <c r="O24" s="246"/>
      <c r="P24" s="240"/>
      <c r="Q24" s="17">
        <f t="shared" si="7"/>
        <v>15.604002295302768</v>
      </c>
      <c r="R24" s="23">
        <f>(M24/D23)/10</f>
        <v>5.3388907969035895</v>
      </c>
      <c r="S24" s="23">
        <f>(N24/D23)/10</f>
        <v>0</v>
      </c>
      <c r="T24" s="23">
        <f>(P24/D23)/10</f>
        <v>0</v>
      </c>
      <c r="U24" s="54">
        <f>(Q24/D23)/10</f>
        <v>5.3388907969035895</v>
      </c>
      <c r="V24" s="174"/>
      <c r="Z24" s="196"/>
      <c r="AA24" s="2" t="s">
        <v>237</v>
      </c>
      <c r="AB24" s="167"/>
      <c r="AC24" s="228"/>
      <c r="AD24" s="31">
        <v>1287</v>
      </c>
      <c r="AE24" s="31">
        <v>675</v>
      </c>
      <c r="AF24" s="216"/>
      <c r="AG24" s="216"/>
      <c r="AH24" s="45">
        <f t="shared" si="5"/>
        <v>3.6087994662733942E-2</v>
      </c>
      <c r="AI24" s="18">
        <f t="shared" si="13"/>
        <v>3.9164643691721304E-2</v>
      </c>
      <c r="AJ24" s="216"/>
      <c r="AK24" s="216"/>
      <c r="AL24" s="17">
        <f t="shared" si="8"/>
        <v>3.2998818609526825</v>
      </c>
      <c r="AM24" s="17">
        <f t="shared" si="14"/>
        <v>3.2664891520841999</v>
      </c>
      <c r="AN24" s="216"/>
      <c r="AO24" s="216"/>
      <c r="AP24" s="17">
        <f t="shared" si="9"/>
        <v>6.566371013036882</v>
      </c>
      <c r="AQ24" s="23">
        <f>(AL24/AC23)/10</f>
        <v>1.1290506477054787</v>
      </c>
      <c r="AR24" s="23">
        <f t="shared" ref="AR24" si="28">(AM24/AC23)/10</f>
        <v>1.117625372145548</v>
      </c>
      <c r="AS24" s="23">
        <f t="shared" ref="AS24" si="29">(AP24/AC23)/10</f>
        <v>2.2466760198510265</v>
      </c>
      <c r="AT24" s="174"/>
    </row>
    <row r="25" spans="1:46">
      <c r="A25" s="196" t="s">
        <v>39</v>
      </c>
      <c r="B25" s="2" t="s">
        <v>236</v>
      </c>
      <c r="C25" s="166">
        <v>0.31569999999999998</v>
      </c>
      <c r="D25" s="227">
        <f>C25*('Análisis sólidos'!F15/100)</f>
        <v>0.29554045936395784</v>
      </c>
      <c r="E25" s="136">
        <v>21087</v>
      </c>
      <c r="F25" s="249"/>
      <c r="G25" s="236"/>
      <c r="H25" s="235"/>
      <c r="I25" s="45">
        <f t="shared" si="0"/>
        <v>0.12299413603005724</v>
      </c>
      <c r="J25" s="216"/>
      <c r="K25" s="239"/>
      <c r="L25" s="238"/>
      <c r="M25" s="17">
        <f t="shared" si="2"/>
        <v>11.246568901437129</v>
      </c>
      <c r="N25" s="216"/>
      <c r="O25" s="246"/>
      <c r="P25" s="238"/>
      <c r="Q25" s="17">
        <f t="shared" si="7"/>
        <v>11.246568901437129</v>
      </c>
      <c r="R25" s="23">
        <f t="shared" si="10"/>
        <v>3.8054244503920827</v>
      </c>
      <c r="S25" s="23">
        <f t="shared" si="11"/>
        <v>0</v>
      </c>
      <c r="T25" s="23">
        <f t="shared" si="12"/>
        <v>0</v>
      </c>
      <c r="U25" s="23">
        <f>(Q25/D25)/10</f>
        <v>3.8054244503920827</v>
      </c>
      <c r="V25" s="174">
        <f t="shared" ref="V25" si="30">STDEV(U25:U28)</f>
        <v>9.0986001092250357E-2</v>
      </c>
      <c r="Z25" s="196" t="s">
        <v>39</v>
      </c>
      <c r="AA25" s="2" t="s">
        <v>236</v>
      </c>
      <c r="AB25" s="166">
        <f>C25</f>
        <v>0.31569999999999998</v>
      </c>
      <c r="AC25" s="227">
        <f>D25</f>
        <v>0.29554045936395784</v>
      </c>
      <c r="AD25" s="31">
        <v>1535</v>
      </c>
      <c r="AE25" s="31">
        <v>1311</v>
      </c>
      <c r="AF25" s="216"/>
      <c r="AG25" s="216"/>
      <c r="AH25" s="45">
        <f t="shared" si="5"/>
        <v>3.7176516029354963E-2</v>
      </c>
      <c r="AI25" s="18">
        <f t="shared" si="13"/>
        <v>4.2050502529663997E-2</v>
      </c>
      <c r="AJ25" s="216"/>
      <c r="AK25" s="216"/>
      <c r="AL25" s="17">
        <f t="shared" si="8"/>
        <v>3.3994161228739017</v>
      </c>
      <c r="AM25" s="17">
        <f t="shared" si="14"/>
        <v>3.5071814117351852</v>
      </c>
      <c r="AN25" s="216"/>
      <c r="AO25" s="216"/>
      <c r="AP25" s="17">
        <f t="shared" si="9"/>
        <v>6.9065975346090873</v>
      </c>
      <c r="AQ25" s="23">
        <f t="shared" si="15"/>
        <v>1.1502371384919328</v>
      </c>
      <c r="AR25" s="23">
        <f t="shared" si="16"/>
        <v>1.1867009408062448</v>
      </c>
      <c r="AS25" s="23">
        <f>(AP25/AC25)/10</f>
        <v>2.3369380792981778</v>
      </c>
      <c r="AT25" s="174">
        <f t="shared" ref="AT25" si="31">STDEV(AS25:AS28)</f>
        <v>5.6013870148111773E-2</v>
      </c>
    </row>
    <row r="26" spans="1:46">
      <c r="A26" s="196"/>
      <c r="B26" s="2" t="s">
        <v>237</v>
      </c>
      <c r="C26" s="167"/>
      <c r="D26" s="228"/>
      <c r="E26" s="136">
        <v>21878</v>
      </c>
      <c r="F26" s="249"/>
      <c r="G26" s="236"/>
      <c r="H26" s="236"/>
      <c r="I26" s="45">
        <f t="shared" si="0"/>
        <v>0.12646599248569121</v>
      </c>
      <c r="J26" s="216"/>
      <c r="K26" s="239"/>
      <c r="L26" s="239"/>
      <c r="M26" s="17">
        <f t="shared" si="2"/>
        <v>11.56403503522618</v>
      </c>
      <c r="N26" s="216"/>
      <c r="O26" s="246"/>
      <c r="P26" s="239"/>
      <c r="Q26" s="17">
        <f t="shared" si="7"/>
        <v>11.56403503522618</v>
      </c>
      <c r="R26" s="23">
        <f>(M26/D25)/10</f>
        <v>3.9128432905983543</v>
      </c>
      <c r="S26" s="23">
        <f>(N26/D25)/10</f>
        <v>0</v>
      </c>
      <c r="T26" s="23">
        <f>(P26/D25)/10</f>
        <v>0</v>
      </c>
      <c r="U26" s="23">
        <f>(Q26/D25)/10</f>
        <v>3.9128432905983543</v>
      </c>
      <c r="V26" s="174"/>
      <c r="Z26" s="196"/>
      <c r="AA26" s="2" t="s">
        <v>237</v>
      </c>
      <c r="AB26" s="167"/>
      <c r="AC26" s="228"/>
      <c r="AD26" s="31">
        <v>1400</v>
      </c>
      <c r="AE26" s="31">
        <v>1341</v>
      </c>
      <c r="AF26" s="216"/>
      <c r="AG26" s="216"/>
      <c r="AH26" s="45">
        <f t="shared" si="5"/>
        <v>3.6583974156395943E-2</v>
      </c>
      <c r="AI26" s="18">
        <f t="shared" si="13"/>
        <v>4.218662794654808E-2</v>
      </c>
      <c r="AJ26" s="216"/>
      <c r="AK26" s="216"/>
      <c r="AL26" s="17">
        <f t="shared" si="8"/>
        <v>3.34523416577969</v>
      </c>
      <c r="AM26" s="17">
        <f t="shared" si="14"/>
        <v>3.5185348202092874</v>
      </c>
      <c r="AN26" s="216"/>
      <c r="AO26" s="216"/>
      <c r="AP26" s="17">
        <f t="shared" si="9"/>
        <v>6.8637689859889779</v>
      </c>
      <c r="AQ26" s="23">
        <f>(AL26/AC25)/10</f>
        <v>1.1319039609598891</v>
      </c>
      <c r="AR26" s="23">
        <f>(AM26/AC25)/10</f>
        <v>1.1905425158307055</v>
      </c>
      <c r="AS26" s="23">
        <f t="shared" ref="AS26" si="32">(AP26/AC25)/10</f>
        <v>2.3224464767905948</v>
      </c>
      <c r="AT26" s="174"/>
    </row>
    <row r="27" spans="1:46">
      <c r="A27" s="196" t="s">
        <v>42</v>
      </c>
      <c r="B27" s="2" t="s">
        <v>236</v>
      </c>
      <c r="C27" s="166">
        <v>0.31409999999999999</v>
      </c>
      <c r="D27" s="227">
        <f>C27*('Análisis sólidos'!F16/100)</f>
        <v>0.2846771371296547</v>
      </c>
      <c r="E27" s="136">
        <v>19337</v>
      </c>
      <c r="F27" s="249"/>
      <c r="G27" s="236"/>
      <c r="H27" s="236"/>
      <c r="I27" s="45">
        <f t="shared" si="0"/>
        <v>0.11531303767688472</v>
      </c>
      <c r="J27" s="216"/>
      <c r="K27" s="239"/>
      <c r="L27" s="239"/>
      <c r="M27" s="17">
        <f t="shared" si="2"/>
        <v>10.544210198364009</v>
      </c>
      <c r="N27" s="216"/>
      <c r="O27" s="246"/>
      <c r="P27" s="239"/>
      <c r="Q27" s="17">
        <f t="shared" si="7"/>
        <v>10.544210198364009</v>
      </c>
      <c r="R27" s="23">
        <f t="shared" si="10"/>
        <v>3.7039188691720275</v>
      </c>
      <c r="S27" s="23">
        <f t="shared" si="11"/>
        <v>0</v>
      </c>
      <c r="T27" s="23">
        <f t="shared" si="12"/>
        <v>0</v>
      </c>
      <c r="U27" s="23">
        <f>(Q27/D27)/10</f>
        <v>3.7039188691720275</v>
      </c>
      <c r="V27" s="174"/>
      <c r="Z27" s="196" t="s">
        <v>42</v>
      </c>
      <c r="AA27" s="2" t="s">
        <v>236</v>
      </c>
      <c r="AB27" s="166">
        <f>C27</f>
        <v>0.31409999999999999</v>
      </c>
      <c r="AC27" s="227">
        <f>D27</f>
        <v>0.2846771371296547</v>
      </c>
      <c r="AD27" s="31">
        <v>1525</v>
      </c>
      <c r="AE27" s="31">
        <v>1322</v>
      </c>
      <c r="AF27" s="216"/>
      <c r="AG27" s="216"/>
      <c r="AH27" s="45">
        <f t="shared" si="5"/>
        <v>3.7132624038765404E-2</v>
      </c>
      <c r="AI27" s="18">
        <f t="shared" si="13"/>
        <v>4.2100415182521493E-2</v>
      </c>
      <c r="AJ27" s="216"/>
      <c r="AK27" s="216"/>
      <c r="AL27" s="17">
        <f t="shared" si="8"/>
        <v>3.3954026445706269</v>
      </c>
      <c r="AM27" s="17">
        <f t="shared" si="14"/>
        <v>3.5113443281756891</v>
      </c>
      <c r="AN27" s="216"/>
      <c r="AO27" s="216"/>
      <c r="AP27" s="17">
        <f t="shared" si="9"/>
        <v>6.9067469727463155</v>
      </c>
      <c r="AQ27" s="23">
        <f t="shared" si="15"/>
        <v>1.1927205250150483</v>
      </c>
      <c r="AR27" s="23">
        <f t="shared" si="16"/>
        <v>1.2334479556665157</v>
      </c>
      <c r="AS27" s="23">
        <f>(AP27/AC27)/10</f>
        <v>2.4261684806815635</v>
      </c>
      <c r="AT27" s="174"/>
    </row>
    <row r="28" spans="1:46">
      <c r="A28" s="196"/>
      <c r="B28" s="2" t="s">
        <v>237</v>
      </c>
      <c r="C28" s="167"/>
      <c r="D28" s="228"/>
      <c r="E28" s="136">
        <v>19622</v>
      </c>
      <c r="F28" s="250"/>
      <c r="G28" s="236"/>
      <c r="H28" s="236"/>
      <c r="I28" s="45">
        <f t="shared" si="0"/>
        <v>0.11656395940868711</v>
      </c>
      <c r="J28" s="217"/>
      <c r="K28" s="239"/>
      <c r="L28" s="239"/>
      <c r="M28" s="17">
        <f t="shared" si="2"/>
        <v>10.658594330007347</v>
      </c>
      <c r="N28" s="217"/>
      <c r="O28" s="246"/>
      <c r="P28" s="239"/>
      <c r="Q28" s="17">
        <f t="shared" si="7"/>
        <v>10.658594330007347</v>
      </c>
      <c r="R28" s="23">
        <f>(M28/D27)/10</f>
        <v>3.7440991705466486</v>
      </c>
      <c r="S28" s="23">
        <f>(N28/D27)/10</f>
        <v>0</v>
      </c>
      <c r="T28" s="23">
        <f>(P28/D27)/10</f>
        <v>0</v>
      </c>
      <c r="U28" s="23">
        <f>(Q28/D27)/10</f>
        <v>3.7440991705466486</v>
      </c>
      <c r="V28" s="174"/>
      <c r="Z28" s="196"/>
      <c r="AA28" s="2" t="s">
        <v>237</v>
      </c>
      <c r="AB28" s="167"/>
      <c r="AC28" s="228"/>
      <c r="AD28" s="31">
        <v>1525</v>
      </c>
      <c r="AE28" s="31">
        <v>1322</v>
      </c>
      <c r="AF28" s="216"/>
      <c r="AG28" s="216"/>
      <c r="AH28" s="45">
        <f t="shared" si="5"/>
        <v>3.7132624038765404E-2</v>
      </c>
      <c r="AI28" s="18">
        <f t="shared" si="13"/>
        <v>4.2100415182521493E-2</v>
      </c>
      <c r="AJ28" s="216"/>
      <c r="AK28" s="216"/>
      <c r="AL28" s="17">
        <f t="shared" si="8"/>
        <v>3.3954026445706269</v>
      </c>
      <c r="AM28" s="17">
        <f t="shared" si="14"/>
        <v>3.5113443281756891</v>
      </c>
      <c r="AN28" s="216"/>
      <c r="AO28" s="216"/>
      <c r="AP28" s="17">
        <f t="shared" si="9"/>
        <v>6.9067469727463155</v>
      </c>
      <c r="AQ28" s="23">
        <f>(AL28/AC27)/10</f>
        <v>1.1927205250150483</v>
      </c>
      <c r="AR28" s="23">
        <f>(AM28/AC27)/10</f>
        <v>1.2334479556665157</v>
      </c>
      <c r="AS28" s="23">
        <f t="shared" ref="AS28" si="33">(AP28/AC27)/10</f>
        <v>2.4261684806815635</v>
      </c>
      <c r="AT28" s="174"/>
    </row>
    <row r="29" spans="1:46">
      <c r="A29" s="196" t="s">
        <v>45</v>
      </c>
      <c r="B29" s="2" t="s">
        <v>236</v>
      </c>
      <c r="C29" s="166">
        <v>0.30980000000000002</v>
      </c>
      <c r="D29" s="227">
        <f>C29*('Análisis sólidos'!F17/100)</f>
        <v>0.30625784287897162</v>
      </c>
      <c r="E29" s="82">
        <v>60814</v>
      </c>
      <c r="F29" s="82">
        <v>34142</v>
      </c>
      <c r="G29" s="236"/>
      <c r="H29" s="236"/>
      <c r="I29" s="45">
        <f t="shared" si="0"/>
        <v>0.2973638470451912</v>
      </c>
      <c r="J29" s="18">
        <f t="shared" si="6"/>
        <v>0.19102162125371511</v>
      </c>
      <c r="K29" s="239"/>
      <c r="L29" s="239"/>
      <c r="M29" s="17">
        <f t="shared" si="2"/>
        <v>27.190914156857612</v>
      </c>
      <c r="N29" s="17">
        <f t="shared" ref="N29:N40" si="34">(J29*$X$6)/$X$12</f>
        <v>15.931973198844469</v>
      </c>
      <c r="O29" s="246"/>
      <c r="P29" s="239"/>
      <c r="Q29" s="17">
        <f t="shared" si="7"/>
        <v>43.122887355702083</v>
      </c>
      <c r="R29" s="23">
        <f t="shared" si="10"/>
        <v>8.8784384756484567</v>
      </c>
      <c r="S29" s="23">
        <f t="shared" si="11"/>
        <v>5.2021437391043532</v>
      </c>
      <c r="T29" s="23">
        <f t="shared" si="12"/>
        <v>0</v>
      </c>
      <c r="U29" s="23">
        <f>(Q29/D29)/10</f>
        <v>14.080582214752809</v>
      </c>
      <c r="V29" s="174">
        <f t="shared" ref="V29" si="35">STDEV(U29:U32)</f>
        <v>0.78359878192025945</v>
      </c>
      <c r="Z29" s="196" t="s">
        <v>45</v>
      </c>
      <c r="AA29" s="2" t="s">
        <v>236</v>
      </c>
      <c r="AB29" s="166">
        <f>C29</f>
        <v>0.30980000000000002</v>
      </c>
      <c r="AC29" s="227">
        <f>D29</f>
        <v>0.30625784287897162</v>
      </c>
      <c r="AD29" s="31">
        <v>2765</v>
      </c>
      <c r="AE29" s="31">
        <v>2735</v>
      </c>
      <c r="AF29" s="216"/>
      <c r="AG29" s="216"/>
      <c r="AH29" s="45">
        <f t="shared" si="5"/>
        <v>4.2575230871870498E-2</v>
      </c>
      <c r="AI29" s="18">
        <f t="shared" si="13"/>
        <v>4.8511922317762093E-2</v>
      </c>
      <c r="AJ29" s="216"/>
      <c r="AK29" s="216"/>
      <c r="AL29" s="17">
        <f t="shared" si="8"/>
        <v>3.8930739541767232</v>
      </c>
      <c r="AM29" s="17">
        <f t="shared" si="14"/>
        <v>4.0460898673059447</v>
      </c>
      <c r="AN29" s="216"/>
      <c r="AO29" s="216"/>
      <c r="AP29" s="17">
        <f t="shared" si="9"/>
        <v>7.9391638214826674</v>
      </c>
      <c r="AQ29" s="23">
        <f t="shared" si="15"/>
        <v>1.27117526773517</v>
      </c>
      <c r="AR29" s="23">
        <f t="shared" si="16"/>
        <v>1.3211383680074102</v>
      </c>
      <c r="AS29" s="23">
        <f>(AP29/AC29)/10</f>
        <v>2.5923136357425802</v>
      </c>
      <c r="AT29" s="174">
        <f t="shared" ref="AT29" si="36">STDEV(AS29:AS32)</f>
        <v>0.10463781473141572</v>
      </c>
    </row>
    <row r="30" spans="1:46">
      <c r="A30" s="196"/>
      <c r="B30" s="2" t="s">
        <v>237</v>
      </c>
      <c r="C30" s="167"/>
      <c r="D30" s="228"/>
      <c r="E30" s="82">
        <v>61828</v>
      </c>
      <c r="F30" s="82">
        <v>35020</v>
      </c>
      <c r="G30" s="236"/>
      <c r="H30" s="236"/>
      <c r="I30" s="45">
        <f t="shared" si="0"/>
        <v>0.30181449489097228</v>
      </c>
      <c r="J30" s="18">
        <f t="shared" si="6"/>
        <v>0.19500555845452278</v>
      </c>
      <c r="K30" s="239"/>
      <c r="L30" s="239"/>
      <c r="M30" s="17">
        <f t="shared" si="2"/>
        <v>27.597880856809695</v>
      </c>
      <c r="N30" s="17">
        <f t="shared" si="34"/>
        <v>16.264249620186554</v>
      </c>
      <c r="O30" s="246"/>
      <c r="P30" s="239"/>
      <c r="Q30" s="17">
        <f t="shared" si="7"/>
        <v>43.862130476996249</v>
      </c>
      <c r="R30" s="23">
        <f>(M30/D29)/10</f>
        <v>9.0113221582756182</v>
      </c>
      <c r="S30" s="23">
        <f>(N30/D29)/10</f>
        <v>5.3106393838912833</v>
      </c>
      <c r="T30" s="23">
        <f>(P30/D29)/10</f>
        <v>0</v>
      </c>
      <c r="U30" s="23">
        <f>(Q30/D29)/10</f>
        <v>14.3219615421669</v>
      </c>
      <c r="V30" s="174"/>
      <c r="Z30" s="196"/>
      <c r="AA30" s="2" t="s">
        <v>237</v>
      </c>
      <c r="AB30" s="167"/>
      <c r="AC30" s="228"/>
      <c r="AD30" s="31">
        <v>3436</v>
      </c>
      <c r="AE30" s="31">
        <v>2991</v>
      </c>
      <c r="AF30" s="216"/>
      <c r="AG30" s="216"/>
      <c r="AH30" s="45">
        <f t="shared" si="5"/>
        <v>4.5520383440429787E-2</v>
      </c>
      <c r="AI30" s="18">
        <f t="shared" si="13"/>
        <v>4.9673525875172993E-2</v>
      </c>
      <c r="AJ30" s="216"/>
      <c r="AK30" s="216"/>
      <c r="AL30" s="17">
        <f t="shared" si="8"/>
        <v>4.1623783483264738</v>
      </c>
      <c r="AM30" s="17">
        <f t="shared" si="14"/>
        <v>4.1429722862849578</v>
      </c>
      <c r="AN30" s="216"/>
      <c r="AO30" s="216"/>
      <c r="AP30" s="17">
        <f t="shared" si="9"/>
        <v>8.3053506346114325</v>
      </c>
      <c r="AQ30" s="23">
        <f>(AL30/AC29)/10</f>
        <v>1.3591091445032419</v>
      </c>
      <c r="AR30" s="23">
        <f>(AM30/AC29)/10</f>
        <v>1.3527726334578136</v>
      </c>
      <c r="AS30" s="23">
        <f t="shared" ref="AS30" si="37">(AP30/AC29)/10</f>
        <v>2.711881777961056</v>
      </c>
      <c r="AT30" s="174"/>
    </row>
    <row r="31" spans="1:46">
      <c r="A31" s="196" t="s">
        <v>49</v>
      </c>
      <c r="B31" s="2" t="s">
        <v>236</v>
      </c>
      <c r="C31" s="166">
        <v>0.31190000000000001</v>
      </c>
      <c r="D31" s="227">
        <f>C31*('Análisis sólidos'!F18/100)</f>
        <v>0.30929748321009437</v>
      </c>
      <c r="E31" s="82">
        <v>54295</v>
      </c>
      <c r="F31" s="82">
        <v>32116</v>
      </c>
      <c r="G31" s="236"/>
      <c r="H31" s="236"/>
      <c r="I31" s="45">
        <f t="shared" si="0"/>
        <v>0.26875065837985884</v>
      </c>
      <c r="J31" s="18">
        <f t="shared" si="6"/>
        <v>0.18182861810014295</v>
      </c>
      <c r="K31" s="239"/>
      <c r="L31" s="239"/>
      <c r="M31" s="17">
        <f t="shared" si="2"/>
        <v>24.574527650952657</v>
      </c>
      <c r="N31" s="17">
        <f t="shared" si="34"/>
        <v>15.165239679893375</v>
      </c>
      <c r="O31" s="246"/>
      <c r="P31" s="239"/>
      <c r="Q31" s="17">
        <f t="shared" si="7"/>
        <v>39.739767330846036</v>
      </c>
      <c r="R31" s="23">
        <f t="shared" si="10"/>
        <v>7.9452724270181294</v>
      </c>
      <c r="S31" s="23">
        <f t="shared" si="11"/>
        <v>4.9031241775712049</v>
      </c>
      <c r="T31" s="23">
        <f t="shared" si="12"/>
        <v>0</v>
      </c>
      <c r="U31" s="23">
        <f>(Q31/D31)/10</f>
        <v>12.848396604589336</v>
      </c>
      <c r="V31" s="174"/>
      <c r="Z31" s="196" t="s">
        <v>49</v>
      </c>
      <c r="AA31" s="2" t="s">
        <v>236</v>
      </c>
      <c r="AB31" s="166">
        <f>C31</f>
        <v>0.31190000000000001</v>
      </c>
      <c r="AC31" s="227">
        <f>D31</f>
        <v>0.30929748321009437</v>
      </c>
      <c r="AD31" s="31">
        <v>2590</v>
      </c>
      <c r="AE31" s="31">
        <v>2105</v>
      </c>
      <c r="AF31" s="216"/>
      <c r="AG31" s="216"/>
      <c r="AH31" s="45">
        <f t="shared" si="5"/>
        <v>4.1807121036553249E-2</v>
      </c>
      <c r="AI31" s="18">
        <f t="shared" si="13"/>
        <v>4.5653288563196219E-2</v>
      </c>
      <c r="AJ31" s="216"/>
      <c r="AK31" s="216"/>
      <c r="AL31" s="17">
        <f t="shared" si="8"/>
        <v>3.8228380838694118</v>
      </c>
      <c r="AM31" s="17">
        <f t="shared" si="14"/>
        <v>3.8076682893497802</v>
      </c>
      <c r="AN31" s="216"/>
      <c r="AO31" s="216"/>
      <c r="AP31" s="17">
        <f t="shared" si="9"/>
        <v>7.630506373219192</v>
      </c>
      <c r="AQ31" s="23">
        <f t="shared" si="15"/>
        <v>1.2359745201265342</v>
      </c>
      <c r="AR31" s="23">
        <f t="shared" si="16"/>
        <v>1.2310699233085489</v>
      </c>
      <c r="AS31" s="23">
        <f>(AP31/AC31)/10</f>
        <v>2.4670444434350829</v>
      </c>
      <c r="AT31" s="174"/>
    </row>
    <row r="32" spans="1:46">
      <c r="A32" s="196"/>
      <c r="B32" s="2" t="s">
        <v>237</v>
      </c>
      <c r="C32" s="167"/>
      <c r="D32" s="228"/>
      <c r="E32" s="82">
        <v>54566</v>
      </c>
      <c r="F32" s="82">
        <v>31934</v>
      </c>
      <c r="G32" s="236"/>
      <c r="H32" s="236"/>
      <c r="I32" s="45">
        <f t="shared" si="0"/>
        <v>0.26994013132483585</v>
      </c>
      <c r="J32" s="18">
        <f t="shared" si="6"/>
        <v>0.18100279057104612</v>
      </c>
      <c r="K32" s="239"/>
      <c r="L32" s="239"/>
      <c r="M32" s="17">
        <f t="shared" si="2"/>
        <v>24.683292912971414</v>
      </c>
      <c r="N32" s="17">
        <f t="shared" si="34"/>
        <v>15.096362335150483</v>
      </c>
      <c r="O32" s="246"/>
      <c r="P32" s="239"/>
      <c r="Q32" s="17">
        <f t="shared" si="7"/>
        <v>39.779655248121898</v>
      </c>
      <c r="R32" s="23">
        <f>(M32/D31)/10</f>
        <v>7.9804376863309177</v>
      </c>
      <c r="S32" s="23">
        <f>(N32/D31)/10</f>
        <v>4.8808552137154253</v>
      </c>
      <c r="T32" s="23">
        <f>(P32/D31)/10</f>
        <v>0</v>
      </c>
      <c r="U32" s="23">
        <f>(Q32/D31)/10</f>
        <v>12.861292900046342</v>
      </c>
      <c r="V32" s="174"/>
      <c r="Z32" s="196"/>
      <c r="AA32" s="2" t="s">
        <v>237</v>
      </c>
      <c r="AB32" s="167"/>
      <c r="AC32" s="228"/>
      <c r="AD32" s="31">
        <v>3049</v>
      </c>
      <c r="AE32" s="31">
        <v>2121</v>
      </c>
      <c r="AF32" s="216"/>
      <c r="AG32" s="216"/>
      <c r="AH32" s="45">
        <f t="shared" si="5"/>
        <v>4.3821763404613925E-2</v>
      </c>
      <c r="AI32" s="18">
        <f t="shared" si="13"/>
        <v>4.5725888785534401E-2</v>
      </c>
      <c r="AJ32" s="216"/>
      <c r="AK32" s="216"/>
      <c r="AL32" s="17">
        <f t="shared" si="8"/>
        <v>4.0070567379897328</v>
      </c>
      <c r="AM32" s="17">
        <f t="shared" si="14"/>
        <v>3.8137234405359681</v>
      </c>
      <c r="AN32" s="216"/>
      <c r="AO32" s="216"/>
      <c r="AP32" s="17">
        <f t="shared" si="9"/>
        <v>7.820780178525701</v>
      </c>
      <c r="AQ32" s="23">
        <f>(AL32/AC31)/10</f>
        <v>1.2955348670806632</v>
      </c>
      <c r="AR32" s="23">
        <f>(AM32/AC31)/10</f>
        <v>1.233027634416749</v>
      </c>
      <c r="AS32" s="23">
        <f t="shared" ref="AS32" si="38">(AP32/AC31)/10</f>
        <v>2.5285625014974125</v>
      </c>
      <c r="AT32" s="174"/>
    </row>
    <row r="33" spans="1:46">
      <c r="A33" s="196" t="s">
        <v>50</v>
      </c>
      <c r="B33" s="2" t="s">
        <v>236</v>
      </c>
      <c r="C33" s="166">
        <v>0.30409999999999998</v>
      </c>
      <c r="D33" s="227">
        <f>C33*('Análisis sólidos'!F19/100)</f>
        <v>0.30185147880381191</v>
      </c>
      <c r="E33" s="82">
        <v>53782</v>
      </c>
      <c r="F33" s="82">
        <v>40990</v>
      </c>
      <c r="G33" s="236"/>
      <c r="H33" s="236"/>
      <c r="I33" s="45">
        <f t="shared" si="0"/>
        <v>0.26649899926261456</v>
      </c>
      <c r="J33" s="18">
        <f t="shared" si="6"/>
        <v>0.22209451641445654</v>
      </c>
      <c r="K33" s="239"/>
      <c r="L33" s="239"/>
      <c r="M33" s="17">
        <f t="shared" si="2"/>
        <v>24.368636213994652</v>
      </c>
      <c r="N33" s="17">
        <f t="shared" si="34"/>
        <v>18.52357790653307</v>
      </c>
      <c r="O33" s="246"/>
      <c r="P33" s="239"/>
      <c r="Q33" s="17">
        <f t="shared" si="7"/>
        <v>42.892214120527726</v>
      </c>
      <c r="R33" s="23">
        <f t="shared" si="10"/>
        <v>8.0730551033122566</v>
      </c>
      <c r="S33" s="23">
        <f t="shared" si="11"/>
        <v>6.1366530255008138</v>
      </c>
      <c r="T33" s="23">
        <f t="shared" si="12"/>
        <v>0</v>
      </c>
      <c r="U33" s="23">
        <f>(Q33/D33)/10</f>
        <v>14.209708128813071</v>
      </c>
      <c r="V33" s="174">
        <f t="shared" ref="V33" si="39">STDEV(U33:U36)</f>
        <v>0.92794661460234495</v>
      </c>
      <c r="Z33" s="196" t="s">
        <v>50</v>
      </c>
      <c r="AA33" s="2" t="s">
        <v>236</v>
      </c>
      <c r="AB33" s="166">
        <f>C33</f>
        <v>0.30409999999999998</v>
      </c>
      <c r="AC33" s="227">
        <f>D33</f>
        <v>0.30185147880381191</v>
      </c>
      <c r="AD33" s="31">
        <v>2551</v>
      </c>
      <c r="AE33" s="31">
        <v>2958</v>
      </c>
      <c r="AF33" s="216"/>
      <c r="AG33" s="216"/>
      <c r="AH33" s="45">
        <f t="shared" si="5"/>
        <v>4.1635942273253977E-2</v>
      </c>
      <c r="AI33" s="18">
        <f t="shared" si="13"/>
        <v>4.952378791660049E-2</v>
      </c>
      <c r="AJ33" s="216"/>
      <c r="AK33" s="216"/>
      <c r="AL33" s="17">
        <f t="shared" si="8"/>
        <v>3.8071855184866394</v>
      </c>
      <c r="AM33" s="17">
        <f t="shared" si="14"/>
        <v>4.1304835369634443</v>
      </c>
      <c r="AN33" s="216"/>
      <c r="AO33" s="216"/>
      <c r="AP33" s="17">
        <f t="shared" si="9"/>
        <v>7.9376690554500833</v>
      </c>
      <c r="AQ33" s="23">
        <f t="shared" si="15"/>
        <v>1.2612777428071227</v>
      </c>
      <c r="AR33" s="23">
        <f t="shared" si="16"/>
        <v>1.3683827401912609</v>
      </c>
      <c r="AS33" s="23">
        <f>(AP33/AC33)/10</f>
        <v>2.6296604829983834</v>
      </c>
      <c r="AT33" s="174">
        <f t="shared" ref="AT33" si="40">STDEV(AS33:AS36)</f>
        <v>0.3687142323048434</v>
      </c>
    </row>
    <row r="34" spans="1:46">
      <c r="A34" s="196"/>
      <c r="B34" s="2" t="s">
        <v>237</v>
      </c>
      <c r="C34" s="167"/>
      <c r="D34" s="228"/>
      <c r="E34" s="82">
        <v>53944</v>
      </c>
      <c r="F34" s="82">
        <v>40498</v>
      </c>
      <c r="G34" s="236"/>
      <c r="H34" s="237"/>
      <c r="I34" s="45">
        <f t="shared" si="0"/>
        <v>0.26721004951016536</v>
      </c>
      <c r="J34" s="18">
        <f t="shared" si="6"/>
        <v>0.21986205957755747</v>
      </c>
      <c r="K34" s="239"/>
      <c r="L34" s="240"/>
      <c r="M34" s="17">
        <f t="shared" si="2"/>
        <v>24.433654562507705</v>
      </c>
      <c r="N34" s="17">
        <f t="shared" si="34"/>
        <v>18.337382007557778</v>
      </c>
      <c r="O34" s="246"/>
      <c r="P34" s="240"/>
      <c r="Q34" s="17">
        <f t="shared" si="7"/>
        <v>42.771036570065483</v>
      </c>
      <c r="R34" s="23">
        <f>(M34/D33)/10</f>
        <v>8.0945949509123771</v>
      </c>
      <c r="S34" s="23">
        <f>(N34/D33)/10</f>
        <v>6.0749684183181163</v>
      </c>
      <c r="T34" s="23">
        <f>(P34/D33)/10</f>
        <v>0</v>
      </c>
      <c r="U34" s="23">
        <f>(Q34/D33)/10</f>
        <v>14.169563369230493</v>
      </c>
      <c r="V34" s="174"/>
      <c r="Z34" s="196"/>
      <c r="AA34" s="2" t="s">
        <v>237</v>
      </c>
      <c r="AB34" s="167"/>
      <c r="AC34" s="228"/>
      <c r="AD34" s="31">
        <v>2094</v>
      </c>
      <c r="AE34" s="31">
        <v>3091</v>
      </c>
      <c r="AF34" s="216"/>
      <c r="AG34" s="216"/>
      <c r="AH34" s="45">
        <f t="shared" si="5"/>
        <v>3.9630078303311209E-2</v>
      </c>
      <c r="AI34" s="18">
        <f t="shared" si="13"/>
        <v>5.0127277264786621E-2</v>
      </c>
      <c r="AJ34" s="216"/>
      <c r="AK34" s="216"/>
      <c r="AL34" s="17">
        <f t="shared" si="8"/>
        <v>3.6237695600269726</v>
      </c>
      <c r="AM34" s="17">
        <f t="shared" si="14"/>
        <v>4.1808169811986353</v>
      </c>
      <c r="AN34" s="216"/>
      <c r="AO34" s="216"/>
      <c r="AP34" s="17">
        <f t="shared" si="9"/>
        <v>7.8045865412256079</v>
      </c>
      <c r="AQ34" s="23">
        <f>(AL34/AC33)/10</f>
        <v>1.2005140986512237</v>
      </c>
      <c r="AR34" s="23">
        <f>(AM34/AC33)/10</f>
        <v>1.3850576441654452</v>
      </c>
      <c r="AS34" s="23">
        <f t="shared" ref="AS34" si="41">(AP34/AC33)/10</f>
        <v>2.5855717428166693</v>
      </c>
      <c r="AT34" s="174"/>
    </row>
    <row r="35" spans="1:46">
      <c r="A35" s="196" t="s">
        <v>53</v>
      </c>
      <c r="B35" s="2" t="s">
        <v>236</v>
      </c>
      <c r="C35" s="166">
        <v>0.32719999999999999</v>
      </c>
      <c r="D35" s="227">
        <f>C35*('Análisis sólidos'!F20/100)</f>
        <v>0.31749967676767649</v>
      </c>
      <c r="E35" s="82">
        <v>67862</v>
      </c>
      <c r="F35" s="82">
        <v>39287</v>
      </c>
      <c r="G35" s="236"/>
      <c r="H35" s="82">
        <v>1510</v>
      </c>
      <c r="I35" s="45">
        <f t="shared" si="0"/>
        <v>0.3282989220127111</v>
      </c>
      <c r="J35" s="18">
        <f t="shared" si="6"/>
        <v>0.2143671302493364</v>
      </c>
      <c r="K35" s="239"/>
      <c r="L35" s="18">
        <f t="shared" ref="L35:L44" si="42">(H35-$M$73)/$L$73</f>
        <v>4.4316624788366253E-2</v>
      </c>
      <c r="M35" s="17">
        <f t="shared" si="2"/>
        <v>30.019613665005814</v>
      </c>
      <c r="N35" s="17">
        <f t="shared" si="34"/>
        <v>17.879082752153149</v>
      </c>
      <c r="O35" s="246"/>
      <c r="P35" s="17">
        <f>(L35*$X$6)/$X$18</f>
        <v>8.2185045288392011</v>
      </c>
      <c r="Q35" s="17">
        <f t="shared" si="7"/>
        <v>47.898696417158959</v>
      </c>
      <c r="R35" s="23">
        <f t="shared" si="10"/>
        <v>9.4550060556351418</v>
      </c>
      <c r="S35" s="23">
        <f t="shared" si="11"/>
        <v>5.6312128989144705</v>
      </c>
      <c r="T35" s="23">
        <f t="shared" si="12"/>
        <v>2.5885079986562993</v>
      </c>
      <c r="U35" s="23">
        <f>(Q35/D35)/10</f>
        <v>15.086218954549611</v>
      </c>
      <c r="V35" s="174"/>
      <c r="Z35" s="196" t="s">
        <v>53</v>
      </c>
      <c r="AA35" s="2" t="s">
        <v>236</v>
      </c>
      <c r="AB35" s="166">
        <f>C35</f>
        <v>0.32719999999999999</v>
      </c>
      <c r="AC35" s="227">
        <f>D35</f>
        <v>0.31749967676767649</v>
      </c>
      <c r="AD35" s="31">
        <v>405</v>
      </c>
      <c r="AE35" s="31">
        <v>468</v>
      </c>
      <c r="AF35" s="216"/>
      <c r="AG35" s="216"/>
      <c r="AH35" s="45">
        <f t="shared" si="5"/>
        <v>3.2216721092734997E-2</v>
      </c>
      <c r="AI35" s="18">
        <f t="shared" si="13"/>
        <v>3.822537831522109E-2</v>
      </c>
      <c r="AJ35" s="216"/>
      <c r="AK35" s="216"/>
      <c r="AL35" s="17">
        <f t="shared" si="8"/>
        <v>2.9458930746038301</v>
      </c>
      <c r="AM35" s="17">
        <f t="shared" si="14"/>
        <v>3.1881506336128882</v>
      </c>
      <c r="AN35" s="216"/>
      <c r="AO35" s="216"/>
      <c r="AP35" s="17">
        <f t="shared" si="9"/>
        <v>6.1340437082167183</v>
      </c>
      <c r="AQ35" s="23">
        <f t="shared" si="15"/>
        <v>0.92784128305095037</v>
      </c>
      <c r="AR35" s="23">
        <f t="shared" si="16"/>
        <v>1.0041429541188944</v>
      </c>
      <c r="AS35" s="23">
        <f>(AP35/AC35)/10</f>
        <v>1.931984237169845</v>
      </c>
      <c r="AT35" s="174"/>
    </row>
    <row r="36" spans="1:46">
      <c r="A36" s="196"/>
      <c r="B36" s="2" t="s">
        <v>237</v>
      </c>
      <c r="C36" s="167"/>
      <c r="D36" s="228"/>
      <c r="E36" s="82">
        <v>57002</v>
      </c>
      <c r="F36" s="82">
        <v>31931</v>
      </c>
      <c r="G36" s="236"/>
      <c r="H36" s="82">
        <v>1606</v>
      </c>
      <c r="I36" s="45">
        <f t="shared" si="0"/>
        <v>0.28063222023245199</v>
      </c>
      <c r="J36" s="18">
        <f t="shared" si="6"/>
        <v>0.18098917802935774</v>
      </c>
      <c r="K36" s="239"/>
      <c r="L36" s="18">
        <f t="shared" si="42"/>
        <v>4.4714020192653983E-2</v>
      </c>
      <c r="M36" s="17">
        <f t="shared" si="2"/>
        <v>25.660976227649197</v>
      </c>
      <c r="N36" s="17">
        <f t="shared" si="34"/>
        <v>15.095226994303072</v>
      </c>
      <c r="O36" s="246"/>
      <c r="P36" s="17">
        <f>(L36*$X$6)/$X$18</f>
        <v>8.2922013851651357</v>
      </c>
      <c r="Q36" s="17">
        <f t="shared" si="7"/>
        <v>40.756203221952269</v>
      </c>
      <c r="R36" s="23">
        <f>(M36/D35)/10</f>
        <v>8.082205465181012</v>
      </c>
      <c r="S36" s="23">
        <f>(N36/D35)/10</f>
        <v>4.7544070431758829</v>
      </c>
      <c r="T36" s="23">
        <f>(P36/D35)/10</f>
        <v>2.6117196305786399</v>
      </c>
      <c r="U36" s="23">
        <f>(Q36/D35)/10</f>
        <v>12.836612508356897</v>
      </c>
      <c r="V36" s="174"/>
      <c r="Z36" s="196"/>
      <c r="AA36" s="2" t="s">
        <v>237</v>
      </c>
      <c r="AB36" s="167"/>
      <c r="AC36" s="228"/>
      <c r="AD36" s="31">
        <v>875</v>
      </c>
      <c r="AE36" s="31">
        <v>646</v>
      </c>
      <c r="AF36" s="216"/>
      <c r="AG36" s="216"/>
      <c r="AH36" s="45">
        <f t="shared" si="5"/>
        <v>3.427964465044419E-2</v>
      </c>
      <c r="AI36" s="18">
        <f t="shared" si="13"/>
        <v>3.9033055788733347E-2</v>
      </c>
      <c r="AJ36" s="216"/>
      <c r="AK36" s="216"/>
      <c r="AL36" s="17">
        <f t="shared" si="8"/>
        <v>3.1345265548577541</v>
      </c>
      <c r="AM36" s="17">
        <f t="shared" si="14"/>
        <v>3.2555141905592331</v>
      </c>
      <c r="AN36" s="216"/>
      <c r="AO36" s="216"/>
      <c r="AP36" s="17">
        <f t="shared" si="9"/>
        <v>6.3900407454169876</v>
      </c>
      <c r="AQ36" s="23">
        <f>(AL36/AC35)/10</f>
        <v>0.9872534633008071</v>
      </c>
      <c r="AR36" s="23">
        <f>(AM36/AC35)/10</f>
        <v>1.0253598440484035</v>
      </c>
      <c r="AS36" s="23">
        <f>(AP36/AC35)/10</f>
        <v>2.012613307349211</v>
      </c>
      <c r="AT36" s="174"/>
    </row>
    <row r="37" spans="1:46">
      <c r="A37" s="196" t="s">
        <v>54</v>
      </c>
      <c r="B37" s="2" t="s">
        <v>236</v>
      </c>
      <c r="C37" s="166">
        <v>0.31130000000000002</v>
      </c>
      <c r="D37" s="227">
        <f>C37*('Análisis sólidos'!F21/100)</f>
        <v>0.30833891645988459</v>
      </c>
      <c r="E37" s="82">
        <v>51487</v>
      </c>
      <c r="F37" s="82">
        <v>37855</v>
      </c>
      <c r="G37" s="236"/>
      <c r="H37" s="241"/>
      <c r="I37" s="45">
        <f t="shared" si="0"/>
        <v>0.2564257874223112</v>
      </c>
      <c r="J37" s="18">
        <f t="shared" si="6"/>
        <v>0.2078694103500692</v>
      </c>
      <c r="K37" s="239"/>
      <c r="L37" s="225"/>
      <c r="M37" s="17">
        <f t="shared" si="2"/>
        <v>23.447542943393046</v>
      </c>
      <c r="N37" s="17">
        <f t="shared" si="34"/>
        <v>17.337146720989296</v>
      </c>
      <c r="O37" s="246"/>
      <c r="P37" s="225"/>
      <c r="Q37" s="17">
        <f t="shared" si="7"/>
        <v>40.784689664382341</v>
      </c>
      <c r="R37" s="23">
        <f t="shared" si="10"/>
        <v>7.6044708247016271</v>
      </c>
      <c r="S37" s="23">
        <f t="shared" si="11"/>
        <v>5.6227565822833423</v>
      </c>
      <c r="T37" s="23">
        <f t="shared" si="12"/>
        <v>0</v>
      </c>
      <c r="U37" s="23">
        <f>(Q37/D37)/10</f>
        <v>13.227227406984969</v>
      </c>
      <c r="V37" s="174">
        <f t="shared" ref="V37" si="43">STDEV(U37:U40)</f>
        <v>7.1033814323042718E-2</v>
      </c>
      <c r="Z37" s="196" t="s">
        <v>54</v>
      </c>
      <c r="AA37" s="2" t="s">
        <v>236</v>
      </c>
      <c r="AB37" s="166">
        <f>C37</f>
        <v>0.31130000000000002</v>
      </c>
      <c r="AC37" s="227">
        <f>D37</f>
        <v>0.30833891645988459</v>
      </c>
      <c r="AD37" s="31">
        <v>2163</v>
      </c>
      <c r="AE37" s="31">
        <v>1975</v>
      </c>
      <c r="AF37" s="216"/>
      <c r="AG37" s="216"/>
      <c r="AH37" s="45">
        <f t="shared" si="5"/>
        <v>3.9932933038379158E-2</v>
      </c>
      <c r="AI37" s="18">
        <f t="shared" si="13"/>
        <v>4.50634117566985E-2</v>
      </c>
      <c r="AJ37" s="216"/>
      <c r="AK37" s="216"/>
      <c r="AL37" s="17">
        <f t="shared" si="8"/>
        <v>3.6514625603195703</v>
      </c>
      <c r="AM37" s="17">
        <f t="shared" si="14"/>
        <v>3.758470185962</v>
      </c>
      <c r="AN37" s="216"/>
      <c r="AO37" s="216"/>
      <c r="AP37" s="17">
        <f t="shared" si="9"/>
        <v>7.4099327462815703</v>
      </c>
      <c r="AQ37" s="23">
        <f t="shared" si="15"/>
        <v>1.1842366841795111</v>
      </c>
      <c r="AR37" s="23">
        <f t="shared" si="16"/>
        <v>1.2189412316531194</v>
      </c>
      <c r="AS37" s="23">
        <f>(AP37/AC37)/10</f>
        <v>2.4031779158326305</v>
      </c>
      <c r="AT37" s="174">
        <f t="shared" ref="AT37" si="44">STDEV(AS37:AS40)</f>
        <v>5.2535992936858164E-2</v>
      </c>
    </row>
    <row r="38" spans="1:46">
      <c r="A38" s="196"/>
      <c r="B38" s="2" t="s">
        <v>237</v>
      </c>
      <c r="C38" s="167"/>
      <c r="D38" s="228"/>
      <c r="E38" s="82">
        <v>51814</v>
      </c>
      <c r="F38" s="82">
        <v>38438</v>
      </c>
      <c r="G38" s="236"/>
      <c r="H38" s="241"/>
      <c r="I38" s="45">
        <f t="shared" si="0"/>
        <v>0.25786105551458971</v>
      </c>
      <c r="J38" s="18">
        <f t="shared" si="6"/>
        <v>0.21051478095151668</v>
      </c>
      <c r="K38" s="239"/>
      <c r="L38" s="225"/>
      <c r="M38" s="17">
        <f t="shared" si="2"/>
        <v>23.578783683910139</v>
      </c>
      <c r="N38" s="17">
        <f t="shared" si="34"/>
        <v>17.557781292336035</v>
      </c>
      <c r="O38" s="246"/>
      <c r="P38" s="225"/>
      <c r="Q38" s="17">
        <f t="shared" si="7"/>
        <v>41.136564976246177</v>
      </c>
      <c r="R38" s="23">
        <f>(M38/D37)/10</f>
        <v>7.6470346184724232</v>
      </c>
      <c r="S38" s="23">
        <f>(N38/D37)/10</f>
        <v>5.6943124448646527</v>
      </c>
      <c r="T38" s="23">
        <f>(P38/D37)/10</f>
        <v>0</v>
      </c>
      <c r="U38" s="23">
        <f>(Q38/D37)/10</f>
        <v>13.341347063337077</v>
      </c>
      <c r="V38" s="174"/>
      <c r="Z38" s="196"/>
      <c r="AA38" s="2" t="s">
        <v>237</v>
      </c>
      <c r="AB38" s="167"/>
      <c r="AC38" s="228"/>
      <c r="AD38" s="31">
        <v>2165</v>
      </c>
      <c r="AE38" s="31">
        <v>1980</v>
      </c>
      <c r="AF38" s="216"/>
      <c r="AG38" s="216"/>
      <c r="AH38" s="45">
        <f t="shared" si="5"/>
        <v>3.9941711436497065E-2</v>
      </c>
      <c r="AI38" s="18">
        <f t="shared" si="13"/>
        <v>4.5086099326179185E-2</v>
      </c>
      <c r="AJ38" s="216"/>
      <c r="AK38" s="216"/>
      <c r="AL38" s="17">
        <f t="shared" si="8"/>
        <v>3.6522652559802253</v>
      </c>
      <c r="AM38" s="17">
        <f t="shared" si="14"/>
        <v>3.760362420707684</v>
      </c>
      <c r="AN38" s="216"/>
      <c r="AO38" s="216"/>
      <c r="AP38" s="17">
        <f t="shared" si="9"/>
        <v>7.4126276766879098</v>
      </c>
      <c r="AQ38" s="23">
        <f>(AL38/AC37)/10</f>
        <v>1.1844970131933998</v>
      </c>
      <c r="AR38" s="23">
        <f>(AM38/AC37)/10</f>
        <v>1.2195549182961838</v>
      </c>
      <c r="AS38" s="23">
        <f t="shared" ref="AS38" si="45">(AP38/AC37)/10</f>
        <v>2.4040519314895841</v>
      </c>
      <c r="AT38" s="174"/>
    </row>
    <row r="39" spans="1:46">
      <c r="A39" s="196" t="s">
        <v>58</v>
      </c>
      <c r="B39" s="2" t="s">
        <v>236</v>
      </c>
      <c r="C39" s="166">
        <v>0.3009</v>
      </c>
      <c r="D39" s="227">
        <f>C39*('Análisis sólidos'!F22/100)</f>
        <v>0.29831574136555994</v>
      </c>
      <c r="E39" s="82">
        <v>51843</v>
      </c>
      <c r="F39" s="82">
        <v>35309</v>
      </c>
      <c r="G39" s="236"/>
      <c r="H39" s="82">
        <v>1643</v>
      </c>
      <c r="I39" s="45">
        <f t="shared" si="0"/>
        <v>0.25798834228729939</v>
      </c>
      <c r="J39" s="18">
        <f t="shared" si="6"/>
        <v>0.19631689997050616</v>
      </c>
      <c r="K39" s="239"/>
      <c r="L39" s="18">
        <f t="shared" si="42"/>
        <v>4.4867183004723213E-2</v>
      </c>
      <c r="M39" s="17">
        <f t="shared" si="2"/>
        <v>23.590422770989633</v>
      </c>
      <c r="N39" s="17">
        <f t="shared" si="34"/>
        <v>16.373620788487077</v>
      </c>
      <c r="O39" s="246"/>
      <c r="P39" s="17">
        <f>(L39*$X$6)/$X$18</f>
        <v>8.3206053818740902</v>
      </c>
      <c r="Q39" s="17">
        <f t="shared" si="7"/>
        <v>39.964043559476707</v>
      </c>
      <c r="R39" s="23">
        <f t="shared" si="10"/>
        <v>7.9078705880564399</v>
      </c>
      <c r="S39" s="23">
        <f t="shared" si="11"/>
        <v>5.4886881642704299</v>
      </c>
      <c r="T39" s="23">
        <f t="shared" si="12"/>
        <v>2.7891942087219306</v>
      </c>
      <c r="U39" s="23">
        <f>(Q39/D39)/10</f>
        <v>13.396558752326868</v>
      </c>
      <c r="V39" s="174"/>
      <c r="Z39" s="196" t="s">
        <v>58</v>
      </c>
      <c r="AA39" s="2" t="s">
        <v>236</v>
      </c>
      <c r="AB39" s="166">
        <f>C39</f>
        <v>0.3009</v>
      </c>
      <c r="AC39" s="227">
        <f>D39</f>
        <v>0.29831574136555994</v>
      </c>
      <c r="AD39" s="31">
        <v>2198</v>
      </c>
      <c r="AE39" s="31">
        <v>2087</v>
      </c>
      <c r="AF39" s="216"/>
      <c r="AG39" s="216"/>
      <c r="AH39" s="45">
        <f t="shared" si="5"/>
        <v>4.0086555005442608E-2</v>
      </c>
      <c r="AI39" s="18">
        <f t="shared" si="13"/>
        <v>4.5571613313065765E-2</v>
      </c>
      <c r="AJ39" s="216"/>
      <c r="AK39" s="216"/>
      <c r="AL39" s="17">
        <f t="shared" si="8"/>
        <v>3.665509734381033</v>
      </c>
      <c r="AM39" s="17">
        <f t="shared" si="14"/>
        <v>3.8008562442653178</v>
      </c>
      <c r="AN39" s="216"/>
      <c r="AO39" s="216"/>
      <c r="AP39" s="17">
        <f t="shared" si="9"/>
        <v>7.4663659786463512</v>
      </c>
      <c r="AQ39" s="23">
        <f t="shared" si="15"/>
        <v>1.2287349362128599</v>
      </c>
      <c r="AR39" s="23">
        <f t="shared" si="16"/>
        <v>1.274105156793486</v>
      </c>
      <c r="AS39" s="23">
        <f>(AP39/AC39)/10</f>
        <v>2.5028400930063461</v>
      </c>
      <c r="AT39" s="174"/>
    </row>
    <row r="40" spans="1:46">
      <c r="A40" s="205"/>
      <c r="B40" s="15" t="s">
        <v>237</v>
      </c>
      <c r="C40" s="167"/>
      <c r="D40" s="228"/>
      <c r="E40" s="82">
        <v>51674</v>
      </c>
      <c r="F40" s="82">
        <v>35034</v>
      </c>
      <c r="G40" s="236"/>
      <c r="H40" s="82">
        <v>1648</v>
      </c>
      <c r="I40" s="45">
        <f t="shared" si="0"/>
        <v>0.25724656764633591</v>
      </c>
      <c r="J40" s="18">
        <f t="shared" si="6"/>
        <v>0.19506908364906869</v>
      </c>
      <c r="K40" s="239"/>
      <c r="L40" s="18">
        <f t="shared" si="42"/>
        <v>4.4887880682029868E-2</v>
      </c>
      <c r="M40" s="17">
        <f t="shared" si="2"/>
        <v>23.522594987664291</v>
      </c>
      <c r="N40" s="17">
        <f t="shared" si="34"/>
        <v>16.269547877474469</v>
      </c>
      <c r="O40" s="246"/>
      <c r="P40" s="17">
        <f>(L40*$X$6)/$X$18</f>
        <v>8.3244437598077337</v>
      </c>
      <c r="Q40" s="17">
        <f t="shared" si="7"/>
        <v>39.792142865138757</v>
      </c>
      <c r="R40" s="23">
        <f>(M40/D39)/10</f>
        <v>7.8851336774881755</v>
      </c>
      <c r="S40" s="23">
        <f>(N40/D39)/10</f>
        <v>5.4538013324404346</v>
      </c>
      <c r="T40" s="23">
        <f>(P40/D39)/10</f>
        <v>2.7904808917229929</v>
      </c>
      <c r="U40" s="23">
        <f>(Q40/D39)/10</f>
        <v>13.33893500992861</v>
      </c>
      <c r="V40" s="174"/>
      <c r="Z40" s="205"/>
      <c r="AA40" s="15" t="s">
        <v>237</v>
      </c>
      <c r="AB40" s="167"/>
      <c r="AC40" s="228"/>
      <c r="AD40" s="31">
        <v>2175</v>
      </c>
      <c r="AE40" s="31">
        <v>1967</v>
      </c>
      <c r="AF40" s="216"/>
      <c r="AG40" s="216"/>
      <c r="AH40" s="45">
        <f t="shared" si="5"/>
        <v>3.9985603427086625E-2</v>
      </c>
      <c r="AI40" s="18">
        <f t="shared" si="13"/>
        <v>4.5027111645529409E-2</v>
      </c>
      <c r="AJ40" s="216"/>
      <c r="AK40" s="216"/>
      <c r="AL40" s="17">
        <f t="shared" si="8"/>
        <v>3.6562787342835001</v>
      </c>
      <c r="AM40" s="17">
        <f t="shared" si="14"/>
        <v>3.7554426103689056</v>
      </c>
      <c r="AN40" s="216"/>
      <c r="AO40" s="216"/>
      <c r="AP40" s="17">
        <f t="shared" si="9"/>
        <v>7.4117213446524062</v>
      </c>
      <c r="AQ40" s="23">
        <f>(AL40/AC39)/10</f>
        <v>1.2256405637686578</v>
      </c>
      <c r="AR40" s="23">
        <f>(AM40/AC39)/10</f>
        <v>1.2588818119949419</v>
      </c>
      <c r="AS40" s="23">
        <f t="shared" ref="AS40" si="46">(AP40/AC39)/10</f>
        <v>2.4845223757635999</v>
      </c>
      <c r="AT40" s="174"/>
    </row>
    <row r="41" spans="1:46" ht="15" hidden="1" customHeight="1">
      <c r="A41" s="8" t="s">
        <v>143</v>
      </c>
      <c r="B41" s="6" t="s">
        <v>236</v>
      </c>
      <c r="C41" s="2">
        <v>0.3931</v>
      </c>
      <c r="D41" s="30">
        <f>C41</f>
        <v>0.3931</v>
      </c>
      <c r="E41" s="82">
        <v>1035910</v>
      </c>
      <c r="F41" s="82">
        <v>0</v>
      </c>
      <c r="G41" s="236"/>
      <c r="H41" s="82">
        <v>0</v>
      </c>
      <c r="I41" s="45">
        <f t="shared" si="0"/>
        <v>4.5772542926366793</v>
      </c>
      <c r="J41" s="18">
        <f t="shared" si="6"/>
        <v>3.6101821811829297E-2</v>
      </c>
      <c r="K41" s="239"/>
      <c r="L41" s="18">
        <f t="shared" si="42"/>
        <v>3.8065926241757156E-2</v>
      </c>
      <c r="M41" s="17">
        <f t="shared" ref="M41:N44" si="47">I41*$X$6</f>
        <v>398.22112345939109</v>
      </c>
      <c r="N41" s="17">
        <f t="shared" si="47"/>
        <v>3.1408584976291487</v>
      </c>
      <c r="O41" s="246"/>
      <c r="P41" s="17">
        <f>L41*$X$6</f>
        <v>3.3117355830328727</v>
      </c>
      <c r="Q41" s="17">
        <f t="shared" si="7"/>
        <v>401.36198195702025</v>
      </c>
      <c r="R41" s="17"/>
      <c r="S41" s="17"/>
      <c r="T41" s="23">
        <f t="shared" si="12"/>
        <v>0.84246644188065944</v>
      </c>
      <c r="U41" s="23">
        <f>(Q41/D41)/10</f>
        <v>102.101750688634</v>
      </c>
      <c r="V41" s="222"/>
      <c r="Z41" s="8" t="s">
        <v>143</v>
      </c>
      <c r="AA41" s="6" t="s">
        <v>236</v>
      </c>
      <c r="AB41" s="166">
        <f>C41</f>
        <v>0.3931</v>
      </c>
      <c r="AC41" s="252">
        <f>D41</f>
        <v>0.3931</v>
      </c>
      <c r="AD41" s="68">
        <v>1035910</v>
      </c>
      <c r="AE41" s="68">
        <v>0</v>
      </c>
      <c r="AF41" s="216"/>
      <c r="AG41" s="216"/>
      <c r="AH41" s="45">
        <f t="shared" si="5"/>
        <v>4.5772542926366793</v>
      </c>
      <c r="AI41" s="18">
        <f t="shared" si="13"/>
        <v>3.6101821811829297E-2</v>
      </c>
      <c r="AJ41" s="216"/>
      <c r="AK41" s="216"/>
      <c r="AL41" s="17">
        <f t="shared" ref="AL41:AL44" si="48">AH41*$X$6</f>
        <v>398.22112345939109</v>
      </c>
      <c r="AM41" s="17">
        <f t="shared" ref="AM41:AM44" si="49">AI41*$X$6</f>
        <v>3.1408584976291487</v>
      </c>
      <c r="AN41" s="216"/>
      <c r="AO41" s="216"/>
      <c r="AP41" s="17">
        <f t="shared" si="9"/>
        <v>401.36198195702025</v>
      </c>
      <c r="AQ41" s="17"/>
      <c r="AR41" s="17"/>
      <c r="AS41" s="23">
        <f>(AP41/AC41)/10</f>
        <v>102.101750688634</v>
      </c>
      <c r="AT41" s="222"/>
    </row>
    <row r="42" spans="1:46" ht="15" hidden="1" customHeight="1">
      <c r="A42" s="8" t="s">
        <v>183</v>
      </c>
      <c r="B42" s="6" t="s">
        <v>236</v>
      </c>
      <c r="C42" s="2">
        <v>0.33300000000000002</v>
      </c>
      <c r="D42" s="30">
        <f t="shared" ref="D42:D44" si="50">C42</f>
        <v>0.33300000000000002</v>
      </c>
      <c r="E42" s="82">
        <v>0</v>
      </c>
      <c r="F42" s="82">
        <v>0</v>
      </c>
      <c r="G42" s="236"/>
      <c r="H42" s="82">
        <v>0</v>
      </c>
      <c r="I42" s="45">
        <f t="shared" si="0"/>
        <v>3.0439095473857931E-2</v>
      </c>
      <c r="J42" s="18">
        <f t="shared" si="6"/>
        <v>3.6101821811829297E-2</v>
      </c>
      <c r="K42" s="239"/>
      <c r="L42" s="18">
        <f t="shared" si="42"/>
        <v>3.8065926241757156E-2</v>
      </c>
      <c r="M42" s="17">
        <f t="shared" si="47"/>
        <v>2.6482013062256402</v>
      </c>
      <c r="N42" s="17">
        <f t="shared" si="47"/>
        <v>3.1408584976291487</v>
      </c>
      <c r="O42" s="246"/>
      <c r="P42" s="17">
        <f>L42*$X$6</f>
        <v>3.3117355830328727</v>
      </c>
      <c r="Q42" s="17">
        <f t="shared" si="7"/>
        <v>5.7890598038547889</v>
      </c>
      <c r="R42" s="17"/>
      <c r="S42" s="17"/>
      <c r="T42" s="23">
        <f t="shared" si="12"/>
        <v>0.9945151900999617</v>
      </c>
      <c r="U42" s="23">
        <f>(Q42/D42)/10</f>
        <v>1.7384563975539904</v>
      </c>
      <c r="V42" s="223"/>
      <c r="Z42" s="8" t="s">
        <v>183</v>
      </c>
      <c r="AA42" s="6" t="s">
        <v>236</v>
      </c>
      <c r="AB42" s="167"/>
      <c r="AC42" s="253"/>
      <c r="AD42" s="31">
        <v>0</v>
      </c>
      <c r="AE42" s="31">
        <v>0</v>
      </c>
      <c r="AF42" s="216"/>
      <c r="AG42" s="216"/>
      <c r="AH42" s="45">
        <f t="shared" si="5"/>
        <v>3.0439095473857931E-2</v>
      </c>
      <c r="AI42" s="18">
        <f t="shared" si="13"/>
        <v>3.6101821811829297E-2</v>
      </c>
      <c r="AJ42" s="216"/>
      <c r="AK42" s="216"/>
      <c r="AL42" s="17">
        <f t="shared" si="48"/>
        <v>2.6482013062256402</v>
      </c>
      <c r="AM42" s="17">
        <f t="shared" si="49"/>
        <v>3.1408584976291487</v>
      </c>
      <c r="AN42" s="216"/>
      <c r="AO42" s="216"/>
      <c r="AP42" s="17">
        <f t="shared" si="9"/>
        <v>5.7890598038547889</v>
      </c>
      <c r="AQ42" s="17"/>
      <c r="AR42" s="17"/>
      <c r="AS42" s="23" t="e">
        <f t="shared" ref="AS42:AS45" si="51">(AP42/AC42)/10</f>
        <v>#DIV/0!</v>
      </c>
      <c r="AT42" s="223"/>
    </row>
    <row r="43" spans="1:46" ht="15" hidden="1" customHeight="1">
      <c r="A43" s="8" t="s">
        <v>145</v>
      </c>
      <c r="B43" s="6" t="s">
        <v>236</v>
      </c>
      <c r="C43" s="2">
        <v>0.33229999999999998</v>
      </c>
      <c r="D43" s="30">
        <f t="shared" si="50"/>
        <v>0.33229999999999998</v>
      </c>
      <c r="E43" s="82">
        <v>0</v>
      </c>
      <c r="F43" s="82">
        <v>828607</v>
      </c>
      <c r="G43" s="236"/>
      <c r="H43" s="82">
        <v>0</v>
      </c>
      <c r="I43" s="45">
        <f t="shared" si="0"/>
        <v>3.0439095473857931E-2</v>
      </c>
      <c r="J43" s="18">
        <f t="shared" si="6"/>
        <v>3.7959175987476463</v>
      </c>
      <c r="K43" s="239"/>
      <c r="L43" s="18">
        <f t="shared" si="42"/>
        <v>3.8065926241757156E-2</v>
      </c>
      <c r="M43" s="17">
        <f t="shared" si="47"/>
        <v>2.6482013062256402</v>
      </c>
      <c r="N43" s="17">
        <f t="shared" si="47"/>
        <v>330.24483109104523</v>
      </c>
      <c r="O43" s="246"/>
      <c r="P43" s="17">
        <f>L43*$X$6</f>
        <v>3.3117355830328727</v>
      </c>
      <c r="Q43" s="17">
        <f t="shared" si="7"/>
        <v>332.89303239727087</v>
      </c>
      <c r="R43" s="17"/>
      <c r="S43" s="17"/>
      <c r="T43" s="23">
        <f t="shared" si="12"/>
        <v>0.99661016642578182</v>
      </c>
      <c r="U43" s="23">
        <f>(Q43/D43)/10</f>
        <v>100.17846295433972</v>
      </c>
      <c r="V43" s="223"/>
      <c r="Z43" s="8" t="s">
        <v>145</v>
      </c>
      <c r="AA43" s="6" t="s">
        <v>236</v>
      </c>
      <c r="AB43" s="166">
        <f>C43</f>
        <v>0.33229999999999998</v>
      </c>
      <c r="AC43" s="252">
        <f>D43</f>
        <v>0.33229999999999998</v>
      </c>
      <c r="AD43" s="31">
        <v>0</v>
      </c>
      <c r="AE43" s="31">
        <v>828607</v>
      </c>
      <c r="AF43" s="216"/>
      <c r="AG43" s="216"/>
      <c r="AH43" s="45">
        <f t="shared" si="5"/>
        <v>3.0439095473857931E-2</v>
      </c>
      <c r="AI43" s="18">
        <f t="shared" si="13"/>
        <v>3.7959175987476463</v>
      </c>
      <c r="AJ43" s="216"/>
      <c r="AK43" s="216"/>
      <c r="AL43" s="17">
        <f t="shared" si="48"/>
        <v>2.6482013062256402</v>
      </c>
      <c r="AM43" s="17">
        <f t="shared" si="49"/>
        <v>330.24483109104523</v>
      </c>
      <c r="AN43" s="216"/>
      <c r="AO43" s="216"/>
      <c r="AP43" s="17">
        <f t="shared" si="9"/>
        <v>332.89303239727087</v>
      </c>
      <c r="AQ43" s="17"/>
      <c r="AR43" s="17"/>
      <c r="AS43" s="23">
        <f t="shared" si="51"/>
        <v>100.17846295433972</v>
      </c>
      <c r="AT43" s="223"/>
    </row>
    <row r="44" spans="1:46" ht="15" hidden="1" customHeight="1">
      <c r="A44" s="8" t="s">
        <v>185</v>
      </c>
      <c r="B44" s="43" t="s">
        <v>236</v>
      </c>
      <c r="C44" s="26">
        <v>0.30109999999999998</v>
      </c>
      <c r="D44" s="44">
        <f t="shared" si="50"/>
        <v>0.30109999999999998</v>
      </c>
      <c r="E44" s="139">
        <v>798515</v>
      </c>
      <c r="F44" s="139">
        <v>0</v>
      </c>
      <c r="G44" s="236"/>
      <c r="H44" s="139">
        <v>21621</v>
      </c>
      <c r="I44" s="46">
        <f t="shared" si="0"/>
        <v>3.5352803820358862</v>
      </c>
      <c r="J44" s="33">
        <v>0</v>
      </c>
      <c r="K44" s="239"/>
      <c r="L44" s="33">
        <f t="shared" si="42"/>
        <v>0.12756682245118453</v>
      </c>
      <c r="M44" s="47">
        <f t="shared" si="47"/>
        <v>307.56939323712209</v>
      </c>
      <c r="N44" s="47">
        <f t="shared" si="47"/>
        <v>0</v>
      </c>
      <c r="O44" s="246"/>
      <c r="P44" s="47">
        <f>L44*$X$6</f>
        <v>11.098313553253055</v>
      </c>
      <c r="Q44" s="17">
        <f t="shared" si="7"/>
        <v>307.56939323712209</v>
      </c>
      <c r="R44" s="47"/>
      <c r="S44" s="47"/>
      <c r="T44" s="23">
        <f t="shared" si="12"/>
        <v>3.6859228008146978</v>
      </c>
      <c r="U44" s="34">
        <f>(Q44/D44)/10</f>
        <v>102.14858626274398</v>
      </c>
      <c r="V44" s="224"/>
      <c r="Z44" s="8" t="s">
        <v>185</v>
      </c>
      <c r="AA44" s="43" t="s">
        <v>236</v>
      </c>
      <c r="AB44" s="167"/>
      <c r="AC44" s="253"/>
      <c r="AD44" s="135">
        <v>798515</v>
      </c>
      <c r="AE44" s="135">
        <v>0</v>
      </c>
      <c r="AF44" s="216"/>
      <c r="AG44" s="216"/>
      <c r="AH44" s="46">
        <f t="shared" si="5"/>
        <v>3.5352803820358862</v>
      </c>
      <c r="AI44" s="33">
        <v>0</v>
      </c>
      <c r="AJ44" s="216"/>
      <c r="AK44" s="216"/>
      <c r="AL44" s="47">
        <f t="shared" si="48"/>
        <v>307.56939323712209</v>
      </c>
      <c r="AM44" s="47">
        <f t="shared" si="49"/>
        <v>0</v>
      </c>
      <c r="AN44" s="216"/>
      <c r="AO44" s="216"/>
      <c r="AP44" s="47">
        <f t="shared" si="9"/>
        <v>307.56939323712209</v>
      </c>
      <c r="AQ44" s="47"/>
      <c r="AR44" s="47"/>
      <c r="AS44" s="34" t="e">
        <f t="shared" si="51"/>
        <v>#DIV/0!</v>
      </c>
      <c r="AT44" s="224"/>
    </row>
    <row r="45" spans="1:46">
      <c r="A45" s="196" t="s">
        <v>60</v>
      </c>
      <c r="B45" s="36" t="s">
        <v>236</v>
      </c>
      <c r="C45" s="166">
        <v>0.30780000000000002</v>
      </c>
      <c r="D45" s="227">
        <f>C45*('Análisis sólidos'!F23/100)</f>
        <v>0.30054524576954106</v>
      </c>
      <c r="E45" s="82">
        <v>64752</v>
      </c>
      <c r="F45" s="82">
        <v>44516</v>
      </c>
      <c r="G45" s="236"/>
      <c r="H45" s="82">
        <v>1718</v>
      </c>
      <c r="I45" s="45">
        <f t="shared" ref="I45:I64" si="52">(E45-$D$73)/$C$73</f>
        <v>0.3146485129393588</v>
      </c>
      <c r="J45" s="18">
        <f t="shared" ref="J45:J64" si="53">(F45-$J$73)/$I$73</f>
        <v>0.23809379041223316</v>
      </c>
      <c r="K45" s="239"/>
      <c r="L45" s="18">
        <f t="shared" ref="L45:L64" si="54">(H45-$M$73)/$L$73</f>
        <v>4.5177648164323E-2</v>
      </c>
      <c r="M45" s="17">
        <f t="shared" ref="M45:M66" si="55">(I45*$X$6)/$X$15</f>
        <v>28.771421912687298</v>
      </c>
      <c r="N45" s="17">
        <f t="shared" ref="N45:N64" si="56">(J45*$X$6)/$X$12</f>
        <v>19.857981849189319</v>
      </c>
      <c r="O45" s="246"/>
      <c r="P45" s="17">
        <f t="shared" ref="P45:P64" si="57">(L45*$X$6)/$X$18</f>
        <v>8.3781810508787267</v>
      </c>
      <c r="Q45" s="17">
        <f t="shared" si="7"/>
        <v>48.629403761876617</v>
      </c>
      <c r="R45" s="23">
        <f t="shared" ref="R45:R63" si="58">(M45/D45)/10</f>
        <v>9.5730750420019302</v>
      </c>
      <c r="S45" s="23">
        <f t="shared" ref="S45:S63" si="59">(N45/D45)/10</f>
        <v>6.6073185747268397</v>
      </c>
      <c r="T45" s="23">
        <f t="shared" si="12"/>
        <v>2.7876604833413801</v>
      </c>
      <c r="U45" s="23">
        <f>(Q45/D45)/10</f>
        <v>16.180393616728772</v>
      </c>
      <c r="V45" s="174">
        <f t="shared" ref="V45" si="60">STDEV(U45:U48)</f>
        <v>0.19007823481991998</v>
      </c>
      <c r="Z45" s="196" t="s">
        <v>60</v>
      </c>
      <c r="AA45" s="36" t="s">
        <v>236</v>
      </c>
      <c r="AB45" s="166">
        <f>C45</f>
        <v>0.30780000000000002</v>
      </c>
      <c r="AC45" s="229">
        <f>D45</f>
        <v>0.30054524576954106</v>
      </c>
      <c r="AD45" s="31">
        <v>2081</v>
      </c>
      <c r="AE45" s="31">
        <v>2816</v>
      </c>
      <c r="AF45" s="216"/>
      <c r="AG45" s="216"/>
      <c r="AH45" s="45">
        <f t="shared" ref="AH45:AH64" si="61">(AD45-$D$73)/$C$73</f>
        <v>3.9573018715544785E-2</v>
      </c>
      <c r="AI45" s="18">
        <f t="shared" ref="AI45:AI64" si="62">(AE45-$J$73)/$I$73</f>
        <v>4.8879460943349134E-2</v>
      </c>
      <c r="AJ45" s="216"/>
      <c r="AK45" s="216"/>
      <c r="AL45" s="17">
        <f t="shared" ref="AL45:AL64" si="63">(AH45*$X$6)/$X$15</f>
        <v>3.618552038232715</v>
      </c>
      <c r="AM45" s="17">
        <f t="shared" ref="AM45:AM64" si="64">(AI45*$X$6)/$X$12</f>
        <v>4.0767440701860229</v>
      </c>
      <c r="AN45" s="216"/>
      <c r="AO45" s="216"/>
      <c r="AP45" s="17">
        <f t="shared" si="9"/>
        <v>7.6952961084187379</v>
      </c>
      <c r="AQ45" s="23">
        <f t="shared" ref="AQ45:AQ63" si="65">(AL45/AC45)/10</f>
        <v>1.2039957674151434</v>
      </c>
      <c r="AR45" s="23">
        <f t="shared" ref="AR45:AR63" si="66">(AM45/AC45)/10</f>
        <v>1.3564493624737228</v>
      </c>
      <c r="AS45" s="23">
        <f t="shared" si="51"/>
        <v>2.5604451298888664</v>
      </c>
      <c r="AT45" s="174">
        <f t="shared" ref="AT45" si="67">STDEV(AS45:AS48)</f>
        <v>6.6989916888595638E-2</v>
      </c>
    </row>
    <row r="46" spans="1:46">
      <c r="A46" s="196"/>
      <c r="B46" s="36" t="s">
        <v>237</v>
      </c>
      <c r="C46" s="167"/>
      <c r="D46" s="228"/>
      <c r="E46" s="82">
        <v>64850</v>
      </c>
      <c r="F46" s="82">
        <v>44501</v>
      </c>
      <c r="G46" s="236"/>
      <c r="H46" s="82">
        <v>1493</v>
      </c>
      <c r="I46" s="45">
        <f t="shared" si="52"/>
        <v>0.31507865444713651</v>
      </c>
      <c r="J46" s="18">
        <f t="shared" si="53"/>
        <v>0.2380257277037911</v>
      </c>
      <c r="K46" s="239"/>
      <c r="L46" s="18">
        <f t="shared" si="54"/>
        <v>4.4246252685523631E-2</v>
      </c>
      <c r="M46" s="17">
        <f t="shared" si="55"/>
        <v>28.810754000059394</v>
      </c>
      <c r="N46" s="17">
        <f t="shared" si="56"/>
        <v>19.852305144952268</v>
      </c>
      <c r="O46" s="246"/>
      <c r="P46" s="17">
        <f t="shared" si="57"/>
        <v>8.2054540438648171</v>
      </c>
      <c r="Q46" s="17">
        <f t="shared" si="7"/>
        <v>48.663059145011658</v>
      </c>
      <c r="R46" s="23">
        <f>(M46/D45)/10</f>
        <v>9.5861619525173118</v>
      </c>
      <c r="S46" s="23">
        <f>(N46/D45)/10</f>
        <v>6.6054297728519291</v>
      </c>
      <c r="T46" s="23">
        <f>(P46/D45)/10</f>
        <v>2.7301892674611734</v>
      </c>
      <c r="U46" s="23">
        <f>(Q46/D45)/10</f>
        <v>16.191591725369243</v>
      </c>
      <c r="V46" s="174"/>
      <c r="Z46" s="196"/>
      <c r="AA46" s="36" t="s">
        <v>237</v>
      </c>
      <c r="AB46" s="167"/>
      <c r="AC46" s="230"/>
      <c r="AD46" s="31">
        <v>2060</v>
      </c>
      <c r="AE46" s="31">
        <v>1793</v>
      </c>
      <c r="AF46" s="216"/>
      <c r="AG46" s="216"/>
      <c r="AH46" s="45">
        <f t="shared" si="61"/>
        <v>3.9480845535306716E-2</v>
      </c>
      <c r="AI46" s="18">
        <f t="shared" si="62"/>
        <v>4.4237584227601691E-2</v>
      </c>
      <c r="AJ46" s="216"/>
      <c r="AK46" s="216"/>
      <c r="AL46" s="17">
        <f t="shared" si="63"/>
        <v>3.6101237337958381</v>
      </c>
      <c r="AM46" s="17">
        <f t="shared" si="64"/>
        <v>3.6895928412191075</v>
      </c>
      <c r="AN46" s="216"/>
      <c r="AO46" s="216"/>
      <c r="AP46" s="17">
        <f t="shared" si="9"/>
        <v>7.299716575014946</v>
      </c>
      <c r="AQ46" s="23">
        <f>(AL46/AC45)/10</f>
        <v>1.2011914294475619</v>
      </c>
      <c r="AR46" s="23">
        <f>(AM46/AC45)/10</f>
        <v>1.2276330746047794</v>
      </c>
      <c r="AS46" s="23">
        <f t="shared" ref="AS46" si="68">(AP46/AC45)/10</f>
        <v>2.4288245040523413</v>
      </c>
      <c r="AT46" s="174"/>
    </row>
    <row r="47" spans="1:46">
      <c r="A47" s="196" t="s">
        <v>63</v>
      </c>
      <c r="B47" s="36" t="s">
        <v>236</v>
      </c>
      <c r="C47" s="166">
        <v>0.314</v>
      </c>
      <c r="D47" s="227">
        <f>C47*('Análisis sólidos'!F24/100)</f>
        <v>0.30737375226100327</v>
      </c>
      <c r="E47" s="82">
        <v>65738</v>
      </c>
      <c r="F47" s="82">
        <v>44632</v>
      </c>
      <c r="G47" s="236"/>
      <c r="H47" s="82">
        <v>2120</v>
      </c>
      <c r="I47" s="45">
        <f t="shared" si="52"/>
        <v>0.31897626321148914</v>
      </c>
      <c r="J47" s="18">
        <f t="shared" si="53"/>
        <v>0.23862014202418497</v>
      </c>
      <c r="K47" s="239"/>
      <c r="L47" s="18">
        <f t="shared" si="54"/>
        <v>4.6841741419777878E-2</v>
      </c>
      <c r="M47" s="17">
        <f t="shared" si="55"/>
        <v>29.167150873390209</v>
      </c>
      <c r="N47" s="17">
        <f t="shared" si="56"/>
        <v>19.90188169528918</v>
      </c>
      <c r="O47" s="246"/>
      <c r="P47" s="17">
        <f t="shared" si="57"/>
        <v>8.6867866367435802</v>
      </c>
      <c r="Q47" s="17">
        <f t="shared" si="7"/>
        <v>49.06903256867939</v>
      </c>
      <c r="R47" s="23">
        <f t="shared" si="58"/>
        <v>9.4891481978666867</v>
      </c>
      <c r="S47" s="23">
        <f t="shared" si="59"/>
        <v>6.4748149602538927</v>
      </c>
      <c r="T47" s="23">
        <f t="shared" si="12"/>
        <v>2.8261315655109303</v>
      </c>
      <c r="U47" s="23">
        <f>(Q47/D47)/10</f>
        <v>15.963963158120581</v>
      </c>
      <c r="V47" s="174"/>
      <c r="Z47" s="196" t="s">
        <v>63</v>
      </c>
      <c r="AA47" s="36" t="s">
        <v>236</v>
      </c>
      <c r="AB47" s="166">
        <f>C47</f>
        <v>0.314</v>
      </c>
      <c r="AC47" s="229">
        <f>D47</f>
        <v>0.30737375226100327</v>
      </c>
      <c r="AD47" s="31">
        <v>2963</v>
      </c>
      <c r="AE47" s="31">
        <v>1706</v>
      </c>
      <c r="AF47" s="216"/>
      <c r="AG47" s="216"/>
      <c r="AH47" s="45">
        <f t="shared" si="61"/>
        <v>4.3444292285543737E-2</v>
      </c>
      <c r="AI47" s="18">
        <f t="shared" si="62"/>
        <v>4.3842820518637832E-2</v>
      </c>
      <c r="AJ47" s="216"/>
      <c r="AK47" s="216"/>
      <c r="AL47" s="17">
        <f t="shared" si="63"/>
        <v>3.9725408245815683</v>
      </c>
      <c r="AM47" s="17">
        <f t="shared" si="64"/>
        <v>3.6566679566442084</v>
      </c>
      <c r="AN47" s="216"/>
      <c r="AO47" s="216"/>
      <c r="AP47" s="17">
        <f t="shared" si="9"/>
        <v>7.6292087812257767</v>
      </c>
      <c r="AQ47" s="23">
        <f t="shared" si="65"/>
        <v>1.2924138106653706</v>
      </c>
      <c r="AR47" s="23">
        <f t="shared" si="66"/>
        <v>1.1896487353738605</v>
      </c>
      <c r="AS47" s="23">
        <f t="shared" ref="AS47" si="69">(AP47/AC47)/10</f>
        <v>2.4820625460392312</v>
      </c>
      <c r="AT47" s="174"/>
    </row>
    <row r="48" spans="1:46">
      <c r="A48" s="196"/>
      <c r="B48" s="36" t="s">
        <v>237</v>
      </c>
      <c r="C48" s="167"/>
      <c r="D48" s="228"/>
      <c r="E48" s="82">
        <v>64613</v>
      </c>
      <c r="F48" s="82">
        <v>44451</v>
      </c>
      <c r="G48" s="236"/>
      <c r="H48" s="82">
        <v>2069</v>
      </c>
      <c r="I48" s="45">
        <f t="shared" si="52"/>
        <v>0.31403841427016399</v>
      </c>
      <c r="J48" s="18">
        <f t="shared" si="53"/>
        <v>0.23779885200898429</v>
      </c>
      <c r="K48" s="239"/>
      <c r="L48" s="18">
        <f t="shared" si="54"/>
        <v>4.6630625111250018E-2</v>
      </c>
      <c r="M48" s="17">
        <f t="shared" si="55"/>
        <v>28.715634564271777</v>
      </c>
      <c r="N48" s="17">
        <f t="shared" si="56"/>
        <v>19.833382797495428</v>
      </c>
      <c r="O48" s="246"/>
      <c r="P48" s="17">
        <f t="shared" si="57"/>
        <v>8.6476351818204282</v>
      </c>
      <c r="Q48" s="17">
        <f t="shared" si="7"/>
        <v>48.549017361767206</v>
      </c>
      <c r="R48" s="23">
        <f>(M48/D47)/10</f>
        <v>9.3422533163756256</v>
      </c>
      <c r="S48" s="23">
        <f>(N48/D47)/10</f>
        <v>6.4525297464742906</v>
      </c>
      <c r="T48" s="23">
        <f>(P48/D47)/10</f>
        <v>2.8133941555547581</v>
      </c>
      <c r="U48" s="23">
        <f>(Q48/D47)/10</f>
        <v>15.794783062849916</v>
      </c>
      <c r="V48" s="174"/>
      <c r="Z48" s="196"/>
      <c r="AA48" s="36" t="s">
        <v>237</v>
      </c>
      <c r="AB48" s="167"/>
      <c r="AC48" s="230"/>
      <c r="AD48" s="31">
        <v>2975</v>
      </c>
      <c r="AE48" s="31">
        <v>2404</v>
      </c>
      <c r="AF48" s="216"/>
      <c r="AG48" s="216"/>
      <c r="AH48" s="45">
        <f t="shared" si="61"/>
        <v>4.3496962674251204E-2</v>
      </c>
      <c r="AI48" s="18">
        <f t="shared" si="62"/>
        <v>4.7010005218140978E-2</v>
      </c>
      <c r="AJ48" s="216"/>
      <c r="AK48" s="216"/>
      <c r="AL48" s="17">
        <f t="shared" si="63"/>
        <v>3.9773569985454982</v>
      </c>
      <c r="AM48" s="17">
        <f t="shared" si="64"/>
        <v>3.920823927141674</v>
      </c>
      <c r="AN48" s="216"/>
      <c r="AO48" s="216"/>
      <c r="AP48" s="17">
        <f t="shared" si="9"/>
        <v>7.8981809256871722</v>
      </c>
      <c r="AQ48" s="23">
        <f>(AL48/AC47)/10</f>
        <v>1.2939806894012753</v>
      </c>
      <c r="AR48" s="23">
        <f>(AM48/AC47)/10</f>
        <v>1.2755883995626101</v>
      </c>
      <c r="AS48" s="23">
        <f t="shared" ref="AS48" si="70">(AP48/AC47)/10</f>
        <v>2.5695690889638856</v>
      </c>
      <c r="AT48" s="174"/>
    </row>
    <row r="49" spans="1:46">
      <c r="A49" s="196" t="s">
        <v>65</v>
      </c>
      <c r="B49" s="36" t="s">
        <v>236</v>
      </c>
      <c r="C49" s="166">
        <v>0.31090000000000001</v>
      </c>
      <c r="D49" s="227">
        <f>C49*('Análisis sólidos'!F25/100)</f>
        <v>0.30351243121560845</v>
      </c>
      <c r="E49" s="82">
        <v>32720</v>
      </c>
      <c r="F49" s="82">
        <v>3483</v>
      </c>
      <c r="G49" s="236"/>
      <c r="H49" s="82">
        <v>2163</v>
      </c>
      <c r="I49" s="45">
        <f t="shared" si="52"/>
        <v>0.17405368868288915</v>
      </c>
      <c r="J49" s="18">
        <f t="shared" si="53"/>
        <v>5.190598271207205E-2</v>
      </c>
      <c r="K49" s="239"/>
      <c r="L49" s="18">
        <f t="shared" si="54"/>
        <v>4.7019741444615092E-2</v>
      </c>
      <c r="M49" s="17">
        <f t="shared" si="55"/>
        <v>15.915448211636905</v>
      </c>
      <c r="N49" s="17">
        <f t="shared" si="56"/>
        <v>4.3291681852602482</v>
      </c>
      <c r="O49" s="246"/>
      <c r="P49" s="17">
        <f t="shared" si="57"/>
        <v>8.7197966869729076</v>
      </c>
      <c r="Q49" s="17">
        <f t="shared" si="7"/>
        <v>20.244616396897154</v>
      </c>
      <c r="R49" s="23">
        <f t="shared" si="58"/>
        <v>5.2437549750082315</v>
      </c>
      <c r="S49" s="23">
        <f t="shared" si="59"/>
        <v>1.4263561357013754</v>
      </c>
      <c r="T49" s="23">
        <f t="shared" si="12"/>
        <v>2.8729619581145127</v>
      </c>
      <c r="U49" s="23">
        <f>(Q49/D49)/10</f>
        <v>6.6701111107096072</v>
      </c>
      <c r="V49" s="174">
        <f t="shared" ref="V49" si="71">STDEV(U49:U52)</f>
        <v>0.33295626918063903</v>
      </c>
      <c r="Z49" s="196" t="s">
        <v>65</v>
      </c>
      <c r="AA49" s="36" t="s">
        <v>236</v>
      </c>
      <c r="AB49" s="166">
        <f>C49</f>
        <v>0.31090000000000001</v>
      </c>
      <c r="AC49" s="229">
        <f>D49</f>
        <v>0.30351243121560845</v>
      </c>
      <c r="AD49" s="31">
        <v>4800</v>
      </c>
      <c r="AE49" s="31">
        <v>3820</v>
      </c>
      <c r="AF49" s="216"/>
      <c r="AG49" s="216"/>
      <c r="AH49" s="45">
        <f t="shared" si="61"/>
        <v>5.1507250956845392E-2</v>
      </c>
      <c r="AI49" s="18">
        <f t="shared" si="62"/>
        <v>5.3435124895069991E-2</v>
      </c>
      <c r="AJ49" s="216"/>
      <c r="AK49" s="216"/>
      <c r="AL49" s="17">
        <f t="shared" si="63"/>
        <v>4.709816788893181</v>
      </c>
      <c r="AM49" s="17">
        <f t="shared" si="64"/>
        <v>4.4567048071193396</v>
      </c>
      <c r="AN49" s="216"/>
      <c r="AO49" s="216"/>
      <c r="AP49" s="17">
        <f t="shared" si="9"/>
        <v>9.1665215960125206</v>
      </c>
      <c r="AQ49" s="23">
        <f t="shared" si="65"/>
        <v>1.5517706375418385</v>
      </c>
      <c r="AR49" s="23">
        <f t="shared" si="66"/>
        <v>1.4683763657619004</v>
      </c>
      <c r="AS49" s="23">
        <f t="shared" ref="AS49" si="72">(AP49/AC49)/10</f>
        <v>3.0201470033037388</v>
      </c>
      <c r="AT49" s="174">
        <f t="shared" ref="AT49" si="73">STDEV(AS49:AS52)</f>
        <v>0.29686983636831271</v>
      </c>
    </row>
    <row r="50" spans="1:46">
      <c r="A50" s="196"/>
      <c r="B50" s="36" t="s">
        <v>237</v>
      </c>
      <c r="C50" s="167"/>
      <c r="D50" s="228"/>
      <c r="E50" s="82">
        <v>32946</v>
      </c>
      <c r="F50" s="82">
        <v>2356</v>
      </c>
      <c r="G50" s="236"/>
      <c r="H50" s="82">
        <v>2289</v>
      </c>
      <c r="I50" s="45">
        <f t="shared" si="52"/>
        <v>0.17504564767021313</v>
      </c>
      <c r="J50" s="18">
        <f t="shared" si="53"/>
        <v>4.6792204551126433E-2</v>
      </c>
      <c r="K50" s="239"/>
      <c r="L50" s="18">
        <f t="shared" si="54"/>
        <v>4.7541322912742733E-2</v>
      </c>
      <c r="M50" s="17">
        <f t="shared" si="55"/>
        <v>16.006152821290918</v>
      </c>
      <c r="N50" s="17">
        <f t="shared" si="56"/>
        <v>3.9026584735831085</v>
      </c>
      <c r="O50" s="246"/>
      <c r="P50" s="17">
        <f t="shared" si="57"/>
        <v>8.8165238109006943</v>
      </c>
      <c r="Q50" s="17">
        <f t="shared" si="7"/>
        <v>19.908811294874027</v>
      </c>
      <c r="R50" s="23">
        <f>(M50/D49)/10</f>
        <v>5.2736399485135106</v>
      </c>
      <c r="S50" s="23">
        <f>(N50/D49)/10</f>
        <v>1.2858315087630618</v>
      </c>
      <c r="T50" s="23">
        <f>(P50/D49)/10</f>
        <v>2.9048312043066309</v>
      </c>
      <c r="U50" s="23">
        <f>(Q50/D49)/10</f>
        <v>6.5594714572765724</v>
      </c>
      <c r="V50" s="174"/>
      <c r="Z50" s="196"/>
      <c r="AA50" s="36" t="s">
        <v>237</v>
      </c>
      <c r="AB50" s="167"/>
      <c r="AC50" s="230"/>
      <c r="AD50" s="31">
        <v>4135</v>
      </c>
      <c r="AE50" s="31">
        <v>3257</v>
      </c>
      <c r="AF50" s="216"/>
      <c r="AG50" s="216"/>
      <c r="AH50" s="45">
        <f t="shared" si="61"/>
        <v>4.8588433582639839E-2</v>
      </c>
      <c r="AI50" s="18">
        <f t="shared" si="62"/>
        <v>5.0880504571545249E-2</v>
      </c>
      <c r="AJ50" s="216"/>
      <c r="AK50" s="216"/>
      <c r="AL50" s="17">
        <f t="shared" si="63"/>
        <v>4.4429204817253947</v>
      </c>
      <c r="AM50" s="17">
        <f t="shared" si="64"/>
        <v>4.243639174755339</v>
      </c>
      <c r="AN50" s="216"/>
      <c r="AO50" s="216"/>
      <c r="AP50" s="17">
        <f t="shared" si="9"/>
        <v>8.6865596564807337</v>
      </c>
      <c r="AQ50" s="23">
        <f>(AL50/AC49)/10</f>
        <v>1.4638347641745333</v>
      </c>
      <c r="AR50" s="23">
        <f>(AM50/AC49)/10</f>
        <v>1.3981763968477299</v>
      </c>
      <c r="AS50" s="23">
        <f t="shared" ref="AS50" si="74">(AP50/AC49)/10</f>
        <v>2.8620111610222634</v>
      </c>
      <c r="AT50" s="174"/>
    </row>
    <row r="51" spans="1:46">
      <c r="A51" s="196" t="s">
        <v>67</v>
      </c>
      <c r="B51" s="36" t="s">
        <v>236</v>
      </c>
      <c r="C51" s="166">
        <v>0.3291</v>
      </c>
      <c r="D51" s="227">
        <f>C51*('Análisis sólidos'!F26/100)</f>
        <v>0.32456027497373585</v>
      </c>
      <c r="E51" s="82">
        <v>31249</v>
      </c>
      <c r="F51" s="82">
        <v>2669</v>
      </c>
      <c r="G51" s="236"/>
      <c r="H51" s="82">
        <v>1266</v>
      </c>
      <c r="I51" s="45">
        <f t="shared" si="52"/>
        <v>0.16759717686716527</v>
      </c>
      <c r="J51" s="18">
        <f t="shared" si="53"/>
        <v>4.8212446400617101E-2</v>
      </c>
      <c r="K51" s="239"/>
      <c r="L51" s="18">
        <f t="shared" si="54"/>
        <v>4.3306578135801604E-2</v>
      </c>
      <c r="M51" s="17">
        <f t="shared" si="55"/>
        <v>15.325065553225157</v>
      </c>
      <c r="N51" s="17">
        <f t="shared" si="56"/>
        <v>4.0211123686629175</v>
      </c>
      <c r="O51" s="246"/>
      <c r="P51" s="17">
        <f t="shared" si="57"/>
        <v>8.0311916856774506</v>
      </c>
      <c r="Q51" s="17">
        <f t="shared" si="7"/>
        <v>19.346177921888074</v>
      </c>
      <c r="R51" s="23">
        <f t="shared" si="58"/>
        <v>4.7217933724222094</v>
      </c>
      <c r="S51" s="23">
        <f t="shared" si="59"/>
        <v>1.238941632332643</v>
      </c>
      <c r="T51" s="23">
        <f t="shared" si="12"/>
        <v>2.4744838801752165</v>
      </c>
      <c r="U51" s="23">
        <f>(Q51/D51)/10</f>
        <v>5.9607350047548522</v>
      </c>
      <c r="V51" s="174"/>
      <c r="Z51" s="196" t="s">
        <v>67</v>
      </c>
      <c r="AA51" s="36" t="s">
        <v>236</v>
      </c>
      <c r="AB51" s="166">
        <f>C51</f>
        <v>0.3291</v>
      </c>
      <c r="AC51" s="229">
        <f>D51</f>
        <v>0.32456027497373585</v>
      </c>
      <c r="AD51" s="31">
        <v>3306</v>
      </c>
      <c r="AE51" s="31">
        <v>3474</v>
      </c>
      <c r="AF51" s="216"/>
      <c r="AG51" s="216"/>
      <c r="AH51" s="45">
        <f t="shared" si="61"/>
        <v>4.4949787562765547E-2</v>
      </c>
      <c r="AI51" s="18">
        <f t="shared" si="62"/>
        <v>5.1865145087006827E-2</v>
      </c>
      <c r="AJ51" s="216"/>
      <c r="AK51" s="216"/>
      <c r="AL51" s="17">
        <f t="shared" si="63"/>
        <v>4.1102031303839004</v>
      </c>
      <c r="AM51" s="17">
        <f t="shared" si="64"/>
        <v>4.3257621627180178</v>
      </c>
      <c r="AN51" s="216"/>
      <c r="AO51" s="216"/>
      <c r="AP51" s="17">
        <f t="shared" si="9"/>
        <v>8.4359652931019191</v>
      </c>
      <c r="AQ51" s="23">
        <f t="shared" si="65"/>
        <v>1.2663913138219109</v>
      </c>
      <c r="AR51" s="23">
        <f t="shared" si="66"/>
        <v>1.3328070303946065</v>
      </c>
      <c r="AS51" s="23">
        <f t="shared" ref="AS51" si="75">(AP51/AC51)/10</f>
        <v>2.5991983442165179</v>
      </c>
      <c r="AT51" s="174"/>
    </row>
    <row r="52" spans="1:46">
      <c r="A52" s="196"/>
      <c r="B52" s="36" t="s">
        <v>237</v>
      </c>
      <c r="C52" s="167"/>
      <c r="D52" s="228"/>
      <c r="E52" s="82">
        <v>31990</v>
      </c>
      <c r="F52" s="82">
        <v>3611</v>
      </c>
      <c r="G52" s="236"/>
      <c r="H52" s="82">
        <v>1533</v>
      </c>
      <c r="I52" s="45">
        <f t="shared" si="52"/>
        <v>0.17084957336985146</v>
      </c>
      <c r="J52" s="18">
        <f t="shared" si="53"/>
        <v>5.2486784490777497E-2</v>
      </c>
      <c r="K52" s="239"/>
      <c r="L52" s="18">
        <f t="shared" si="54"/>
        <v>4.4411834103976852E-2</v>
      </c>
      <c r="M52" s="17">
        <f t="shared" si="55"/>
        <v>15.622464295497831</v>
      </c>
      <c r="N52" s="17">
        <f t="shared" si="56"/>
        <v>4.3776093947497543</v>
      </c>
      <c r="O52" s="246"/>
      <c r="P52" s="17">
        <f t="shared" si="57"/>
        <v>8.2361610673339563</v>
      </c>
      <c r="Q52" s="17">
        <f t="shared" si="7"/>
        <v>20.000073690247586</v>
      </c>
      <c r="R52" s="23">
        <f>(M52/D51)/10</f>
        <v>4.8134246548694346</v>
      </c>
      <c r="S52" s="23">
        <f>(N52/D51)/10</f>
        <v>1.3487816385119837</v>
      </c>
      <c r="T52" s="23">
        <f>(P52/D51)/10</f>
        <v>2.5376368281671082</v>
      </c>
      <c r="U52" s="23">
        <f>(Q52/D51)/10</f>
        <v>6.1622062933814181</v>
      </c>
      <c r="V52" s="174"/>
      <c r="Z52" s="196"/>
      <c r="AA52" s="36" t="s">
        <v>237</v>
      </c>
      <c r="AB52" s="167"/>
      <c r="AC52" s="230"/>
      <c r="AD52" s="31">
        <v>2186</v>
      </c>
      <c r="AE52" s="31">
        <v>2486</v>
      </c>
      <c r="AF52" s="216"/>
      <c r="AG52" s="216"/>
      <c r="AH52" s="45">
        <f t="shared" si="61"/>
        <v>4.0033884616735141E-2</v>
      </c>
      <c r="AI52" s="18">
        <f t="shared" si="62"/>
        <v>4.7382081357624152E-2</v>
      </c>
      <c r="AJ52" s="216"/>
      <c r="AK52" s="216"/>
      <c r="AL52" s="17">
        <f t="shared" si="63"/>
        <v>3.6606935604171031</v>
      </c>
      <c r="AM52" s="17">
        <f t="shared" si="64"/>
        <v>3.9518565769708891</v>
      </c>
      <c r="AN52" s="216"/>
      <c r="AO52" s="216"/>
      <c r="AP52" s="17">
        <f t="shared" si="9"/>
        <v>7.6125501373879922</v>
      </c>
      <c r="AQ52" s="23">
        <f>(AL52/AC51)/10</f>
        <v>1.127893289070369</v>
      </c>
      <c r="AR52" s="23">
        <f>(AM52/AC51)/10</f>
        <v>1.2176032871831535</v>
      </c>
      <c r="AS52" s="23">
        <f t="shared" ref="AS52" si="76">(AP52/AC51)/10</f>
        <v>2.3454965762535225</v>
      </c>
      <c r="AT52" s="174"/>
    </row>
    <row r="53" spans="1:46">
      <c r="A53" s="196" t="s">
        <v>68</v>
      </c>
      <c r="B53" s="36" t="s">
        <v>236</v>
      </c>
      <c r="C53" s="166">
        <v>0.30959999999999999</v>
      </c>
      <c r="D53" s="227">
        <f>C53*('Análisis sólidos'!F27/100)</f>
        <v>0.3030416362308257</v>
      </c>
      <c r="E53" s="82">
        <v>52471</v>
      </c>
      <c r="F53" s="82">
        <v>37586</v>
      </c>
      <c r="G53" s="236"/>
      <c r="H53" s="82">
        <v>1606</v>
      </c>
      <c r="I53" s="45">
        <f t="shared" si="52"/>
        <v>0.26074475929632362</v>
      </c>
      <c r="J53" s="18">
        <f t="shared" si="53"/>
        <v>0.20664881911200855</v>
      </c>
      <c r="K53" s="239"/>
      <c r="L53" s="18">
        <f t="shared" si="54"/>
        <v>4.4714020192653983E-2</v>
      </c>
      <c r="M53" s="17">
        <f t="shared" si="55"/>
        <v>23.842469208435308</v>
      </c>
      <c r="N53" s="17">
        <f t="shared" si="56"/>
        <v>17.235344491671505</v>
      </c>
      <c r="O53" s="246"/>
      <c r="P53" s="17">
        <f t="shared" si="57"/>
        <v>8.2922013851651357</v>
      </c>
      <c r="Q53" s="17">
        <f t="shared" si="7"/>
        <v>41.077813700106816</v>
      </c>
      <c r="R53" s="23">
        <f t="shared" si="58"/>
        <v>7.8677205894818316</v>
      </c>
      <c r="S53" s="23">
        <f t="shared" si="59"/>
        <v>5.6874509740778354</v>
      </c>
      <c r="T53" s="23">
        <f t="shared" si="12"/>
        <v>2.7363241197816781</v>
      </c>
      <c r="U53" s="23">
        <f>(Q53/D53)/10</f>
        <v>13.555171563559668</v>
      </c>
      <c r="V53" s="174">
        <f t="shared" ref="V53" si="77">STDEV(U53:U56)</f>
        <v>5.5397107068368291E-2</v>
      </c>
      <c r="Z53" s="196" t="s">
        <v>68</v>
      </c>
      <c r="AA53" s="36" t="s">
        <v>236</v>
      </c>
      <c r="AB53" s="166">
        <f>C53</f>
        <v>0.30959999999999999</v>
      </c>
      <c r="AC53" s="229">
        <f>D53</f>
        <v>0.3030416362308257</v>
      </c>
      <c r="AD53" s="31">
        <v>2769</v>
      </c>
      <c r="AE53" s="31">
        <v>2043</v>
      </c>
      <c r="AF53" s="216"/>
      <c r="AG53" s="216"/>
      <c r="AH53" s="45">
        <f t="shared" si="61"/>
        <v>4.2592787668106327E-2</v>
      </c>
      <c r="AI53" s="18">
        <f t="shared" si="62"/>
        <v>4.5371962701635772E-2</v>
      </c>
      <c r="AJ53" s="216"/>
      <c r="AK53" s="216"/>
      <c r="AL53" s="17">
        <f t="shared" si="63"/>
        <v>3.8946793454980342</v>
      </c>
      <c r="AM53" s="17">
        <f t="shared" si="64"/>
        <v>3.7842045785033003</v>
      </c>
      <c r="AN53" s="216"/>
      <c r="AO53" s="216"/>
      <c r="AP53" s="17">
        <f t="shared" si="9"/>
        <v>7.6788839240013349</v>
      </c>
      <c r="AQ53" s="23">
        <f t="shared" si="65"/>
        <v>1.2851961182427987</v>
      </c>
      <c r="AR53" s="23">
        <f t="shared" si="66"/>
        <v>1.2487408085471414</v>
      </c>
      <c r="AS53" s="23">
        <f>(AP53/AC53)/10</f>
        <v>2.5339369267899405</v>
      </c>
      <c r="AT53" s="174">
        <f t="shared" ref="AT53" si="78">STDEV(AS53:AS56)</f>
        <v>0.10780635410238523</v>
      </c>
    </row>
    <row r="54" spans="1:46">
      <c r="A54" s="196"/>
      <c r="B54" s="36" t="s">
        <v>237</v>
      </c>
      <c r="C54" s="167"/>
      <c r="D54" s="228"/>
      <c r="E54" s="82">
        <v>52685</v>
      </c>
      <c r="F54" s="82">
        <v>37314</v>
      </c>
      <c r="G54" s="236"/>
      <c r="H54" s="82">
        <v>1558</v>
      </c>
      <c r="I54" s="45">
        <f t="shared" si="52"/>
        <v>0.26168404789494015</v>
      </c>
      <c r="J54" s="18">
        <f t="shared" si="53"/>
        <v>0.20541461533225946</v>
      </c>
      <c r="K54" s="239"/>
      <c r="L54" s="18">
        <f t="shared" si="54"/>
        <v>4.4515322490510115E-2</v>
      </c>
      <c r="M54" s="17">
        <f t="shared" si="55"/>
        <v>23.928357644125391</v>
      </c>
      <c r="N54" s="17">
        <f t="shared" si="56"/>
        <v>17.132406921506302</v>
      </c>
      <c r="O54" s="246"/>
      <c r="P54" s="17">
        <f t="shared" si="57"/>
        <v>8.2553529570021684</v>
      </c>
      <c r="Q54" s="17">
        <f t="shared" si="7"/>
        <v>41.060764565631693</v>
      </c>
      <c r="R54" s="23">
        <f>(M54/D53)/10</f>
        <v>7.8960627132765513</v>
      </c>
      <c r="S54" s="23">
        <f>(N54/D53)/10</f>
        <v>5.6534828463164093</v>
      </c>
      <c r="T54" s="23">
        <f>(P54/D53)/10</f>
        <v>2.7241645932488621</v>
      </c>
      <c r="U54" s="23">
        <f>(Q54/D53)/10</f>
        <v>13.549545559592961</v>
      </c>
      <c r="V54" s="174"/>
      <c r="Z54" s="196"/>
      <c r="AA54" s="36" t="s">
        <v>237</v>
      </c>
      <c r="AB54" s="167"/>
      <c r="AC54" s="230"/>
      <c r="AD54" s="31">
        <v>2694</v>
      </c>
      <c r="AE54" s="31">
        <v>1744</v>
      </c>
      <c r="AF54" s="216"/>
      <c r="AG54" s="216"/>
      <c r="AH54" s="45">
        <f t="shared" si="61"/>
        <v>4.2263597738684648E-2</v>
      </c>
      <c r="AI54" s="18">
        <f t="shared" si="62"/>
        <v>4.4015246046691013E-2</v>
      </c>
      <c r="AJ54" s="216"/>
      <c r="AK54" s="216"/>
      <c r="AL54" s="17">
        <f t="shared" si="63"/>
        <v>3.8645782582234718</v>
      </c>
      <c r="AM54" s="17">
        <f t="shared" si="64"/>
        <v>3.671048940711406</v>
      </c>
      <c r="AN54" s="216"/>
      <c r="AO54" s="216"/>
      <c r="AP54" s="17">
        <f t="shared" si="9"/>
        <v>7.5356271989348773</v>
      </c>
      <c r="AQ54" s="23">
        <f>(AL54/AC53)/10</f>
        <v>1.2752631309315652</v>
      </c>
      <c r="AR54" s="23">
        <f>(AM54/AC53)/10</f>
        <v>1.2114008445741038</v>
      </c>
      <c r="AS54" s="23">
        <f t="shared" ref="AS54" si="79">(AP54/AC53)/10</f>
        <v>2.4866639755056688</v>
      </c>
      <c r="AT54" s="174"/>
    </row>
    <row r="55" spans="1:46">
      <c r="A55" s="196" t="s">
        <v>71</v>
      </c>
      <c r="B55" s="36" t="s">
        <v>236</v>
      </c>
      <c r="C55" s="166">
        <v>0.3095</v>
      </c>
      <c r="D55" s="227">
        <f>C55*('Análisis sólidos'!F28/100)</f>
        <v>0.30263468841705543</v>
      </c>
      <c r="E55" s="82">
        <v>52722</v>
      </c>
      <c r="F55" s="82">
        <v>36225</v>
      </c>
      <c r="G55" s="236"/>
      <c r="H55" s="82">
        <v>1278</v>
      </c>
      <c r="I55" s="45">
        <f t="shared" si="52"/>
        <v>0.26184644826012149</v>
      </c>
      <c r="J55" s="18">
        <f t="shared" si="53"/>
        <v>0.20047326269936702</v>
      </c>
      <c r="K55" s="239"/>
      <c r="L55" s="18">
        <f t="shared" si="54"/>
        <v>4.3356252561337572E-2</v>
      </c>
      <c r="M55" s="17">
        <f t="shared" si="55"/>
        <v>23.943207513847508</v>
      </c>
      <c r="N55" s="17">
        <f t="shared" si="56"/>
        <v>16.720278193896359</v>
      </c>
      <c r="O55" s="246"/>
      <c r="P55" s="17">
        <f t="shared" si="57"/>
        <v>8.0404037927181928</v>
      </c>
      <c r="Q55" s="17">
        <f t="shared" si="7"/>
        <v>40.663485707743867</v>
      </c>
      <c r="R55" s="23">
        <f t="shared" si="58"/>
        <v>7.9115872800581943</v>
      </c>
      <c r="S55" s="23">
        <f t="shared" si="59"/>
        <v>5.5249047230350685</v>
      </c>
      <c r="T55" s="23">
        <f t="shared" si="12"/>
        <v>2.6568017813073221</v>
      </c>
      <c r="U55" s="23">
        <f>(Q55/D55)/10</f>
        <v>13.436492003093264</v>
      </c>
      <c r="V55" s="174"/>
      <c r="Z55" s="196" t="s">
        <v>71</v>
      </c>
      <c r="AA55" s="36" t="s">
        <v>236</v>
      </c>
      <c r="AB55" s="166">
        <f>C55</f>
        <v>0.3095</v>
      </c>
      <c r="AC55" s="229">
        <f>D55</f>
        <v>0.30263468841705543</v>
      </c>
      <c r="AD55" s="31">
        <v>4076</v>
      </c>
      <c r="AE55" s="31">
        <v>1846</v>
      </c>
      <c r="AF55" s="216"/>
      <c r="AG55" s="216"/>
      <c r="AH55" s="45">
        <f t="shared" si="61"/>
        <v>4.8329470838161449E-2</v>
      </c>
      <c r="AI55" s="18">
        <f t="shared" si="62"/>
        <v>4.4478072464096921E-2</v>
      </c>
      <c r="AJ55" s="216"/>
      <c r="AK55" s="216"/>
      <c r="AL55" s="17">
        <f t="shared" si="63"/>
        <v>4.4192409597360722</v>
      </c>
      <c r="AM55" s="17">
        <f t="shared" si="64"/>
        <v>3.7096505295233566</v>
      </c>
      <c r="AN55" s="216"/>
      <c r="AO55" s="216"/>
      <c r="AP55" s="17">
        <f t="shared" si="9"/>
        <v>8.1288914892594288</v>
      </c>
      <c r="AQ55" s="23">
        <f t="shared" si="65"/>
        <v>1.4602559220329678</v>
      </c>
      <c r="AR55" s="23">
        <f t="shared" si="66"/>
        <v>1.2257849716193649</v>
      </c>
      <c r="AS55" s="23">
        <f t="shared" ref="AS55" si="80">(AP55/AC55)/10</f>
        <v>2.6860408936523328</v>
      </c>
      <c r="AT55" s="174"/>
    </row>
    <row r="56" spans="1:46">
      <c r="A56" s="196"/>
      <c r="B56" s="36" t="s">
        <v>237</v>
      </c>
      <c r="C56" s="167"/>
      <c r="D56" s="228"/>
      <c r="E56" s="82">
        <v>52994</v>
      </c>
      <c r="F56" s="82">
        <v>36411</v>
      </c>
      <c r="G56" s="236"/>
      <c r="H56" s="82">
        <v>1425</v>
      </c>
      <c r="I56" s="45">
        <f t="shared" si="52"/>
        <v>0.26304031040415743</v>
      </c>
      <c r="J56" s="18">
        <f t="shared" si="53"/>
        <v>0.20131724028404838</v>
      </c>
      <c r="K56" s="239"/>
      <c r="L56" s="18">
        <f t="shared" si="54"/>
        <v>4.3964764274153155E-2</v>
      </c>
      <c r="M56" s="17">
        <f t="shared" si="55"/>
        <v>24.052374123696584</v>
      </c>
      <c r="N56" s="17">
        <f t="shared" si="56"/>
        <v>16.7906693264358</v>
      </c>
      <c r="O56" s="246"/>
      <c r="P56" s="17">
        <f t="shared" si="57"/>
        <v>8.1532521039672794</v>
      </c>
      <c r="Q56" s="17">
        <f t="shared" si="7"/>
        <v>40.843043450132384</v>
      </c>
      <c r="R56" s="23">
        <f>(M56/D55)/10</f>
        <v>7.9476593544195566</v>
      </c>
      <c r="S56" s="23">
        <f>(N56/D55)/10</f>
        <v>5.5481641626279403</v>
      </c>
      <c r="T56" s="23">
        <f>(P56/D55)/10</f>
        <v>2.6940904053706589</v>
      </c>
      <c r="U56" s="23">
        <f>(Q56/D55)/10</f>
        <v>13.495823517047498</v>
      </c>
      <c r="V56" s="174"/>
      <c r="Z56" s="196"/>
      <c r="AA56" s="36" t="s">
        <v>237</v>
      </c>
      <c r="AB56" s="167"/>
      <c r="AC56" s="230"/>
      <c r="AD56" s="31">
        <v>3173</v>
      </c>
      <c r="AE56" s="31">
        <v>2926</v>
      </c>
      <c r="AF56" s="216"/>
      <c r="AG56" s="216"/>
      <c r="AH56" s="45">
        <f t="shared" si="61"/>
        <v>4.4366024087924436E-2</v>
      </c>
      <c r="AI56" s="18">
        <f t="shared" si="62"/>
        <v>4.9378587471924126E-2</v>
      </c>
      <c r="AJ56" s="216"/>
      <c r="AK56" s="216"/>
      <c r="AL56" s="17">
        <f t="shared" si="63"/>
        <v>4.0568238689503424</v>
      </c>
      <c r="AM56" s="17">
        <f t="shared" si="64"/>
        <v>4.1183732345910675</v>
      </c>
      <c r="AN56" s="216"/>
      <c r="AO56" s="216"/>
      <c r="AP56" s="17">
        <f t="shared" si="9"/>
        <v>8.1751971035414108</v>
      </c>
      <c r="AQ56" s="23">
        <f>(AL56/AC55)/10</f>
        <v>1.3405019398700608</v>
      </c>
      <c r="AR56" s="23">
        <f>(AM56/AC55)/10</f>
        <v>1.3608397821586173</v>
      </c>
      <c r="AS56" s="23">
        <f t="shared" ref="AS56" si="81">(AP56/AC55)/10</f>
        <v>2.7013417220286788</v>
      </c>
      <c r="AT56" s="174"/>
    </row>
    <row r="57" spans="1:46">
      <c r="A57" s="196" t="s">
        <v>72</v>
      </c>
      <c r="B57" s="36" t="s">
        <v>236</v>
      </c>
      <c r="C57" s="166">
        <v>0.30199999999999999</v>
      </c>
      <c r="D57" s="227">
        <f>C57*('Análisis sólidos'!F29/100)</f>
        <v>0.29521374338522832</v>
      </c>
      <c r="E57" s="82">
        <v>60746</v>
      </c>
      <c r="F57" s="82">
        <v>43662</v>
      </c>
      <c r="G57" s="236"/>
      <c r="H57" s="82">
        <v>1357</v>
      </c>
      <c r="I57" s="45">
        <f t="shared" si="52"/>
        <v>0.29706538150918221</v>
      </c>
      <c r="J57" s="18">
        <f t="shared" si="53"/>
        <v>0.23421875354493274</v>
      </c>
      <c r="K57" s="239"/>
      <c r="L57" s="18">
        <f t="shared" si="54"/>
        <v>4.3683275862782679E-2</v>
      </c>
      <c r="M57" s="17">
        <f t="shared" si="55"/>
        <v>27.163622504395345</v>
      </c>
      <c r="N57" s="17">
        <f t="shared" si="56"/>
        <v>19.534788154626515</v>
      </c>
      <c r="O57" s="246"/>
      <c r="P57" s="17">
        <f t="shared" si="57"/>
        <v>8.1010501640697417</v>
      </c>
      <c r="Q57" s="17">
        <f t="shared" si="7"/>
        <v>46.69841065902186</v>
      </c>
      <c r="R57" s="23">
        <f t="shared" si="58"/>
        <v>9.2013407617507745</v>
      </c>
      <c r="S57" s="23">
        <f t="shared" si="59"/>
        <v>6.617167592070845</v>
      </c>
      <c r="T57" s="23">
        <f t="shared" si="12"/>
        <v>2.7441304294219711</v>
      </c>
      <c r="U57" s="23">
        <f>(Q57/D57)/10</f>
        <v>15.818508353821619</v>
      </c>
      <c r="V57" s="174">
        <f t="shared" ref="V57" si="82">STDEV(U57:U60)</f>
        <v>0.73183608259809552</v>
      </c>
      <c r="Z57" s="196" t="s">
        <v>72</v>
      </c>
      <c r="AA57" s="36" t="s">
        <v>236</v>
      </c>
      <c r="AB57" s="166">
        <f>C57</f>
        <v>0.30199999999999999</v>
      </c>
      <c r="AC57" s="229">
        <f>D57</f>
        <v>0.29521374338522832</v>
      </c>
      <c r="AD57" s="31">
        <v>2160</v>
      </c>
      <c r="AE57" s="31">
        <v>3555</v>
      </c>
      <c r="AF57" s="216"/>
      <c r="AG57" s="216"/>
      <c r="AH57" s="45">
        <f t="shared" si="61"/>
        <v>3.9919765441202293E-2</v>
      </c>
      <c r="AI57" s="18">
        <f t="shared" si="62"/>
        <v>5.2232683712593868E-2</v>
      </c>
      <c r="AJ57" s="216"/>
      <c r="AK57" s="216"/>
      <c r="AL57" s="17">
        <f t="shared" si="63"/>
        <v>3.6502585168285884</v>
      </c>
      <c r="AM57" s="17">
        <f t="shared" si="64"/>
        <v>4.3564163655980961</v>
      </c>
      <c r="AN57" s="216"/>
      <c r="AO57" s="216"/>
      <c r="AP57" s="17">
        <f t="shared" si="9"/>
        <v>8.0066748824266849</v>
      </c>
      <c r="AQ57" s="23">
        <f t="shared" si="65"/>
        <v>1.2364798721668313</v>
      </c>
      <c r="AR57" s="23">
        <f t="shared" si="66"/>
        <v>1.4756820992284736</v>
      </c>
      <c r="AS57" s="23">
        <f t="shared" ref="AS57" si="83">(AP57/AC57)/10</f>
        <v>2.7121619713953047</v>
      </c>
      <c r="AT57" s="174">
        <f t="shared" ref="AT57" si="84">STDEV(AS57:AS60)</f>
        <v>0.10276781242671851</v>
      </c>
    </row>
    <row r="58" spans="1:46">
      <c r="A58" s="196"/>
      <c r="B58" s="36" t="s">
        <v>237</v>
      </c>
      <c r="C58" s="167"/>
      <c r="D58" s="228"/>
      <c r="E58" s="82">
        <v>60925</v>
      </c>
      <c r="F58" s="82">
        <v>43621</v>
      </c>
      <c r="G58" s="236"/>
      <c r="H58" s="82">
        <v>1343</v>
      </c>
      <c r="I58" s="45">
        <f t="shared" si="52"/>
        <v>0.29785104814073526</v>
      </c>
      <c r="J58" s="18">
        <f t="shared" si="53"/>
        <v>0.23403271547519117</v>
      </c>
      <c r="K58" s="239"/>
      <c r="L58" s="18">
        <f t="shared" si="54"/>
        <v>4.3625322366324056E-2</v>
      </c>
      <c r="M58" s="17">
        <f t="shared" si="55"/>
        <v>27.235463766023965</v>
      </c>
      <c r="N58" s="17">
        <f t="shared" si="56"/>
        <v>19.519271829711908</v>
      </c>
      <c r="O58" s="246"/>
      <c r="P58" s="17">
        <f t="shared" si="57"/>
        <v>8.0903027058555441</v>
      </c>
      <c r="Q58" s="17">
        <f t="shared" si="7"/>
        <v>46.754735595735873</v>
      </c>
      <c r="R58" s="23">
        <f>(M58/D57)/10</f>
        <v>9.2256760995317375</v>
      </c>
      <c r="S58" s="23">
        <f>(N58/D57)/10</f>
        <v>6.6119116291415168</v>
      </c>
      <c r="T58" s="23">
        <f>(P58/D57)/10</f>
        <v>2.7404898610355009</v>
      </c>
      <c r="U58" s="23">
        <f>(Q58/D57)/10</f>
        <v>15.837587728673256</v>
      </c>
      <c r="V58" s="174"/>
      <c r="Z58" s="196"/>
      <c r="AA58" s="36" t="s">
        <v>237</v>
      </c>
      <c r="AB58" s="167"/>
      <c r="AC58" s="230"/>
      <c r="AD58" s="31">
        <v>2508</v>
      </c>
      <c r="AE58" s="31">
        <v>3082</v>
      </c>
      <c r="AF58" s="216"/>
      <c r="AG58" s="216"/>
      <c r="AH58" s="45">
        <f t="shared" si="61"/>
        <v>4.1447206713718883E-2</v>
      </c>
      <c r="AI58" s="18">
        <f t="shared" si="62"/>
        <v>5.008643963972139E-2</v>
      </c>
      <c r="AJ58" s="216"/>
      <c r="AK58" s="216"/>
      <c r="AL58" s="17">
        <f t="shared" si="63"/>
        <v>3.789927561782557</v>
      </c>
      <c r="AM58" s="17">
        <f t="shared" si="64"/>
        <v>4.1774109586564032</v>
      </c>
      <c r="AN58" s="216"/>
      <c r="AO58" s="216"/>
      <c r="AP58" s="17">
        <f t="shared" si="9"/>
        <v>7.9673385204389602</v>
      </c>
      <c r="AQ58" s="23">
        <f>(AL58/AC57)/10</f>
        <v>1.2837910316516092</v>
      </c>
      <c r="AR58" s="23">
        <f>(AM58/AC57)/10</f>
        <v>1.4150462342145245</v>
      </c>
      <c r="AS58" s="23">
        <f t="shared" ref="AS58" si="85">(AP58/AC57)/10</f>
        <v>2.6988372658661337</v>
      </c>
      <c r="AT58" s="174"/>
    </row>
    <row r="59" spans="1:46">
      <c r="A59" s="196" t="s">
        <v>73</v>
      </c>
      <c r="B59" s="36" t="s">
        <v>236</v>
      </c>
      <c r="C59" s="166">
        <v>0.31730000000000003</v>
      </c>
      <c r="D59" s="227">
        <f>C59*('Análisis sólidos'!F30/100)</f>
        <v>0.30896296919492677</v>
      </c>
      <c r="E59" s="82">
        <v>61983</v>
      </c>
      <c r="F59" s="82">
        <v>38454</v>
      </c>
      <c r="G59" s="236"/>
      <c r="H59" s="82">
        <v>1198</v>
      </c>
      <c r="I59" s="45">
        <f t="shared" si="52"/>
        <v>0.30249482074511042</v>
      </c>
      <c r="J59" s="18">
        <f t="shared" si="53"/>
        <v>0.21058738117385487</v>
      </c>
      <c r="K59" s="239"/>
      <c r="L59" s="18">
        <f t="shared" si="54"/>
        <v>4.3025089724431129E-2</v>
      </c>
      <c r="M59" s="17">
        <f t="shared" si="55"/>
        <v>27.660089770510456</v>
      </c>
      <c r="N59" s="17">
        <f t="shared" si="56"/>
        <v>17.563836443522224</v>
      </c>
      <c r="O59" s="246"/>
      <c r="P59" s="17">
        <f t="shared" si="57"/>
        <v>7.9789897457799119</v>
      </c>
      <c r="Q59" s="17">
        <f t="shared" si="7"/>
        <v>45.22392621403268</v>
      </c>
      <c r="R59" s="23">
        <f t="shared" si="58"/>
        <v>8.9525582443051697</v>
      </c>
      <c r="S59" s="23">
        <f t="shared" si="59"/>
        <v>5.6847707313561848</v>
      </c>
      <c r="T59" s="23">
        <f t="shared" si="12"/>
        <v>2.5825068183967104</v>
      </c>
      <c r="U59" s="23">
        <f>(Q59/D59)/10</f>
        <v>14.637328975661353</v>
      </c>
      <c r="V59" s="174"/>
      <c r="Z59" s="196" t="s">
        <v>73</v>
      </c>
      <c r="AA59" s="36" t="s">
        <v>236</v>
      </c>
      <c r="AB59" s="166">
        <f>C59</f>
        <v>0.31730000000000003</v>
      </c>
      <c r="AC59" s="229">
        <f>D59</f>
        <v>0.30896296919492677</v>
      </c>
      <c r="AD59" s="31">
        <v>4861</v>
      </c>
      <c r="AE59" s="31">
        <v>3127</v>
      </c>
      <c r="AF59" s="216"/>
      <c r="AG59" s="216"/>
      <c r="AH59" s="45">
        <f t="shared" si="61"/>
        <v>5.1774992099441697E-2</v>
      </c>
      <c r="AI59" s="18">
        <f t="shared" si="62"/>
        <v>5.029062776504753E-2</v>
      </c>
      <c r="AJ59" s="216"/>
      <c r="AK59" s="216"/>
      <c r="AL59" s="17">
        <f t="shared" si="63"/>
        <v>4.7342990065431581</v>
      </c>
      <c r="AM59" s="17">
        <f t="shared" si="64"/>
        <v>4.1944410713675584</v>
      </c>
      <c r="AN59" s="216"/>
      <c r="AO59" s="216"/>
      <c r="AP59" s="17">
        <f t="shared" si="9"/>
        <v>8.9287400779107173</v>
      </c>
      <c r="AQ59" s="23">
        <f t="shared" si="65"/>
        <v>1.5323192351754806</v>
      </c>
      <c r="AR59" s="23">
        <f t="shared" si="66"/>
        <v>1.3575869892424739</v>
      </c>
      <c r="AS59" s="23">
        <f t="shared" ref="AS59" si="86">(AP59/AC59)/10</f>
        <v>2.8899062244179552</v>
      </c>
      <c r="AT59" s="174"/>
    </row>
    <row r="60" spans="1:46">
      <c r="A60" s="196"/>
      <c r="B60" s="36" t="s">
        <v>237</v>
      </c>
      <c r="C60" s="167"/>
      <c r="D60" s="228"/>
      <c r="E60" s="82">
        <v>61244</v>
      </c>
      <c r="F60" s="82">
        <v>38052</v>
      </c>
      <c r="G60" s="236"/>
      <c r="H60" s="82">
        <v>1245</v>
      </c>
      <c r="I60" s="45">
        <f t="shared" si="52"/>
        <v>0.29925120264054217</v>
      </c>
      <c r="J60" s="18">
        <f t="shared" si="53"/>
        <v>0.20876330058760806</v>
      </c>
      <c r="K60" s="239"/>
      <c r="L60" s="18">
        <f t="shared" si="54"/>
        <v>4.3219647891113662E-2</v>
      </c>
      <c r="M60" s="17">
        <f t="shared" si="55"/>
        <v>27.363493723898436</v>
      </c>
      <c r="N60" s="17">
        <f t="shared" si="56"/>
        <v>17.41170076996924</v>
      </c>
      <c r="O60" s="246"/>
      <c r="P60" s="17">
        <f t="shared" si="57"/>
        <v>8.0150704983561507</v>
      </c>
      <c r="Q60" s="17">
        <f t="shared" si="7"/>
        <v>44.775194493867673</v>
      </c>
      <c r="R60" s="23">
        <f>(M60/D59)/10</f>
        <v>8.8565609643124024</v>
      </c>
      <c r="S60" s="23">
        <f>(N60/D59)/10</f>
        <v>5.6355299844960012</v>
      </c>
      <c r="T60" s="23">
        <f>(P60/D59)/10</f>
        <v>2.5941848368564164</v>
      </c>
      <c r="U60" s="23">
        <f>(Q60/D59)/10</f>
        <v>14.492090948808402</v>
      </c>
      <c r="V60" s="174"/>
      <c r="Z60" s="196"/>
      <c r="AA60" s="36" t="s">
        <v>237</v>
      </c>
      <c r="AB60" s="167"/>
      <c r="AC60" s="230"/>
      <c r="AD60" s="31">
        <v>5041</v>
      </c>
      <c r="AE60" s="31">
        <v>2823</v>
      </c>
      <c r="AF60" s="216"/>
      <c r="AG60" s="216"/>
      <c r="AH60" s="45">
        <f t="shared" si="61"/>
        <v>5.2565047930053725E-2</v>
      </c>
      <c r="AI60" s="18">
        <f t="shared" si="62"/>
        <v>4.8911223540622092E-2</v>
      </c>
      <c r="AJ60" s="216"/>
      <c r="AK60" s="216"/>
      <c r="AL60" s="17">
        <f t="shared" si="63"/>
        <v>4.8065416160021073</v>
      </c>
      <c r="AM60" s="17">
        <f t="shared" si="64"/>
        <v>4.0793931988299805</v>
      </c>
      <c r="AN60" s="216"/>
      <c r="AO60" s="216"/>
      <c r="AP60" s="17">
        <f t="shared" si="9"/>
        <v>8.8859348148320869</v>
      </c>
      <c r="AQ60" s="23">
        <f>(AL60/AC59)/10</f>
        <v>1.5557015225891451</v>
      </c>
      <c r="AR60" s="23">
        <f>(AM60/AC59)/10</f>
        <v>1.3203502055472105</v>
      </c>
      <c r="AS60" s="23">
        <f t="shared" ref="AS60" si="87">(AP60/AC59)/10</f>
        <v>2.8760517281363556</v>
      </c>
      <c r="AT60" s="174"/>
    </row>
    <row r="61" spans="1:46">
      <c r="A61" s="196" t="s">
        <v>74</v>
      </c>
      <c r="B61" s="36" t="s">
        <v>236</v>
      </c>
      <c r="C61" s="166">
        <v>0.31669999999999998</v>
      </c>
      <c r="D61" s="227">
        <f>C61*('Análisis sólidos'!F31/100)</f>
        <v>0.30703629744764344</v>
      </c>
      <c r="E61" s="82">
        <v>35443</v>
      </c>
      <c r="F61" s="82">
        <v>3008</v>
      </c>
      <c r="G61" s="236"/>
      <c r="H61" s="82">
        <v>2150</v>
      </c>
      <c r="I61" s="45">
        <f t="shared" si="52"/>
        <v>0.18600547772042558</v>
      </c>
      <c r="J61" s="18">
        <f t="shared" si="53"/>
        <v>4.9750663611407307E-2</v>
      </c>
      <c r="K61" s="239"/>
      <c r="L61" s="18">
        <f t="shared" si="54"/>
        <v>4.6965927483617789E-2</v>
      </c>
      <c r="M61" s="17">
        <f t="shared" si="55"/>
        <v>17.00831835361868</v>
      </c>
      <c r="N61" s="17">
        <f t="shared" si="56"/>
        <v>4.1494058844202826</v>
      </c>
      <c r="O61" s="246"/>
      <c r="P61" s="17">
        <f t="shared" si="57"/>
        <v>8.7098169043454341</v>
      </c>
      <c r="Q61" s="17">
        <f t="shared" si="7"/>
        <v>21.157724238038963</v>
      </c>
      <c r="R61" s="23">
        <f t="shared" si="58"/>
        <v>5.5395138929849095</v>
      </c>
      <c r="S61" s="23">
        <f t="shared" si="59"/>
        <v>1.3514382237259259</v>
      </c>
      <c r="T61" s="23">
        <f t="shared" si="12"/>
        <v>2.8367385148756403</v>
      </c>
      <c r="U61" s="23">
        <f>(Q61/D61)/10</f>
        <v>6.8909521167108352</v>
      </c>
      <c r="V61" s="174">
        <f t="shared" ref="V61" si="88">STDEV(U61:U64)</f>
        <v>0.33672133656281206</v>
      </c>
      <c r="Z61" s="196" t="s">
        <v>74</v>
      </c>
      <c r="AA61" s="36" t="s">
        <v>236</v>
      </c>
      <c r="AB61" s="166">
        <f>C61</f>
        <v>0.31669999999999998</v>
      </c>
      <c r="AC61" s="229">
        <f>D61</f>
        <v>0.30703629744764344</v>
      </c>
      <c r="AD61" s="31">
        <v>4610</v>
      </c>
      <c r="AE61" s="31">
        <v>3830</v>
      </c>
      <c r="AF61" s="216"/>
      <c r="AG61" s="216"/>
      <c r="AH61" s="45">
        <f t="shared" si="61"/>
        <v>5.0673303135643805E-2</v>
      </c>
      <c r="AI61" s="18">
        <f t="shared" si="62"/>
        <v>5.3480500034031354E-2</v>
      </c>
      <c r="AJ61" s="216"/>
      <c r="AK61" s="216"/>
      <c r="AL61" s="17">
        <f t="shared" si="63"/>
        <v>4.6335607011309552</v>
      </c>
      <c r="AM61" s="17">
        <f t="shared" si="64"/>
        <v>4.4604892766107076</v>
      </c>
      <c r="AN61" s="216"/>
      <c r="AO61" s="216"/>
      <c r="AP61" s="17">
        <f t="shared" si="9"/>
        <v>9.0940499777416619</v>
      </c>
      <c r="AQ61" s="23">
        <f t="shared" si="65"/>
        <v>1.5091247320428234</v>
      </c>
      <c r="AR61" s="23">
        <f t="shared" si="66"/>
        <v>1.4527563397846539</v>
      </c>
      <c r="AS61" s="23">
        <f t="shared" ref="AS61" si="89">(AP61/AC61)/10</f>
        <v>2.9618810718274768</v>
      </c>
      <c r="AT61" s="174">
        <f t="shared" ref="AT61" si="90">STDEV(AS61:AS64)</f>
        <v>0.15622924527547202</v>
      </c>
    </row>
    <row r="62" spans="1:46">
      <c r="A62" s="196"/>
      <c r="B62" s="36" t="s">
        <v>237</v>
      </c>
      <c r="C62" s="167"/>
      <c r="D62" s="228"/>
      <c r="E62" s="82">
        <v>34402</v>
      </c>
      <c r="F62" s="82">
        <v>1997</v>
      </c>
      <c r="G62" s="236"/>
      <c r="H62" s="82">
        <v>1958</v>
      </c>
      <c r="I62" s="45">
        <f t="shared" si="52"/>
        <v>0.18143632150005268</v>
      </c>
      <c r="J62" s="18">
        <f t="shared" si="53"/>
        <v>4.51632370624135E-2</v>
      </c>
      <c r="K62" s="239"/>
      <c r="L62" s="18">
        <f t="shared" si="54"/>
        <v>4.6171136675042329E-2</v>
      </c>
      <c r="M62" s="17">
        <f t="shared" si="55"/>
        <v>16.590515262247756</v>
      </c>
      <c r="N62" s="17">
        <f t="shared" si="56"/>
        <v>3.7667960188430087</v>
      </c>
      <c r="O62" s="246"/>
      <c r="P62" s="17">
        <f t="shared" si="57"/>
        <v>8.5624231916935649</v>
      </c>
      <c r="Q62" s="17">
        <f t="shared" si="7"/>
        <v>20.357311281090766</v>
      </c>
      <c r="R62" s="23">
        <f>(M62/D61)/10</f>
        <v>5.4034377694633351</v>
      </c>
      <c r="S62" s="23">
        <f>(N62/D61)/10</f>
        <v>1.2268243364566145</v>
      </c>
      <c r="T62" s="23">
        <f>(P62/D61)/10</f>
        <v>2.7887332093540667</v>
      </c>
      <c r="U62" s="23">
        <f>(Q62/D61)/10</f>
        <v>6.6302621059199494</v>
      </c>
      <c r="V62" s="174"/>
      <c r="Z62" s="196"/>
      <c r="AA62" s="36" t="s">
        <v>237</v>
      </c>
      <c r="AB62" s="167"/>
      <c r="AC62" s="230"/>
      <c r="AD62" s="31">
        <v>4189</v>
      </c>
      <c r="AE62" s="31">
        <v>2844</v>
      </c>
      <c r="AF62" s="216"/>
      <c r="AG62" s="216"/>
      <c r="AH62" s="45">
        <f t="shared" si="61"/>
        <v>4.882545033182345E-2</v>
      </c>
      <c r="AI62" s="18">
        <f t="shared" si="62"/>
        <v>4.9006511332440952E-2</v>
      </c>
      <c r="AJ62" s="216"/>
      <c r="AK62" s="216"/>
      <c r="AL62" s="17">
        <f t="shared" si="63"/>
        <v>4.4645932645630797</v>
      </c>
      <c r="AM62" s="17">
        <f t="shared" si="64"/>
        <v>4.0873405847618525</v>
      </c>
      <c r="AN62" s="216"/>
      <c r="AO62" s="216"/>
      <c r="AP62" s="17">
        <f t="shared" si="9"/>
        <v>8.5519338493249322</v>
      </c>
      <c r="AQ62" s="23">
        <f>(AL62/AC61)/10</f>
        <v>1.4540929856426481</v>
      </c>
      <c r="AR62" s="23">
        <f>(AM62/AC61)/10</f>
        <v>1.3312239037336737</v>
      </c>
      <c r="AS62" s="23">
        <f t="shared" ref="AS62" si="91">(AP62/AC61)/10</f>
        <v>2.7853168893763214</v>
      </c>
      <c r="AT62" s="174"/>
    </row>
    <row r="63" spans="1:46">
      <c r="A63" s="196" t="s">
        <v>75</v>
      </c>
      <c r="B63" s="36" t="s">
        <v>236</v>
      </c>
      <c r="C63" s="166">
        <v>0.30109999999999998</v>
      </c>
      <c r="D63" s="227">
        <f>C63*('Análisis sólidos'!F32/100)</f>
        <v>0.29630077524187537</v>
      </c>
      <c r="E63" s="82">
        <v>27733</v>
      </c>
      <c r="F63" s="82">
        <v>3223</v>
      </c>
      <c r="G63" s="236"/>
      <c r="H63" s="82">
        <v>2424</v>
      </c>
      <c r="I63" s="45">
        <f t="shared" si="52"/>
        <v>0.15216475297587695</v>
      </c>
      <c r="J63" s="18">
        <f t="shared" si="53"/>
        <v>5.0726229099076613E-2</v>
      </c>
      <c r="K63" s="239"/>
      <c r="L63" s="18">
        <f t="shared" si="54"/>
        <v>4.8100160200022356E-2</v>
      </c>
      <c r="M63" s="17">
        <f t="shared" si="55"/>
        <v>13.913926581793676</v>
      </c>
      <c r="N63" s="17">
        <f t="shared" si="56"/>
        <v>4.2307719784846887</v>
      </c>
      <c r="O63" s="246"/>
      <c r="P63" s="17">
        <f t="shared" si="57"/>
        <v>8.9201600151090403</v>
      </c>
      <c r="Q63" s="17">
        <f t="shared" si="7"/>
        <v>18.144698560278364</v>
      </c>
      <c r="R63" s="23">
        <f t="shared" si="58"/>
        <v>4.6958792363723996</v>
      </c>
      <c r="S63" s="23">
        <f t="shared" si="59"/>
        <v>1.4278639585168271</v>
      </c>
      <c r="T63" s="23">
        <f t="shared" si="12"/>
        <v>3.0105084969242357</v>
      </c>
      <c r="U63" s="23">
        <f>(Q63/D63)/10</f>
        <v>6.1237431948892267</v>
      </c>
      <c r="V63" s="174"/>
      <c r="Z63" s="196" t="s">
        <v>75</v>
      </c>
      <c r="AA63" s="36" t="s">
        <v>236</v>
      </c>
      <c r="AB63" s="166">
        <f>C63</f>
        <v>0.30109999999999998</v>
      </c>
      <c r="AC63" s="229">
        <f>D63</f>
        <v>0.29630077524187537</v>
      </c>
      <c r="AD63" s="31">
        <v>3994</v>
      </c>
      <c r="AE63" s="31">
        <v>2887</v>
      </c>
      <c r="AF63" s="216"/>
      <c r="AG63" s="216"/>
      <c r="AH63" s="45">
        <f t="shared" si="61"/>
        <v>4.7969556515327083E-2</v>
      </c>
      <c r="AI63" s="18">
        <f t="shared" si="62"/>
        <v>4.9201624429974812E-2</v>
      </c>
      <c r="AJ63" s="216"/>
      <c r="AK63" s="216"/>
      <c r="AL63" s="17">
        <f t="shared" si="63"/>
        <v>4.3863304376492174</v>
      </c>
      <c r="AM63" s="17">
        <f t="shared" si="64"/>
        <v>4.103613803574734</v>
      </c>
      <c r="AN63" s="216"/>
      <c r="AO63" s="216"/>
      <c r="AP63" s="17">
        <f t="shared" si="9"/>
        <v>8.4899442412239523</v>
      </c>
      <c r="AQ63" s="23">
        <f t="shared" si="65"/>
        <v>1.4803641448688689</v>
      </c>
      <c r="AR63" s="23">
        <f t="shared" si="66"/>
        <v>1.3849487232103541</v>
      </c>
      <c r="AS63" s="23">
        <f t="shared" ref="AS63" si="92">(AP63/AC63)/10</f>
        <v>2.865312868079223</v>
      </c>
      <c r="AT63" s="174"/>
    </row>
    <row r="64" spans="1:46">
      <c r="A64" s="196"/>
      <c r="B64" s="36" t="s">
        <v>237</v>
      </c>
      <c r="C64" s="167"/>
      <c r="D64" s="228"/>
      <c r="E64" s="82">
        <v>29012</v>
      </c>
      <c r="F64" s="82">
        <v>3481</v>
      </c>
      <c r="G64" s="236"/>
      <c r="H64" s="82">
        <v>2141</v>
      </c>
      <c r="I64" s="45">
        <f t="shared" si="52"/>
        <v>0.15777853857228133</v>
      </c>
      <c r="J64" s="18">
        <f t="shared" si="53"/>
        <v>5.1896907684279778E-2</v>
      </c>
      <c r="K64" s="239"/>
      <c r="L64" s="18">
        <f t="shared" si="54"/>
        <v>4.6928671664465814E-2</v>
      </c>
      <c r="M64" s="17">
        <f t="shared" si="55"/>
        <v>14.427250456782545</v>
      </c>
      <c r="N64" s="17">
        <f t="shared" si="56"/>
        <v>4.3284112913619754</v>
      </c>
      <c r="O64" s="246"/>
      <c r="P64" s="17">
        <f t="shared" si="57"/>
        <v>8.7029078240648783</v>
      </c>
      <c r="Q64" s="17">
        <f t="shared" si="7"/>
        <v>18.755661748144519</v>
      </c>
      <c r="R64" s="23">
        <f>(M64/D63)/10</f>
        <v>4.8691234253455242</v>
      </c>
      <c r="S64" s="23">
        <f>(N64/D63)/10</f>
        <v>1.4608167284842977</v>
      </c>
      <c r="T64" s="23">
        <f>(P64/D63)/10</f>
        <v>2.9371869908070765</v>
      </c>
      <c r="U64" s="23">
        <f>(Q64/D63)/10</f>
        <v>6.3299401538298214</v>
      </c>
      <c r="V64" s="174"/>
      <c r="Z64" s="196"/>
      <c r="AA64" s="36" t="s">
        <v>237</v>
      </c>
      <c r="AB64" s="167"/>
      <c r="AC64" s="230"/>
      <c r="AD64" s="31">
        <v>4883</v>
      </c>
      <c r="AE64" s="31">
        <v>4157</v>
      </c>
      <c r="AF64" s="216"/>
      <c r="AG64" s="216"/>
      <c r="AH64" s="45">
        <f t="shared" si="61"/>
        <v>5.1871554478738723E-2</v>
      </c>
      <c r="AI64" s="18">
        <f t="shared" si="62"/>
        <v>5.4964267078067924E-2</v>
      </c>
      <c r="AJ64" s="216"/>
      <c r="AK64" s="216"/>
      <c r="AL64" s="17">
        <f t="shared" si="63"/>
        <v>4.7431286588103632</v>
      </c>
      <c r="AM64" s="17">
        <f t="shared" si="64"/>
        <v>4.584241428978431</v>
      </c>
      <c r="AN64" s="216"/>
      <c r="AO64" s="216"/>
      <c r="AP64" s="17">
        <f t="shared" si="9"/>
        <v>9.3273700877887933</v>
      </c>
      <c r="AQ64" s="23">
        <f>(AL64/AC63)/10</f>
        <v>1.6007817242254823</v>
      </c>
      <c r="AR64" s="23">
        <f>(AM64/AC63)/10</f>
        <v>1.5471580947556538</v>
      </c>
      <c r="AS64" s="23">
        <f t="shared" ref="AS64" si="93">(AP64/AC63)/10</f>
        <v>3.1479398189811354</v>
      </c>
      <c r="AT64" s="174"/>
    </row>
    <row r="65" spans="1:46">
      <c r="A65" s="242" t="s">
        <v>92</v>
      </c>
      <c r="B65" s="36" t="s">
        <v>236</v>
      </c>
      <c r="C65" s="166">
        <v>0.30320000000000003</v>
      </c>
      <c r="D65" s="227">
        <f>C65*('Análisis sólidos'!F33/100)</f>
        <v>0.29650878680527326</v>
      </c>
      <c r="E65" s="82">
        <v>30704</v>
      </c>
      <c r="F65" s="248"/>
      <c r="G65" s="236"/>
      <c r="H65" s="248"/>
      <c r="I65" s="45">
        <f t="shared" ref="I65:I66" si="94">(E65-$D$73)/$C$73</f>
        <v>0.16520506338003441</v>
      </c>
      <c r="J65" s="215"/>
      <c r="K65" s="239"/>
      <c r="L65" s="215"/>
      <c r="M65" s="17">
        <f t="shared" si="55"/>
        <v>15.106330985696669</v>
      </c>
      <c r="N65" s="215"/>
      <c r="O65" s="246"/>
      <c r="P65" s="215"/>
      <c r="Q65" s="17">
        <f t="shared" si="7"/>
        <v>15.106330985696669</v>
      </c>
      <c r="R65" s="23">
        <f t="shared" ref="R65" si="95">(M65/D65)/10</f>
        <v>5.0947329920504094</v>
      </c>
      <c r="S65" s="23">
        <f t="shared" ref="S65" si="96">(N65/D65)/10</f>
        <v>0</v>
      </c>
      <c r="T65" s="23">
        <f t="shared" si="12"/>
        <v>0</v>
      </c>
      <c r="U65" s="23">
        <f>(Q65/D65)/10</f>
        <v>5.0947329920504094</v>
      </c>
      <c r="V65" s="174">
        <f>STDEV(U65:U66)</f>
        <v>0.22990126287432894</v>
      </c>
      <c r="Z65" s="196" t="s">
        <v>92</v>
      </c>
      <c r="AA65" s="36" t="s">
        <v>236</v>
      </c>
      <c r="AB65" s="166">
        <f>C65</f>
        <v>0.30320000000000003</v>
      </c>
      <c r="AC65" s="229">
        <f>D65</f>
        <v>0.29650878680527326</v>
      </c>
      <c r="AD65" s="31">
        <v>3221</v>
      </c>
      <c r="AE65" s="31">
        <v>1267</v>
      </c>
      <c r="AF65" s="216"/>
      <c r="AG65" s="216"/>
      <c r="AH65" s="45">
        <f t="shared" ref="AH65:AH68" si="97">(AD65-$D$73)/$C$73</f>
        <v>4.4576705642754309E-2</v>
      </c>
      <c r="AI65" s="18">
        <f t="shared" ref="AI65:AI68" si="98">(AE65-$J$73)/$I$73</f>
        <v>4.1850851918233997E-2</v>
      </c>
      <c r="AJ65" s="216"/>
      <c r="AK65" s="216"/>
      <c r="AL65" s="17">
        <f t="shared" ref="AL65:AL68" si="99">(AH65*$X$6)/$X$15</f>
        <v>4.0760885648060627</v>
      </c>
      <c r="AM65" s="17">
        <f t="shared" ref="AM65:AM68" si="100">(AI65*$X$6)/$X$12</f>
        <v>3.4905297459731672</v>
      </c>
      <c r="AN65" s="216"/>
      <c r="AO65" s="216"/>
      <c r="AP65" s="17">
        <f t="shared" ref="AP65:AP68" si="101">SUM(AL65:AO65)</f>
        <v>7.56661831077923</v>
      </c>
      <c r="AQ65" s="23">
        <f t="shared" ref="AQ65:AQ67" si="102">(AL65/AC65)/10</f>
        <v>1.3746940212881311</v>
      </c>
      <c r="AR65" s="23">
        <f t="shared" ref="AR65:AR67" si="103">(AM65/AC65)/10</f>
        <v>1.1772095470025679</v>
      </c>
      <c r="AS65" s="23">
        <f>(AP65/AC65)/10</f>
        <v>2.5519035682906992</v>
      </c>
      <c r="AT65" s="197">
        <f>STDEV(AS65:AS66)</f>
        <v>3.5920024481205411E-2</v>
      </c>
    </row>
    <row r="66" spans="1:46">
      <c r="A66" s="243"/>
      <c r="B66" s="36" t="s">
        <v>237</v>
      </c>
      <c r="C66" s="167"/>
      <c r="D66" s="228"/>
      <c r="E66" s="82">
        <v>33106</v>
      </c>
      <c r="F66" s="250"/>
      <c r="G66" s="236"/>
      <c r="H66" s="250"/>
      <c r="I66" s="45">
        <f t="shared" si="94"/>
        <v>0.17574791951964605</v>
      </c>
      <c r="J66" s="217"/>
      <c r="K66" s="239"/>
      <c r="L66" s="217"/>
      <c r="M66" s="17">
        <f t="shared" si="55"/>
        <v>16.070368474143319</v>
      </c>
      <c r="N66" s="217"/>
      <c r="O66" s="246"/>
      <c r="P66" s="217"/>
      <c r="Q66" s="17">
        <f t="shared" si="7"/>
        <v>16.070368474143319</v>
      </c>
      <c r="R66" s="23">
        <f>(M66/D65)/10</f>
        <v>5.4198624760139875</v>
      </c>
      <c r="S66" s="23">
        <f>(N66/D65)/10</f>
        <v>0</v>
      </c>
      <c r="T66" s="23">
        <f>(P66/D65)/10</f>
        <v>0</v>
      </c>
      <c r="U66" s="23">
        <f>(Q66/D65)/10</f>
        <v>5.4198624760139875</v>
      </c>
      <c r="V66" s="174"/>
      <c r="Z66" s="196"/>
      <c r="AA66" s="36" t="s">
        <v>237</v>
      </c>
      <c r="AB66" s="167"/>
      <c r="AC66" s="230"/>
      <c r="AD66" s="31">
        <v>2907</v>
      </c>
      <c r="AE66" s="31">
        <v>1202</v>
      </c>
      <c r="AF66" s="216"/>
      <c r="AG66" s="216"/>
      <c r="AH66" s="45">
        <f t="shared" si="97"/>
        <v>4.3198497138242212E-2</v>
      </c>
      <c r="AI66" s="18">
        <f t="shared" si="98"/>
        <v>4.1555913514985138E-2</v>
      </c>
      <c r="AJ66" s="216"/>
      <c r="AK66" s="216"/>
      <c r="AL66" s="17">
        <f t="shared" si="99"/>
        <v>3.9500653460832282</v>
      </c>
      <c r="AM66" s="17">
        <f t="shared" si="100"/>
        <v>3.4659306942792774</v>
      </c>
      <c r="AN66" s="216"/>
      <c r="AO66" s="216"/>
      <c r="AP66" s="17">
        <f t="shared" si="101"/>
        <v>7.415996040362506</v>
      </c>
      <c r="AQ66" s="23">
        <f>(AL66/AC65)/10</f>
        <v>1.3321916657658317</v>
      </c>
      <c r="AR66" s="23">
        <f>(AM66/AC65)/10</f>
        <v>1.168913316742773</v>
      </c>
      <c r="AS66" s="23">
        <f t="shared" ref="AS66:AS68" si="104">(AP66/AC65)/10</f>
        <v>2.5011049825086049</v>
      </c>
      <c r="AT66" s="199"/>
    </row>
    <row r="67" spans="1:46">
      <c r="A67" s="242" t="s">
        <v>93</v>
      </c>
      <c r="B67" s="36" t="s">
        <v>236</v>
      </c>
      <c r="C67" s="166">
        <v>0.33050000000000002</v>
      </c>
      <c r="D67" s="227">
        <f>C67*('Análisis sólidos'!F34/100)</f>
        <v>0.32294994400895843</v>
      </c>
      <c r="E67" s="82">
        <v>30020</v>
      </c>
      <c r="F67" s="82">
        <v>2808</v>
      </c>
      <c r="G67" s="236"/>
      <c r="H67" s="82">
        <v>2114</v>
      </c>
      <c r="I67" s="45">
        <f t="shared" ref="I67:I68" si="105">(E67-$D$73)/$C$73</f>
        <v>0.1622028512237087</v>
      </c>
      <c r="J67" s="18">
        <f t="shared" ref="J67:J68" si="106">(F67-$J$73)/$I$73</f>
        <v>4.8843160832180044E-2</v>
      </c>
      <c r="K67" s="239"/>
      <c r="L67" s="18">
        <f t="shared" ref="L67:L68" si="107">(H67-$M$73)/$L$73</f>
        <v>4.6816904207009895E-2</v>
      </c>
      <c r="M67" s="17">
        <f t="shared" ref="M67:M68" si="108">(I67*$X$6)/$X$15</f>
        <v>14.831809069752664</v>
      </c>
      <c r="N67" s="17">
        <f t="shared" ref="N67:N68" si="109">(J67*$X$6)/$X$12</f>
        <v>4.0737164945929294</v>
      </c>
      <c r="O67" s="246"/>
      <c r="P67" s="17">
        <f t="shared" ref="P67:P68" si="110">(L67*$X$6)/$X$18</f>
        <v>8.6821805832232108</v>
      </c>
      <c r="Q67" s="17">
        <f t="shared" si="7"/>
        <v>18.905525564345595</v>
      </c>
      <c r="R67" s="23">
        <f t="shared" ref="R67" si="111">(M67/D67)/10</f>
        <v>4.5926030782470857</v>
      </c>
      <c r="S67" s="23">
        <f t="shared" ref="S67" si="112">(N67/D67)/10</f>
        <v>1.2614080200862108</v>
      </c>
      <c r="T67" s="23">
        <f t="shared" si="12"/>
        <v>2.688398231455452</v>
      </c>
      <c r="U67" s="23">
        <f t="shared" ref="U67" si="113">(Q67/D67)/10</f>
        <v>5.8540110983332969</v>
      </c>
      <c r="V67" s="174">
        <f>STDEV(U67:U68)</f>
        <v>6.2095844191928817E-2</v>
      </c>
      <c r="Z67" s="196" t="s">
        <v>93</v>
      </c>
      <c r="AA67" s="36" t="s">
        <v>236</v>
      </c>
      <c r="AB67" s="166">
        <f>C67</f>
        <v>0.33050000000000002</v>
      </c>
      <c r="AC67" s="229">
        <f>D67</f>
        <v>0.32294994400895843</v>
      </c>
      <c r="AD67" s="31">
        <v>5395</v>
      </c>
      <c r="AE67" s="31">
        <v>3199</v>
      </c>
      <c r="AF67" s="216"/>
      <c r="AG67" s="216"/>
      <c r="AH67" s="45">
        <f t="shared" si="97"/>
        <v>5.4118824396924052E-2</v>
      </c>
      <c r="AI67" s="18">
        <f t="shared" si="98"/>
        <v>5.061732876556934E-2</v>
      </c>
      <c r="AJ67" s="216"/>
      <c r="AK67" s="216"/>
      <c r="AL67" s="17">
        <f t="shared" si="99"/>
        <v>4.9486187479380419</v>
      </c>
      <c r="AM67" s="17">
        <f t="shared" si="100"/>
        <v>4.2216892517054054</v>
      </c>
      <c r="AN67" s="216"/>
      <c r="AO67" s="216"/>
      <c r="AP67" s="17">
        <f t="shared" si="101"/>
        <v>9.1703079996434482</v>
      </c>
      <c r="AQ67" s="23">
        <f t="shared" si="102"/>
        <v>1.5323175742061037</v>
      </c>
      <c r="AR67" s="23">
        <f t="shared" si="103"/>
        <v>1.3072271198747438</v>
      </c>
      <c r="AS67" s="23">
        <f>(AP67/AC67)/10</f>
        <v>2.839544694080848</v>
      </c>
      <c r="AT67" s="197">
        <f>STDEV(AS67:AS68)</f>
        <v>0.22985902653988963</v>
      </c>
    </row>
    <row r="68" spans="1:46">
      <c r="A68" s="244"/>
      <c r="B68" s="36" t="s">
        <v>237</v>
      </c>
      <c r="C68" s="167"/>
      <c r="D68" s="228"/>
      <c r="E68" s="82">
        <v>30390</v>
      </c>
      <c r="F68" s="82">
        <v>3165</v>
      </c>
      <c r="G68" s="237"/>
      <c r="H68" s="82">
        <v>1490</v>
      </c>
      <c r="I68" s="45">
        <f t="shared" si="105"/>
        <v>0.16382685487552232</v>
      </c>
      <c r="J68" s="18">
        <f t="shared" si="106"/>
        <v>5.0463053293100704E-2</v>
      </c>
      <c r="K68" s="240"/>
      <c r="L68" s="18">
        <f t="shared" si="107"/>
        <v>4.4233834079139639E-2</v>
      </c>
      <c r="M68" s="17">
        <f t="shared" si="108"/>
        <v>14.980307766973837</v>
      </c>
      <c r="N68" s="17">
        <f t="shared" si="109"/>
        <v>4.2088220554347551</v>
      </c>
      <c r="O68" s="247"/>
      <c r="P68" s="17">
        <f t="shared" si="110"/>
        <v>8.2031510171046307</v>
      </c>
      <c r="Q68" s="17">
        <f t="shared" si="7"/>
        <v>19.189129822408592</v>
      </c>
      <c r="R68" s="23">
        <f>(M68/D67)/10</f>
        <v>4.6385850330286145</v>
      </c>
      <c r="S68" s="23">
        <f>(N68/D67)/10</f>
        <v>1.303242850327915</v>
      </c>
      <c r="T68" s="23">
        <f>(P68/D67)/10</f>
        <v>2.5400688773233169</v>
      </c>
      <c r="U68" s="23">
        <f t="shared" ref="U68" si="114">(Q68/D67)/10</f>
        <v>5.9418278833565292</v>
      </c>
      <c r="V68" s="174"/>
      <c r="Z68" s="196"/>
      <c r="AA68" s="36" t="s">
        <v>237</v>
      </c>
      <c r="AB68" s="167"/>
      <c r="AC68" s="230"/>
      <c r="AD68" s="31">
        <v>2817</v>
      </c>
      <c r="AE68" s="31">
        <v>3159</v>
      </c>
      <c r="AF68" s="217"/>
      <c r="AG68" s="217"/>
      <c r="AH68" s="45">
        <f t="shared" si="97"/>
        <v>4.2803469222936201E-2</v>
      </c>
      <c r="AI68" s="18">
        <f t="shared" si="98"/>
        <v>5.0435828209723886E-2</v>
      </c>
      <c r="AJ68" s="217"/>
      <c r="AK68" s="217"/>
      <c r="AL68" s="17">
        <f t="shared" si="99"/>
        <v>3.9139440413537541</v>
      </c>
      <c r="AM68" s="17">
        <f t="shared" si="100"/>
        <v>4.2065513737399352</v>
      </c>
      <c r="AN68" s="217"/>
      <c r="AO68" s="217"/>
      <c r="AP68" s="17">
        <f t="shared" si="101"/>
        <v>8.1204954150936892</v>
      </c>
      <c r="AQ68" s="23">
        <f>(AL68/AC67)/10</f>
        <v>1.2119351973769605</v>
      </c>
      <c r="AR68" s="23">
        <f>(AM68/AC67)/10</f>
        <v>1.3025397439372983</v>
      </c>
      <c r="AS68" s="23">
        <f t="shared" si="104"/>
        <v>2.5144749413142589</v>
      </c>
      <c r="AT68" s="199"/>
    </row>
    <row r="71" spans="1:46">
      <c r="C71" s="193" t="s">
        <v>143</v>
      </c>
      <c r="D71" s="193"/>
      <c r="F71" s="193" t="s">
        <v>183</v>
      </c>
      <c r="G71" s="193"/>
      <c r="I71" s="193" t="s">
        <v>145</v>
      </c>
      <c r="J71" s="193"/>
      <c r="L71" s="194" t="s">
        <v>185</v>
      </c>
      <c r="M71" s="195"/>
    </row>
    <row r="72" spans="1:46">
      <c r="C72" s="19" t="s">
        <v>181</v>
      </c>
      <c r="D72" s="19" t="s">
        <v>182</v>
      </c>
      <c r="F72" s="19" t="s">
        <v>181</v>
      </c>
      <c r="G72" s="19" t="s">
        <v>182</v>
      </c>
      <c r="I72" s="19" t="s">
        <v>181</v>
      </c>
      <c r="J72" s="19" t="s">
        <v>182</v>
      </c>
      <c r="L72" s="19" t="s">
        <v>181</v>
      </c>
      <c r="M72" s="19" t="s">
        <v>182</v>
      </c>
    </row>
    <row r="73" spans="1:46">
      <c r="C73" s="2">
        <f>'Calibrado HPLC'!G5</f>
        <v>227832</v>
      </c>
      <c r="D73" s="2">
        <f>'Calibrado HPLC'!H5</f>
        <v>-6935</v>
      </c>
      <c r="F73" s="2">
        <f>'Calibrado HPLC'!G9</f>
        <v>223945</v>
      </c>
      <c r="G73" s="2">
        <f>'Calibrado HPLC'!H9</f>
        <v>-5248.5</v>
      </c>
      <c r="I73" s="2">
        <f>'Calibrado HPLC'!G13</f>
        <v>220385</v>
      </c>
      <c r="J73" s="2">
        <f>'Calibrado HPLC'!H13</f>
        <v>-7956.3</v>
      </c>
      <c r="L73" s="2">
        <f>'Calibrado HPLC'!G17</f>
        <v>241573</v>
      </c>
      <c r="M73" s="2">
        <f>'Calibrado HPLC'!H17</f>
        <v>-9195.7000000000007</v>
      </c>
    </row>
  </sheetData>
  <mergeCells count="256">
    <mergeCell ref="Z65:Z66"/>
    <mergeCell ref="Z37:Z38"/>
    <mergeCell ref="AT37:AT40"/>
    <mergeCell ref="Z39:Z40"/>
    <mergeCell ref="V41:V44"/>
    <mergeCell ref="P37:P38"/>
    <mergeCell ref="L25:L34"/>
    <mergeCell ref="P25:P34"/>
    <mergeCell ref="AT41:AT44"/>
    <mergeCell ref="AB55:AB56"/>
    <mergeCell ref="AC55:AC56"/>
    <mergeCell ref="AB57:AB58"/>
    <mergeCell ref="AC57:AC58"/>
    <mergeCell ref="AC51:AC52"/>
    <mergeCell ref="AC49:AC50"/>
    <mergeCell ref="AB51:AB52"/>
    <mergeCell ref="AC43:AC44"/>
    <mergeCell ref="Z61:Z62"/>
    <mergeCell ref="AT61:AT64"/>
    <mergeCell ref="Z63:Z64"/>
    <mergeCell ref="Z53:Z54"/>
    <mergeCell ref="AT53:AT56"/>
    <mergeCell ref="Z57:Z58"/>
    <mergeCell ref="AT57:AT60"/>
    <mergeCell ref="C53:C54"/>
    <mergeCell ref="C55:C56"/>
    <mergeCell ref="AC15:AC16"/>
    <mergeCell ref="AB17:AB18"/>
    <mergeCell ref="AC17:AC18"/>
    <mergeCell ref="AB19:AB20"/>
    <mergeCell ref="AC19:AC20"/>
    <mergeCell ref="AB21:AB22"/>
    <mergeCell ref="AC21:AC22"/>
    <mergeCell ref="AB23:AB24"/>
    <mergeCell ref="AC23:AC24"/>
    <mergeCell ref="AB25:AB26"/>
    <mergeCell ref="AC25:AC26"/>
    <mergeCell ref="AB27:AB28"/>
    <mergeCell ref="AC27:AC28"/>
    <mergeCell ref="AB29:AB30"/>
    <mergeCell ref="AC29:AC30"/>
    <mergeCell ref="AB31:AB32"/>
    <mergeCell ref="AC31:AC32"/>
    <mergeCell ref="AB33:AB34"/>
    <mergeCell ref="AC33:AC34"/>
    <mergeCell ref="AB41:AB42"/>
    <mergeCell ref="AC41:AC42"/>
    <mergeCell ref="AB43:AB44"/>
    <mergeCell ref="D53:D54"/>
    <mergeCell ref="D55:D56"/>
    <mergeCell ref="Z59:Z60"/>
    <mergeCell ref="AB59:AB60"/>
    <mergeCell ref="AC59:AC60"/>
    <mergeCell ref="AB61:AB62"/>
    <mergeCell ref="AC61:AC62"/>
    <mergeCell ref="AB63:AB64"/>
    <mergeCell ref="AB53:AB54"/>
    <mergeCell ref="AC53:AC54"/>
    <mergeCell ref="AC63:AC64"/>
    <mergeCell ref="Z55:Z56"/>
    <mergeCell ref="Z45:Z46"/>
    <mergeCell ref="AT45:AT48"/>
    <mergeCell ref="Z47:Z48"/>
    <mergeCell ref="Z49:Z50"/>
    <mergeCell ref="AT49:AT52"/>
    <mergeCell ref="Z51:Z52"/>
    <mergeCell ref="D49:D50"/>
    <mergeCell ref="D51:D52"/>
    <mergeCell ref="C47:C48"/>
    <mergeCell ref="C49:C50"/>
    <mergeCell ref="C51:C52"/>
    <mergeCell ref="AB45:AB46"/>
    <mergeCell ref="AC45:AC46"/>
    <mergeCell ref="AB47:AB48"/>
    <mergeCell ref="AC47:AC48"/>
    <mergeCell ref="AB49:AB50"/>
    <mergeCell ref="C45:C46"/>
    <mergeCell ref="V45:V48"/>
    <mergeCell ref="V49:V52"/>
    <mergeCell ref="D47:D48"/>
    <mergeCell ref="AA3:AT3"/>
    <mergeCell ref="Z5:Z6"/>
    <mergeCell ref="AT5:AT8"/>
    <mergeCell ref="Z7:Z8"/>
    <mergeCell ref="Z9:Z10"/>
    <mergeCell ref="AT9:AT12"/>
    <mergeCell ref="Z11:Z12"/>
    <mergeCell ref="AB5:AB6"/>
    <mergeCell ref="AC5:AC6"/>
    <mergeCell ref="AB7:AB8"/>
    <mergeCell ref="AC7:AC8"/>
    <mergeCell ref="AB9:AB10"/>
    <mergeCell ref="AC9:AC10"/>
    <mergeCell ref="AB11:AB12"/>
    <mergeCell ref="AC11:AC12"/>
    <mergeCell ref="AE5:AE6"/>
    <mergeCell ref="E1:I1"/>
    <mergeCell ref="A37:A38"/>
    <mergeCell ref="V37:V40"/>
    <mergeCell ref="A39:A40"/>
    <mergeCell ref="A33:A34"/>
    <mergeCell ref="V33:V36"/>
    <mergeCell ref="A35:A36"/>
    <mergeCell ref="A29:A30"/>
    <mergeCell ref="V29:V32"/>
    <mergeCell ref="A31:A32"/>
    <mergeCell ref="A25:A26"/>
    <mergeCell ref="V25:V28"/>
    <mergeCell ref="A27:A28"/>
    <mergeCell ref="A21:A22"/>
    <mergeCell ref="V21:V24"/>
    <mergeCell ref="A23:A24"/>
    <mergeCell ref="A17:A18"/>
    <mergeCell ref="V17:V20"/>
    <mergeCell ref="A19:A20"/>
    <mergeCell ref="A13:A14"/>
    <mergeCell ref="D17:D18"/>
    <mergeCell ref="D19:D20"/>
    <mergeCell ref="D21:D22"/>
    <mergeCell ref="D23:D24"/>
    <mergeCell ref="A15:A16"/>
    <mergeCell ref="A9:A10"/>
    <mergeCell ref="V9:V12"/>
    <mergeCell ref="A11:A12"/>
    <mergeCell ref="B3:V3"/>
    <mergeCell ref="A5:A6"/>
    <mergeCell ref="V5:V8"/>
    <mergeCell ref="A7:A8"/>
    <mergeCell ref="C5:C6"/>
    <mergeCell ref="C7:C8"/>
    <mergeCell ref="C9:C10"/>
    <mergeCell ref="D5:D6"/>
    <mergeCell ref="D7:D8"/>
    <mergeCell ref="D9:D10"/>
    <mergeCell ref="D11:D12"/>
    <mergeCell ref="D13:D14"/>
    <mergeCell ref="D15:D16"/>
    <mergeCell ref="C11:C12"/>
    <mergeCell ref="C13:C14"/>
    <mergeCell ref="C15:C16"/>
    <mergeCell ref="C71:D71"/>
    <mergeCell ref="F71:G71"/>
    <mergeCell ref="I71:J71"/>
    <mergeCell ref="L71:M71"/>
    <mergeCell ref="C65:C66"/>
    <mergeCell ref="D65:D66"/>
    <mergeCell ref="G5:G68"/>
    <mergeCell ref="K5:K68"/>
    <mergeCell ref="O5:O68"/>
    <mergeCell ref="F17:F28"/>
    <mergeCell ref="F65:F66"/>
    <mergeCell ref="H65:H66"/>
    <mergeCell ref="J17:J28"/>
    <mergeCell ref="J65:J66"/>
    <mergeCell ref="L65:L66"/>
    <mergeCell ref="N17:N28"/>
    <mergeCell ref="N65:N66"/>
    <mergeCell ref="D57:D58"/>
    <mergeCell ref="D59:D60"/>
    <mergeCell ref="D61:D62"/>
    <mergeCell ref="D63:D64"/>
    <mergeCell ref="C57:C58"/>
    <mergeCell ref="C59:C60"/>
    <mergeCell ref="C61:C62"/>
    <mergeCell ref="H25:H34"/>
    <mergeCell ref="D25:D26"/>
    <mergeCell ref="D27:D28"/>
    <mergeCell ref="P65:P66"/>
    <mergeCell ref="A65:A66"/>
    <mergeCell ref="A67:A68"/>
    <mergeCell ref="C67:C68"/>
    <mergeCell ref="D67:D68"/>
    <mergeCell ref="V65:V66"/>
    <mergeCell ref="V67:V68"/>
    <mergeCell ref="A49:A50"/>
    <mergeCell ref="A51:A52"/>
    <mergeCell ref="A63:A64"/>
    <mergeCell ref="V53:V56"/>
    <mergeCell ref="V57:V60"/>
    <mergeCell ref="V61:V64"/>
    <mergeCell ref="A53:A54"/>
    <mergeCell ref="A55:A56"/>
    <mergeCell ref="A57:A58"/>
    <mergeCell ref="A59:A60"/>
    <mergeCell ref="A61:A62"/>
    <mergeCell ref="C63:C64"/>
    <mergeCell ref="A45:A46"/>
    <mergeCell ref="A47:A48"/>
    <mergeCell ref="D39:D40"/>
    <mergeCell ref="D45:D46"/>
    <mergeCell ref="C17:C18"/>
    <mergeCell ref="C19:C20"/>
    <mergeCell ref="C21:C22"/>
    <mergeCell ref="C23:C24"/>
    <mergeCell ref="C25:C26"/>
    <mergeCell ref="C39:C40"/>
    <mergeCell ref="AB39:AB40"/>
    <mergeCell ref="H17:H24"/>
    <mergeCell ref="L17:L24"/>
    <mergeCell ref="P17:P24"/>
    <mergeCell ref="H37:H38"/>
    <mergeCell ref="D29:D30"/>
    <mergeCell ref="D31:D32"/>
    <mergeCell ref="D33:D34"/>
    <mergeCell ref="D35:D36"/>
    <mergeCell ref="D37:D38"/>
    <mergeCell ref="C27:C28"/>
    <mergeCell ref="C29:C30"/>
    <mergeCell ref="C31:C32"/>
    <mergeCell ref="C33:C34"/>
    <mergeCell ref="C35:C36"/>
    <mergeCell ref="C37:C38"/>
    <mergeCell ref="AC39:AC40"/>
    <mergeCell ref="Z33:Z34"/>
    <mergeCell ref="AT33:AT36"/>
    <mergeCell ref="Z35:Z36"/>
    <mergeCell ref="AF5:AF68"/>
    <mergeCell ref="AG5:AG68"/>
    <mergeCell ref="AJ5:AJ68"/>
    <mergeCell ref="AK5:AK68"/>
    <mergeCell ref="AN5:AN68"/>
    <mergeCell ref="AO5:AO68"/>
    <mergeCell ref="Z67:Z68"/>
    <mergeCell ref="AC65:AC66"/>
    <mergeCell ref="AC67:AC68"/>
    <mergeCell ref="AB65:AB66"/>
    <mergeCell ref="AB67:AB68"/>
    <mergeCell ref="AT65:AT66"/>
    <mergeCell ref="AT67:AT68"/>
    <mergeCell ref="AC13:AC14"/>
    <mergeCell ref="AB15:AB16"/>
    <mergeCell ref="Z21:Z22"/>
    <mergeCell ref="AT21:AT24"/>
    <mergeCell ref="Z23:Z24"/>
    <mergeCell ref="AT25:AT28"/>
    <mergeCell ref="Z17:Z18"/>
    <mergeCell ref="AT17:AT20"/>
    <mergeCell ref="Z19:Z20"/>
    <mergeCell ref="AB13:AB14"/>
    <mergeCell ref="L37:L38"/>
    <mergeCell ref="AI5:AI6"/>
    <mergeCell ref="AM5:AM6"/>
    <mergeCell ref="AR5:AR6"/>
    <mergeCell ref="V13:V16"/>
    <mergeCell ref="Z13:Z14"/>
    <mergeCell ref="AT13:AT16"/>
    <mergeCell ref="Z15:Z16"/>
    <mergeCell ref="AT29:AT32"/>
    <mergeCell ref="Z31:Z32"/>
    <mergeCell ref="Z25:Z26"/>
    <mergeCell ref="Z27:Z28"/>
    <mergeCell ref="AB35:AB36"/>
    <mergeCell ref="AC35:AC36"/>
    <mergeCell ref="AB37:AB38"/>
    <mergeCell ref="AC37:AC38"/>
    <mergeCell ref="Z29:Z3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Rojo</dc:creator>
  <cp:keywords/>
  <dc:description/>
  <cp:lastModifiedBy>ELENA MARIA ROJO DE BENITO</cp:lastModifiedBy>
  <cp:revision/>
  <dcterms:created xsi:type="dcterms:W3CDTF">2020-10-28T11:24:01Z</dcterms:created>
  <dcterms:modified xsi:type="dcterms:W3CDTF">2024-07-24T07:23:51Z</dcterms:modified>
  <cp:category/>
  <cp:contentStatus/>
</cp:coreProperties>
</file>