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threadedComments/threadedComment3.xml" ContentType="application/vnd.ms-excel.threadedcomments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5.xml" ContentType="application/vnd.openxmlformats-officedocument.drawing+xml"/>
  <Override PartName="/xl/comments4.xml" ContentType="application/vnd.openxmlformats-officedocument.spreadsheetml.comments+xml"/>
  <Override PartName="/xl/threadedComments/threadedComment4.xml" ContentType="application/vnd.ms-excel.threadedcomments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6.xml" ContentType="application/vnd.openxmlformats-officedocument.drawing+xml"/>
  <Override PartName="/xl/comments5.xml" ContentType="application/vnd.openxmlformats-officedocument.spreadsheetml.comments+xml"/>
  <Override PartName="/xl/threadedComments/threadedComment5.xml" ContentType="application/vnd.ms-excel.threadedcomments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omments6.xml" ContentType="application/vnd.openxmlformats-officedocument.spreadsheetml.comments+xml"/>
  <Override PartName="/xl/threadedComments/threadedComment6.xml" ContentType="application/vnd.ms-excel.threaded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threadedComments/threadedComment7.xml" ContentType="application/vnd.ms-excel.threadedcomments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vaes-my.sharepoint.com/personal/silvia_bolado_uva_es/Documents/Retos2020/Repositorio datos articulos/Rojo_et_al_Stoten_2023/"/>
    </mc:Choice>
  </mc:AlternateContent>
  <xr:revisionPtr revIDLastSave="0" documentId="8_{58513378-563E-4BB9-AA30-B80696F81B9F}" xr6:coauthVersionLast="47" xr6:coauthVersionMax="47" xr10:uidLastSave="{00000000-0000-0000-0000-000000000000}"/>
  <bookViews>
    <workbookView xWindow="28680" yWindow="-120" windowWidth="38640" windowHeight="21120" activeTab="8" xr2:uid="{00000000-000D-0000-FFFF-FFFF00000000}"/>
  </bookViews>
  <sheets>
    <sheet name="Abstract" sheetId="19" r:id="rId1"/>
    <sheet name="Model" sheetId="1" r:id="rId2"/>
    <sheet name="Fertilizer" sheetId="22" r:id="rId3"/>
    <sheet name="Manure" sheetId="2" r:id="rId4"/>
    <sheet name="Manpower" sheetId="20" r:id="rId5"/>
    <sheet name="Productivity" sheetId="21" r:id="rId6"/>
    <sheet name="Reactor" sheetId="23" r:id="rId7"/>
    <sheet name="Block 2 (Model)" sheetId="17" r:id="rId8"/>
    <sheet name="Block 2 (Bioestimulant)" sheetId="18" r:id="rId9"/>
  </sheets>
  <externalReferences>
    <externalReference r:id="rId10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3" i="19" l="1"/>
  <c r="E44" i="19" s="1"/>
  <c r="I10" i="19"/>
  <c r="J10" i="19"/>
  <c r="K10" i="19"/>
  <c r="C7" i="23"/>
  <c r="C8" i="23"/>
  <c r="C9" i="23"/>
  <c r="C10" i="23"/>
  <c r="C11" i="23"/>
  <c r="C13" i="23"/>
  <c r="N5" i="23" s="1"/>
  <c r="C14" i="23"/>
  <c r="C15" i="23"/>
  <c r="C20" i="23"/>
  <c r="C21" i="23"/>
  <c r="F8" i="23" s="1"/>
  <c r="O66" i="23" s="1"/>
  <c r="C22" i="23"/>
  <c r="C23" i="23"/>
  <c r="C24" i="23"/>
  <c r="F11" i="23" s="1"/>
  <c r="O70" i="23" s="1"/>
  <c r="O69" i="23" s="1"/>
  <c r="C25" i="23"/>
  <c r="C26" i="23"/>
  <c r="C6" i="23"/>
  <c r="N14" i="23" s="1"/>
  <c r="N36" i="1"/>
  <c r="N37" i="1"/>
  <c r="N47" i="1"/>
  <c r="N48" i="1"/>
  <c r="N63" i="1"/>
  <c r="N64" i="1"/>
  <c r="N70" i="1"/>
  <c r="N71" i="1"/>
  <c r="N72" i="1"/>
  <c r="N76" i="1"/>
  <c r="N80" i="1"/>
  <c r="N97" i="1"/>
  <c r="M107" i="1"/>
  <c r="M108" i="1" s="1"/>
  <c r="M109" i="1" s="1"/>
  <c r="M110" i="1" s="1"/>
  <c r="M111" i="1" s="1"/>
  <c r="M112" i="1" s="1"/>
  <c r="N17" i="1"/>
  <c r="C19" i="23" s="1"/>
  <c r="N15" i="1"/>
  <c r="K30" i="19" s="1"/>
  <c r="N12" i="1"/>
  <c r="B98" i="23"/>
  <c r="A98" i="23"/>
  <c r="B97" i="23"/>
  <c r="A97" i="23"/>
  <c r="B96" i="23"/>
  <c r="A96" i="23"/>
  <c r="B95" i="23"/>
  <c r="A95" i="23"/>
  <c r="B94" i="23"/>
  <c r="A94" i="23"/>
  <c r="B93" i="23"/>
  <c r="A93" i="23"/>
  <c r="B92" i="23"/>
  <c r="A92" i="23"/>
  <c r="M91" i="23"/>
  <c r="B91" i="23"/>
  <c r="A91" i="23"/>
  <c r="M90" i="23"/>
  <c r="B90" i="23"/>
  <c r="A90" i="23"/>
  <c r="M89" i="23"/>
  <c r="B89" i="23"/>
  <c r="A89" i="23"/>
  <c r="M88" i="23"/>
  <c r="M92" i="23" s="1"/>
  <c r="B88" i="23"/>
  <c r="A88" i="23"/>
  <c r="B87" i="23"/>
  <c r="A87" i="23"/>
  <c r="B86" i="23"/>
  <c r="A86" i="23"/>
  <c r="B85" i="23"/>
  <c r="A85" i="23"/>
  <c r="B84" i="23"/>
  <c r="A84" i="23"/>
  <c r="B83" i="23"/>
  <c r="A83" i="23"/>
  <c r="A82" i="23"/>
  <c r="B81" i="23"/>
  <c r="A81" i="23"/>
  <c r="B80" i="23"/>
  <c r="A80" i="23"/>
  <c r="B79" i="23"/>
  <c r="A79" i="23"/>
  <c r="A78" i="23"/>
  <c r="B77" i="23"/>
  <c r="A77" i="23"/>
  <c r="B76" i="23"/>
  <c r="A76" i="23"/>
  <c r="B75" i="23"/>
  <c r="A75" i="23"/>
  <c r="A74" i="23"/>
  <c r="A73" i="23"/>
  <c r="O72" i="23"/>
  <c r="O73" i="23" s="1"/>
  <c r="P73" i="23" s="1"/>
  <c r="L72" i="23"/>
  <c r="L73" i="23" s="1"/>
  <c r="L74" i="23" s="1"/>
  <c r="L75" i="23" s="1"/>
  <c r="L76" i="23" s="1"/>
  <c r="L77" i="23" s="1"/>
  <c r="L78" i="23" s="1"/>
  <c r="L79" i="23" s="1"/>
  <c r="L80" i="23" s="1"/>
  <c r="B71" i="23"/>
  <c r="A71" i="23"/>
  <c r="B70" i="23"/>
  <c r="A70" i="23"/>
  <c r="B69" i="23"/>
  <c r="A69" i="23"/>
  <c r="B68" i="23"/>
  <c r="A68" i="23"/>
  <c r="L67" i="23"/>
  <c r="L71" i="23" s="1"/>
  <c r="C67" i="23"/>
  <c r="N65" i="1" s="1"/>
  <c r="B67" i="23"/>
  <c r="A67" i="23"/>
  <c r="A66" i="23"/>
  <c r="B64" i="23"/>
  <c r="A64" i="23"/>
  <c r="B63" i="23"/>
  <c r="A63" i="23"/>
  <c r="B62" i="23"/>
  <c r="A62" i="23"/>
  <c r="B61" i="23"/>
  <c r="A61" i="23"/>
  <c r="B60" i="23"/>
  <c r="A60" i="23"/>
  <c r="B59" i="23"/>
  <c r="A59" i="23"/>
  <c r="B58" i="23"/>
  <c r="A58" i="23"/>
  <c r="B57" i="23"/>
  <c r="A57" i="23"/>
  <c r="B56" i="23"/>
  <c r="A56" i="23"/>
  <c r="B55" i="23"/>
  <c r="A55" i="23"/>
  <c r="B54" i="23"/>
  <c r="A54" i="23"/>
  <c r="B53" i="23"/>
  <c r="A53" i="23"/>
  <c r="B52" i="23"/>
  <c r="A52" i="23"/>
  <c r="B51" i="23"/>
  <c r="A51" i="23"/>
  <c r="N50" i="23"/>
  <c r="A50" i="23"/>
  <c r="N49" i="23"/>
  <c r="J49" i="23"/>
  <c r="N48" i="23"/>
  <c r="J48" i="23"/>
  <c r="B48" i="23"/>
  <c r="A48" i="23"/>
  <c r="N47" i="23"/>
  <c r="B47" i="23"/>
  <c r="A47" i="23"/>
  <c r="B46" i="23"/>
  <c r="A46" i="23"/>
  <c r="N45" i="23"/>
  <c r="B45" i="23"/>
  <c r="A45" i="23"/>
  <c r="N44" i="23"/>
  <c r="B44" i="23"/>
  <c r="A44" i="23"/>
  <c r="N43" i="23"/>
  <c r="J43" i="23"/>
  <c r="B43" i="23"/>
  <c r="A43" i="23"/>
  <c r="N42" i="23"/>
  <c r="B42" i="23"/>
  <c r="A42" i="23"/>
  <c r="N41" i="23"/>
  <c r="J41" i="23"/>
  <c r="B41" i="23"/>
  <c r="A41" i="23"/>
  <c r="N40" i="23"/>
  <c r="B40" i="23"/>
  <c r="A40" i="23"/>
  <c r="N39" i="23"/>
  <c r="J39" i="23"/>
  <c r="A39" i="23"/>
  <c r="B37" i="23"/>
  <c r="A37" i="23"/>
  <c r="B36" i="23"/>
  <c r="A36" i="23"/>
  <c r="B35" i="23"/>
  <c r="A35" i="23"/>
  <c r="B34" i="23"/>
  <c r="A34" i="23"/>
  <c r="B33" i="23"/>
  <c r="A33" i="23"/>
  <c r="Q32" i="23"/>
  <c r="G32" i="23"/>
  <c r="J32" i="23" s="1"/>
  <c r="B32" i="23"/>
  <c r="A32" i="23"/>
  <c r="G31" i="23"/>
  <c r="J31" i="23" s="1"/>
  <c r="B31" i="23"/>
  <c r="A31" i="23"/>
  <c r="O30" i="23"/>
  <c r="G30" i="23"/>
  <c r="J30" i="23" s="1"/>
  <c r="B30" i="23"/>
  <c r="A30" i="23"/>
  <c r="G29" i="23"/>
  <c r="J29" i="23" s="1"/>
  <c r="B29" i="23"/>
  <c r="A29" i="23"/>
  <c r="G28" i="23"/>
  <c r="J28" i="23" s="1"/>
  <c r="A28" i="23"/>
  <c r="G27" i="23"/>
  <c r="J27" i="23" s="1"/>
  <c r="G26" i="23"/>
  <c r="J26" i="23" s="1"/>
  <c r="F26" i="23"/>
  <c r="B26" i="23"/>
  <c r="A26" i="23"/>
  <c r="Q25" i="23"/>
  <c r="G25" i="23"/>
  <c r="J25" i="23" s="1"/>
  <c r="B25" i="23"/>
  <c r="A25" i="23"/>
  <c r="Q24" i="23"/>
  <c r="I24" i="23"/>
  <c r="C30" i="23" s="1"/>
  <c r="N28" i="1" s="1"/>
  <c r="G24" i="23"/>
  <c r="J24" i="23" s="1"/>
  <c r="B24" i="23"/>
  <c r="A24" i="23"/>
  <c r="G23" i="23"/>
  <c r="J23" i="23" s="1"/>
  <c r="B23" i="23"/>
  <c r="A23" i="23"/>
  <c r="B22" i="23"/>
  <c r="A22" i="23"/>
  <c r="B21" i="23"/>
  <c r="A21" i="23"/>
  <c r="B20" i="23"/>
  <c r="A20" i="23"/>
  <c r="B19" i="23"/>
  <c r="A19" i="23"/>
  <c r="B18" i="23"/>
  <c r="A18" i="23"/>
  <c r="B17" i="23"/>
  <c r="A17" i="23"/>
  <c r="B16" i="23"/>
  <c r="A16" i="23"/>
  <c r="B15" i="23"/>
  <c r="A15" i="23"/>
  <c r="A14" i="23"/>
  <c r="B13" i="23"/>
  <c r="A13" i="23"/>
  <c r="F12" i="23"/>
  <c r="B12" i="23"/>
  <c r="A12" i="23"/>
  <c r="B11" i="23"/>
  <c r="A11" i="23"/>
  <c r="N10" i="23"/>
  <c r="B10" i="23"/>
  <c r="A10" i="23"/>
  <c r="F9" i="23"/>
  <c r="O64" i="23" s="1"/>
  <c r="B9" i="23"/>
  <c r="A9" i="23"/>
  <c r="N8" i="23"/>
  <c r="B8" i="23"/>
  <c r="A8" i="23"/>
  <c r="N7" i="23"/>
  <c r="F7" i="23"/>
  <c r="O68" i="23" s="1"/>
  <c r="B7" i="23"/>
  <c r="A7" i="23"/>
  <c r="F6" i="23"/>
  <c r="B6" i="23"/>
  <c r="A6" i="23"/>
  <c r="A5" i="23"/>
  <c r="F36" i="1"/>
  <c r="F37" i="1"/>
  <c r="F47" i="1"/>
  <c r="F48" i="1"/>
  <c r="F63" i="1"/>
  <c r="F64" i="1"/>
  <c r="F70" i="1"/>
  <c r="F71" i="1"/>
  <c r="F72" i="1"/>
  <c r="F76" i="1"/>
  <c r="F80" i="1"/>
  <c r="H2" i="19"/>
  <c r="H10" i="19" s="1"/>
  <c r="G2" i="19"/>
  <c r="G10" i="19" s="1"/>
  <c r="H10" i="1"/>
  <c r="C12" i="2" s="1"/>
  <c r="H36" i="1"/>
  <c r="H37" i="1"/>
  <c r="H47" i="1"/>
  <c r="H48" i="1"/>
  <c r="H63" i="1"/>
  <c r="H64" i="1"/>
  <c r="H70" i="1"/>
  <c r="H71" i="1"/>
  <c r="H72" i="1"/>
  <c r="H76" i="1"/>
  <c r="H80" i="1"/>
  <c r="C7" i="2"/>
  <c r="C8" i="2"/>
  <c r="C9" i="2"/>
  <c r="C10" i="2"/>
  <c r="C11" i="2"/>
  <c r="C13" i="2"/>
  <c r="C15" i="2"/>
  <c r="C20" i="2"/>
  <c r="C21" i="2"/>
  <c r="C22" i="2"/>
  <c r="C23" i="2"/>
  <c r="C24" i="2"/>
  <c r="C25" i="2"/>
  <c r="C26" i="2"/>
  <c r="C6" i="2"/>
  <c r="B98" i="22"/>
  <c r="A98" i="22"/>
  <c r="B97" i="22"/>
  <c r="A97" i="22"/>
  <c r="B96" i="22"/>
  <c r="A96" i="22"/>
  <c r="B95" i="22"/>
  <c r="A95" i="22"/>
  <c r="B94" i="22"/>
  <c r="A94" i="22"/>
  <c r="B93" i="22"/>
  <c r="A93" i="22"/>
  <c r="B92" i="22"/>
  <c r="A92" i="22"/>
  <c r="M91" i="22"/>
  <c r="B91" i="22"/>
  <c r="A91" i="22"/>
  <c r="M90" i="22"/>
  <c r="B90" i="22"/>
  <c r="A90" i="22"/>
  <c r="M89" i="22"/>
  <c r="B89" i="22"/>
  <c r="A89" i="22"/>
  <c r="M88" i="22"/>
  <c r="M92" i="22" s="1"/>
  <c r="B88" i="22"/>
  <c r="A88" i="22"/>
  <c r="B87" i="22"/>
  <c r="A87" i="22"/>
  <c r="B86" i="22"/>
  <c r="A86" i="22"/>
  <c r="B85" i="22"/>
  <c r="A85" i="22"/>
  <c r="B84" i="22"/>
  <c r="A84" i="22"/>
  <c r="B83" i="22"/>
  <c r="A83" i="22"/>
  <c r="A82" i="22"/>
  <c r="B81" i="22"/>
  <c r="A81" i="22"/>
  <c r="B80" i="22"/>
  <c r="A80" i="22"/>
  <c r="B79" i="22"/>
  <c r="A79" i="22"/>
  <c r="A78" i="22"/>
  <c r="B77" i="22"/>
  <c r="A77" i="22"/>
  <c r="B76" i="22"/>
  <c r="A76" i="22"/>
  <c r="B75" i="22"/>
  <c r="A75" i="22"/>
  <c r="A74" i="22"/>
  <c r="A73" i="22"/>
  <c r="O72" i="22"/>
  <c r="O73" i="22" s="1"/>
  <c r="P73" i="22" s="1"/>
  <c r="L72" i="22"/>
  <c r="L73" i="22" s="1"/>
  <c r="L74" i="22" s="1"/>
  <c r="L75" i="22" s="1"/>
  <c r="L76" i="22" s="1"/>
  <c r="L77" i="22" s="1"/>
  <c r="L78" i="22" s="1"/>
  <c r="L79" i="22" s="1"/>
  <c r="L80" i="22" s="1"/>
  <c r="B71" i="22"/>
  <c r="A71" i="22"/>
  <c r="B70" i="22"/>
  <c r="A70" i="22"/>
  <c r="B69" i="22"/>
  <c r="A69" i="22"/>
  <c r="B68" i="22"/>
  <c r="A68" i="22"/>
  <c r="L67" i="22"/>
  <c r="L71" i="22" s="1"/>
  <c r="C67" i="22"/>
  <c r="F65" i="1" s="1"/>
  <c r="B67" i="22"/>
  <c r="A67" i="22"/>
  <c r="A66" i="22"/>
  <c r="B64" i="22"/>
  <c r="A64" i="22"/>
  <c r="B63" i="22"/>
  <c r="A63" i="22"/>
  <c r="B62" i="22"/>
  <c r="A62" i="22"/>
  <c r="B61" i="22"/>
  <c r="A61" i="22"/>
  <c r="B60" i="22"/>
  <c r="A60" i="22"/>
  <c r="B59" i="22"/>
  <c r="A59" i="22"/>
  <c r="B58" i="22"/>
  <c r="A58" i="22"/>
  <c r="B57" i="22"/>
  <c r="A57" i="22"/>
  <c r="B56" i="22"/>
  <c r="A56" i="22"/>
  <c r="B55" i="22"/>
  <c r="A55" i="22"/>
  <c r="B54" i="22"/>
  <c r="A54" i="22"/>
  <c r="B53" i="22"/>
  <c r="A53" i="22"/>
  <c r="B52" i="22"/>
  <c r="A52" i="22"/>
  <c r="B51" i="22"/>
  <c r="A51" i="22"/>
  <c r="N50" i="22"/>
  <c r="A50" i="22"/>
  <c r="N49" i="22"/>
  <c r="J49" i="22"/>
  <c r="N48" i="22"/>
  <c r="J48" i="22"/>
  <c r="B48" i="22"/>
  <c r="A48" i="22"/>
  <c r="N47" i="22"/>
  <c r="B47" i="22"/>
  <c r="A47" i="22"/>
  <c r="B46" i="22"/>
  <c r="A46" i="22"/>
  <c r="N45" i="22"/>
  <c r="B45" i="22"/>
  <c r="A45" i="22"/>
  <c r="N44" i="22"/>
  <c r="B44" i="22"/>
  <c r="A44" i="22"/>
  <c r="N43" i="22"/>
  <c r="J43" i="22"/>
  <c r="B43" i="22"/>
  <c r="A43" i="22"/>
  <c r="N42" i="22"/>
  <c r="B42" i="22"/>
  <c r="A42" i="22"/>
  <c r="N41" i="22"/>
  <c r="J41" i="22"/>
  <c r="B41" i="22"/>
  <c r="A41" i="22"/>
  <c r="N40" i="22"/>
  <c r="B40" i="22"/>
  <c r="A40" i="22"/>
  <c r="N39" i="22"/>
  <c r="J39" i="22"/>
  <c r="A39" i="22"/>
  <c r="B37" i="22"/>
  <c r="A37" i="22"/>
  <c r="B36" i="22"/>
  <c r="A36" i="22"/>
  <c r="B35" i="22"/>
  <c r="A35" i="22"/>
  <c r="B34" i="22"/>
  <c r="A34" i="22"/>
  <c r="B33" i="22"/>
  <c r="A33" i="22"/>
  <c r="Q32" i="22"/>
  <c r="G32" i="22"/>
  <c r="J32" i="22" s="1"/>
  <c r="B32" i="22"/>
  <c r="A32" i="22"/>
  <c r="G31" i="22"/>
  <c r="J31" i="22" s="1"/>
  <c r="B31" i="22"/>
  <c r="A31" i="22"/>
  <c r="O30" i="22"/>
  <c r="G30" i="22" s="1"/>
  <c r="J30" i="22" s="1"/>
  <c r="B30" i="22"/>
  <c r="A30" i="22"/>
  <c r="G29" i="22"/>
  <c r="J29" i="22" s="1"/>
  <c r="B29" i="22"/>
  <c r="A29" i="22"/>
  <c r="G28" i="22"/>
  <c r="J28" i="22" s="1"/>
  <c r="A28" i="22"/>
  <c r="G27" i="22"/>
  <c r="J27" i="22" s="1"/>
  <c r="G26" i="22"/>
  <c r="J26" i="22" s="1"/>
  <c r="F26" i="22"/>
  <c r="C26" i="22"/>
  <c r="B26" i="22"/>
  <c r="A26" i="22"/>
  <c r="Q25" i="22"/>
  <c r="G25" i="22"/>
  <c r="J25" i="22" s="1"/>
  <c r="C25" i="22"/>
  <c r="F12" i="22" s="1"/>
  <c r="B25" i="22"/>
  <c r="A25" i="22"/>
  <c r="Q24" i="22"/>
  <c r="I24" i="22"/>
  <c r="C30" i="22" s="1"/>
  <c r="F28" i="1" s="1"/>
  <c r="G24" i="22"/>
  <c r="J24" i="22" s="1"/>
  <c r="C24" i="22"/>
  <c r="F11" i="22" s="1"/>
  <c r="O70" i="22" s="1"/>
  <c r="O69" i="22" s="1"/>
  <c r="B24" i="22"/>
  <c r="A24" i="22"/>
  <c r="G23" i="22"/>
  <c r="J23" i="22" s="1"/>
  <c r="C23" i="22"/>
  <c r="B23" i="22"/>
  <c r="A23" i="22"/>
  <c r="C22" i="22"/>
  <c r="F9" i="22" s="1"/>
  <c r="O64" i="22" s="1"/>
  <c r="B22" i="22"/>
  <c r="A22" i="22"/>
  <c r="C21" i="22"/>
  <c r="F8" i="22" s="1"/>
  <c r="O66" i="22" s="1"/>
  <c r="B21" i="22"/>
  <c r="A21" i="22"/>
  <c r="C20" i="22"/>
  <c r="F7" i="22" s="1"/>
  <c r="O68" i="22" s="1"/>
  <c r="B20" i="22"/>
  <c r="A20" i="22"/>
  <c r="B19" i="22"/>
  <c r="A19" i="22"/>
  <c r="B18" i="22"/>
  <c r="A18" i="22"/>
  <c r="B17" i="22"/>
  <c r="A17" i="22"/>
  <c r="B16" i="22"/>
  <c r="A16" i="22"/>
  <c r="C15" i="22"/>
  <c r="N10" i="22" s="1"/>
  <c r="B15" i="22"/>
  <c r="A15" i="22"/>
  <c r="A14" i="22"/>
  <c r="C13" i="22"/>
  <c r="N5" i="22" s="1"/>
  <c r="B13" i="22"/>
  <c r="A13" i="22"/>
  <c r="C12" i="22"/>
  <c r="N13" i="22" s="1"/>
  <c r="B12" i="22"/>
  <c r="A12" i="22"/>
  <c r="C11" i="22"/>
  <c r="N8" i="22" s="1"/>
  <c r="B11" i="22"/>
  <c r="A11" i="22"/>
  <c r="C10" i="22"/>
  <c r="B10" i="22"/>
  <c r="A10" i="22"/>
  <c r="C9" i="22"/>
  <c r="N7" i="22" s="1"/>
  <c r="B9" i="22"/>
  <c r="A9" i="22"/>
  <c r="C8" i="22"/>
  <c r="B8" i="22"/>
  <c r="A8" i="22"/>
  <c r="C7" i="22"/>
  <c r="B7" i="22"/>
  <c r="A7" i="22"/>
  <c r="F6" i="22"/>
  <c r="H26" i="22" s="1"/>
  <c r="C6" i="22"/>
  <c r="N14" i="22" s="1"/>
  <c r="B6" i="22"/>
  <c r="A6" i="22"/>
  <c r="A5" i="22"/>
  <c r="G107" i="1"/>
  <c r="G108" i="1" s="1"/>
  <c r="G109" i="1" s="1"/>
  <c r="G110" i="1" s="1"/>
  <c r="G111" i="1" s="1"/>
  <c r="G112" i="1" s="1"/>
  <c r="H17" i="1"/>
  <c r="C19" i="2" s="1"/>
  <c r="H15" i="1"/>
  <c r="H12" i="1"/>
  <c r="C14" i="2" s="1"/>
  <c r="H16" i="1" l="1"/>
  <c r="C18" i="2" s="1"/>
  <c r="H30" i="19"/>
  <c r="C17" i="2"/>
  <c r="C17" i="23"/>
  <c r="N16" i="1"/>
  <c r="C18" i="23" s="1"/>
  <c r="N16" i="22"/>
  <c r="N72" i="22" s="1"/>
  <c r="P72" i="22" s="1"/>
  <c r="C83" i="22" s="1"/>
  <c r="F81" i="1" s="1"/>
  <c r="J10" i="1"/>
  <c r="L10" i="1" s="1"/>
  <c r="N10" i="1" s="1"/>
  <c r="H14" i="1"/>
  <c r="H26" i="23"/>
  <c r="O65" i="23"/>
  <c r="C84" i="23"/>
  <c r="N82" i="1" s="1"/>
  <c r="N4" i="23"/>
  <c r="N24" i="23"/>
  <c r="P24" i="23" s="1"/>
  <c r="R24" i="23" s="1"/>
  <c r="N69" i="22"/>
  <c r="P69" i="22" s="1"/>
  <c r="C80" i="22" s="1"/>
  <c r="F78" i="1" s="1"/>
  <c r="N68" i="22"/>
  <c r="P68" i="22" s="1"/>
  <c r="N4" i="22"/>
  <c r="N3" i="22"/>
  <c r="C84" i="22"/>
  <c r="F82" i="1" s="1"/>
  <c r="N11" i="22"/>
  <c r="O65" i="22"/>
  <c r="N24" i="22"/>
  <c r="P24" i="22" s="1"/>
  <c r="R24" i="22" s="1"/>
  <c r="O72" i="21"/>
  <c r="O73" i="21" s="1"/>
  <c r="P73" i="21" s="1"/>
  <c r="O73" i="20"/>
  <c r="P73" i="20" s="1"/>
  <c r="O72" i="20"/>
  <c r="L36" i="1"/>
  <c r="L37" i="1"/>
  <c r="L47" i="1"/>
  <c r="L48" i="1"/>
  <c r="L63" i="1"/>
  <c r="L64" i="1"/>
  <c r="L70" i="1"/>
  <c r="L71" i="1"/>
  <c r="L72" i="1"/>
  <c r="L76" i="1"/>
  <c r="L80" i="1"/>
  <c r="L97" i="1"/>
  <c r="C7" i="21"/>
  <c r="C8" i="21"/>
  <c r="C9" i="21"/>
  <c r="N7" i="21" s="1"/>
  <c r="C10" i="21"/>
  <c r="C11" i="21"/>
  <c r="C13" i="21"/>
  <c r="N5" i="21" s="1"/>
  <c r="C15" i="21"/>
  <c r="N10" i="21" s="1"/>
  <c r="C20" i="21"/>
  <c r="F7" i="21" s="1"/>
  <c r="O68" i="21" s="1"/>
  <c r="C21" i="21"/>
  <c r="F8" i="21" s="1"/>
  <c r="O66" i="21" s="1"/>
  <c r="C22" i="21"/>
  <c r="F9" i="21" s="1"/>
  <c r="O64" i="21" s="1"/>
  <c r="C23" i="21"/>
  <c r="C24" i="21"/>
  <c r="F11" i="21" s="1"/>
  <c r="O70" i="21" s="1"/>
  <c r="O69" i="21" s="1"/>
  <c r="C25" i="21"/>
  <c r="F12" i="21" s="1"/>
  <c r="C26" i="21"/>
  <c r="F6" i="21" s="1"/>
  <c r="C6" i="21"/>
  <c r="N14" i="21" s="1"/>
  <c r="B98" i="21"/>
  <c r="A98" i="21"/>
  <c r="B97" i="21"/>
  <c r="A97" i="21"/>
  <c r="B96" i="21"/>
  <c r="A96" i="21"/>
  <c r="B95" i="21"/>
  <c r="A95" i="21"/>
  <c r="B94" i="21"/>
  <c r="A94" i="21"/>
  <c r="B93" i="21"/>
  <c r="A93" i="21"/>
  <c r="B92" i="21"/>
  <c r="A92" i="21"/>
  <c r="M91" i="21"/>
  <c r="B91" i="21"/>
  <c r="A91" i="21"/>
  <c r="M90" i="21"/>
  <c r="B90" i="21"/>
  <c r="A90" i="21"/>
  <c r="M89" i="21"/>
  <c r="B89" i="21"/>
  <c r="A89" i="21"/>
  <c r="M88" i="21"/>
  <c r="M92" i="21" s="1"/>
  <c r="B88" i="21"/>
  <c r="A88" i="21"/>
  <c r="B87" i="21"/>
  <c r="A87" i="21"/>
  <c r="B86" i="21"/>
  <c r="A86" i="21"/>
  <c r="B85" i="21"/>
  <c r="A85" i="21"/>
  <c r="B84" i="21"/>
  <c r="A84" i="21"/>
  <c r="B83" i="21"/>
  <c r="A83" i="21"/>
  <c r="A82" i="21"/>
  <c r="B81" i="21"/>
  <c r="A81" i="21"/>
  <c r="B80" i="21"/>
  <c r="A80" i="21"/>
  <c r="B79" i="21"/>
  <c r="A79" i="21"/>
  <c r="A78" i="21"/>
  <c r="B77" i="21"/>
  <c r="A77" i="21"/>
  <c r="B76" i="21"/>
  <c r="A76" i="21"/>
  <c r="B75" i="21"/>
  <c r="A75" i="21"/>
  <c r="A74" i="21"/>
  <c r="A73" i="21"/>
  <c r="L72" i="21"/>
  <c r="L73" i="21" s="1"/>
  <c r="L74" i="21" s="1"/>
  <c r="L75" i="21" s="1"/>
  <c r="L76" i="21" s="1"/>
  <c r="L77" i="21" s="1"/>
  <c r="L78" i="21" s="1"/>
  <c r="L79" i="21" s="1"/>
  <c r="L80" i="21" s="1"/>
  <c r="B71" i="21"/>
  <c r="A71" i="21"/>
  <c r="B70" i="21"/>
  <c r="A70" i="21"/>
  <c r="B69" i="21"/>
  <c r="A69" i="21"/>
  <c r="B68" i="21"/>
  <c r="A68" i="21"/>
  <c r="L67" i="21"/>
  <c r="L71" i="21" s="1"/>
  <c r="C67" i="21"/>
  <c r="L65" i="1" s="1"/>
  <c r="B67" i="21"/>
  <c r="A67" i="21"/>
  <c r="A66" i="21"/>
  <c r="B64" i="21"/>
  <c r="A64" i="21"/>
  <c r="B63" i="21"/>
  <c r="A63" i="21"/>
  <c r="B62" i="21"/>
  <c r="A62" i="21"/>
  <c r="B61" i="21"/>
  <c r="A61" i="21"/>
  <c r="B60" i="21"/>
  <c r="A60" i="21"/>
  <c r="B59" i="21"/>
  <c r="A59" i="21"/>
  <c r="B58" i="21"/>
  <c r="A58" i="21"/>
  <c r="B57" i="21"/>
  <c r="A57" i="21"/>
  <c r="B56" i="21"/>
  <c r="A56" i="21"/>
  <c r="B55" i="21"/>
  <c r="A55" i="21"/>
  <c r="B54" i="21"/>
  <c r="A54" i="21"/>
  <c r="B53" i="21"/>
  <c r="A53" i="21"/>
  <c r="B52" i="21"/>
  <c r="A52" i="21"/>
  <c r="B51" i="21"/>
  <c r="A51" i="21"/>
  <c r="N50" i="21"/>
  <c r="A50" i="21"/>
  <c r="N49" i="21"/>
  <c r="J49" i="21"/>
  <c r="N48" i="21"/>
  <c r="J48" i="21"/>
  <c r="B48" i="21"/>
  <c r="A48" i="21"/>
  <c r="N47" i="21"/>
  <c r="B47" i="21"/>
  <c r="A47" i="21"/>
  <c r="B46" i="21"/>
  <c r="A46" i="21"/>
  <c r="N45" i="21"/>
  <c r="B45" i="21"/>
  <c r="A45" i="21"/>
  <c r="N44" i="21"/>
  <c r="B44" i="21"/>
  <c r="A44" i="21"/>
  <c r="N43" i="21"/>
  <c r="J43" i="21"/>
  <c r="B43" i="21"/>
  <c r="A43" i="21"/>
  <c r="N42" i="21"/>
  <c r="B42" i="21"/>
  <c r="A42" i="21"/>
  <c r="N41" i="21"/>
  <c r="J41" i="21"/>
  <c r="B41" i="21"/>
  <c r="A41" i="21"/>
  <c r="N40" i="21"/>
  <c r="B40" i="21"/>
  <c r="A40" i="21"/>
  <c r="N39" i="21"/>
  <c r="J39" i="21"/>
  <c r="A39" i="21"/>
  <c r="B37" i="21"/>
  <c r="A37" i="21"/>
  <c r="B36" i="21"/>
  <c r="A36" i="21"/>
  <c r="B35" i="21"/>
  <c r="A35" i="21"/>
  <c r="B34" i="21"/>
  <c r="A34" i="21"/>
  <c r="B33" i="21"/>
  <c r="A33" i="21"/>
  <c r="Q32" i="21"/>
  <c r="G32" i="21"/>
  <c r="J32" i="21" s="1"/>
  <c r="B32" i="21"/>
  <c r="A32" i="21"/>
  <c r="G31" i="21"/>
  <c r="J31" i="21" s="1"/>
  <c r="B31" i="21"/>
  <c r="A31" i="21"/>
  <c r="O30" i="21"/>
  <c r="G30" i="21"/>
  <c r="J30" i="21" s="1"/>
  <c r="B30" i="21"/>
  <c r="A30" i="21"/>
  <c r="G29" i="21"/>
  <c r="J29" i="21" s="1"/>
  <c r="B29" i="21"/>
  <c r="A29" i="21"/>
  <c r="G28" i="21"/>
  <c r="J28" i="21" s="1"/>
  <c r="A28" i="21"/>
  <c r="G27" i="21"/>
  <c r="J27" i="21" s="1"/>
  <c r="G26" i="21"/>
  <c r="J26" i="21" s="1"/>
  <c r="F26" i="21"/>
  <c r="B26" i="21"/>
  <c r="A26" i="21"/>
  <c r="Q25" i="21"/>
  <c r="G25" i="21"/>
  <c r="J25" i="21" s="1"/>
  <c r="B25" i="21"/>
  <c r="A25" i="21"/>
  <c r="Q24" i="21"/>
  <c r="I24" i="21"/>
  <c r="C30" i="21" s="1"/>
  <c r="L28" i="1" s="1"/>
  <c r="G24" i="21"/>
  <c r="J24" i="21" s="1"/>
  <c r="B24" i="21"/>
  <c r="A24" i="21"/>
  <c r="G23" i="21"/>
  <c r="J23" i="21" s="1"/>
  <c r="B23" i="21"/>
  <c r="A23" i="21"/>
  <c r="B22" i="21"/>
  <c r="A22" i="21"/>
  <c r="B21" i="21"/>
  <c r="A21" i="21"/>
  <c r="B20" i="21"/>
  <c r="A20" i="21"/>
  <c r="B19" i="21"/>
  <c r="A19" i="21"/>
  <c r="B18" i="21"/>
  <c r="A18" i="21"/>
  <c r="B17" i="21"/>
  <c r="A17" i="21"/>
  <c r="B16" i="21"/>
  <c r="A16" i="21"/>
  <c r="B15" i="21"/>
  <c r="A15" i="21"/>
  <c r="A14" i="21"/>
  <c r="B13" i="21"/>
  <c r="A13" i="21"/>
  <c r="B12" i="21"/>
  <c r="A12" i="21"/>
  <c r="B11" i="21"/>
  <c r="A11" i="21"/>
  <c r="B10" i="21"/>
  <c r="A10" i="21"/>
  <c r="B9" i="21"/>
  <c r="A9" i="21"/>
  <c r="N8" i="21"/>
  <c r="B8" i="21"/>
  <c r="A8" i="21"/>
  <c r="B7" i="21"/>
  <c r="A7" i="21"/>
  <c r="B6" i="21"/>
  <c r="A6" i="21"/>
  <c r="A5" i="21"/>
  <c r="K107" i="1"/>
  <c r="K93" i="1"/>
  <c r="M93" i="1" s="1"/>
  <c r="K85" i="1"/>
  <c r="M85" i="1" s="1"/>
  <c r="K62" i="1"/>
  <c r="M62" i="1" s="1"/>
  <c r="K35" i="1"/>
  <c r="M35" i="1" s="1"/>
  <c r="K27" i="1"/>
  <c r="M27" i="1" s="1"/>
  <c r="L17" i="1"/>
  <c r="C19" i="21" s="1"/>
  <c r="L15" i="1"/>
  <c r="L12" i="1"/>
  <c r="C14" i="21" s="1"/>
  <c r="I96" i="1"/>
  <c r="I95" i="1"/>
  <c r="I94" i="1"/>
  <c r="I93" i="1"/>
  <c r="I92" i="1"/>
  <c r="I91" i="1"/>
  <c r="I90" i="1"/>
  <c r="I89" i="1"/>
  <c r="K89" i="1" s="1"/>
  <c r="M89" i="1" s="1"/>
  <c r="I88" i="1"/>
  <c r="K88" i="1" s="1"/>
  <c r="M88" i="1" s="1"/>
  <c r="I87" i="1"/>
  <c r="K87" i="1" s="1"/>
  <c r="M87" i="1" s="1"/>
  <c r="I86" i="1"/>
  <c r="K86" i="1" s="1"/>
  <c r="M86" i="1" s="1"/>
  <c r="I85" i="1"/>
  <c r="I84" i="1"/>
  <c r="K84" i="1" s="1"/>
  <c r="M84" i="1" s="1"/>
  <c r="I83" i="1"/>
  <c r="K83" i="1" s="1"/>
  <c r="M83" i="1" s="1"/>
  <c r="I82" i="1"/>
  <c r="K82" i="1" s="1"/>
  <c r="M82" i="1" s="1"/>
  <c r="I81" i="1"/>
  <c r="K81" i="1" s="1"/>
  <c r="M81" i="1" s="1"/>
  <c r="I79" i="1"/>
  <c r="K79" i="1" s="1"/>
  <c r="M79" i="1" s="1"/>
  <c r="I78" i="1"/>
  <c r="K78" i="1" s="1"/>
  <c r="M78" i="1" s="1"/>
  <c r="I77" i="1"/>
  <c r="K77" i="1" s="1"/>
  <c r="M77" i="1" s="1"/>
  <c r="I75" i="1"/>
  <c r="K75" i="1" s="1"/>
  <c r="M75" i="1" s="1"/>
  <c r="I74" i="1"/>
  <c r="K74" i="1" s="1"/>
  <c r="M74" i="1" s="1"/>
  <c r="I73" i="1"/>
  <c r="K73" i="1" s="1"/>
  <c r="M73" i="1" s="1"/>
  <c r="I69" i="1"/>
  <c r="K69" i="1" s="1"/>
  <c r="M69" i="1" s="1"/>
  <c r="I68" i="1"/>
  <c r="K68" i="1" s="1"/>
  <c r="M68" i="1" s="1"/>
  <c r="I67" i="1"/>
  <c r="K67" i="1" s="1"/>
  <c r="M67" i="1" s="1"/>
  <c r="I66" i="1"/>
  <c r="K66" i="1" s="1"/>
  <c r="M66" i="1" s="1"/>
  <c r="I65" i="1"/>
  <c r="K65" i="1" s="1"/>
  <c r="M65" i="1" s="1"/>
  <c r="I62" i="1"/>
  <c r="I61" i="1"/>
  <c r="K61" i="1" s="1"/>
  <c r="M61" i="1" s="1"/>
  <c r="I60" i="1"/>
  <c r="K60" i="1" s="1"/>
  <c r="M60" i="1" s="1"/>
  <c r="I59" i="1"/>
  <c r="K59" i="1" s="1"/>
  <c r="M59" i="1" s="1"/>
  <c r="I58" i="1"/>
  <c r="K58" i="1" s="1"/>
  <c r="M58" i="1" s="1"/>
  <c r="I57" i="1"/>
  <c r="K57" i="1" s="1"/>
  <c r="M57" i="1" s="1"/>
  <c r="I56" i="1"/>
  <c r="K56" i="1" s="1"/>
  <c r="M56" i="1" s="1"/>
  <c r="I55" i="1"/>
  <c r="K55" i="1" s="1"/>
  <c r="M55" i="1" s="1"/>
  <c r="I54" i="1"/>
  <c r="K54" i="1" s="1"/>
  <c r="M54" i="1" s="1"/>
  <c r="I53" i="1"/>
  <c r="K53" i="1" s="1"/>
  <c r="M53" i="1" s="1"/>
  <c r="I52" i="1"/>
  <c r="K52" i="1" s="1"/>
  <c r="M52" i="1" s="1"/>
  <c r="I51" i="1"/>
  <c r="K51" i="1" s="1"/>
  <c r="M51" i="1" s="1"/>
  <c r="I50" i="1"/>
  <c r="K50" i="1" s="1"/>
  <c r="M50" i="1" s="1"/>
  <c r="I49" i="1"/>
  <c r="K49" i="1" s="1"/>
  <c r="M49" i="1" s="1"/>
  <c r="I46" i="1"/>
  <c r="K46" i="1" s="1"/>
  <c r="M46" i="1" s="1"/>
  <c r="I45" i="1"/>
  <c r="K45" i="1" s="1"/>
  <c r="M45" i="1" s="1"/>
  <c r="I44" i="1"/>
  <c r="K44" i="1" s="1"/>
  <c r="M44" i="1" s="1"/>
  <c r="I43" i="1"/>
  <c r="K43" i="1" s="1"/>
  <c r="M43" i="1" s="1"/>
  <c r="I42" i="1"/>
  <c r="K42" i="1" s="1"/>
  <c r="M42" i="1" s="1"/>
  <c r="I41" i="1"/>
  <c r="K41" i="1" s="1"/>
  <c r="M41" i="1" s="1"/>
  <c r="I40" i="1"/>
  <c r="K40" i="1" s="1"/>
  <c r="M40" i="1" s="1"/>
  <c r="I39" i="1"/>
  <c r="K39" i="1" s="1"/>
  <c r="M39" i="1" s="1"/>
  <c r="I38" i="1"/>
  <c r="K38" i="1" s="1"/>
  <c r="M38" i="1" s="1"/>
  <c r="I36" i="1"/>
  <c r="K36" i="1" s="1"/>
  <c r="M36" i="1" s="1"/>
  <c r="I35" i="1"/>
  <c r="I34" i="1"/>
  <c r="K34" i="1" s="1"/>
  <c r="M34" i="1" s="1"/>
  <c r="I33" i="1"/>
  <c r="K33" i="1" s="1"/>
  <c r="M33" i="1" s="1"/>
  <c r="I32" i="1"/>
  <c r="K32" i="1" s="1"/>
  <c r="M32" i="1" s="1"/>
  <c r="I31" i="1"/>
  <c r="K31" i="1" s="1"/>
  <c r="M31" i="1" s="1"/>
  <c r="I30" i="1"/>
  <c r="K30" i="1" s="1"/>
  <c r="M30" i="1" s="1"/>
  <c r="I29" i="1"/>
  <c r="K29" i="1" s="1"/>
  <c r="M29" i="1" s="1"/>
  <c r="I28" i="1"/>
  <c r="K28" i="1" s="1"/>
  <c r="M28" i="1" s="1"/>
  <c r="I27" i="1"/>
  <c r="I24" i="1"/>
  <c r="K24" i="1" s="1"/>
  <c r="M24" i="1" s="1"/>
  <c r="I23" i="1"/>
  <c r="K23" i="1" s="1"/>
  <c r="M23" i="1" s="1"/>
  <c r="I22" i="1"/>
  <c r="K22" i="1" s="1"/>
  <c r="M22" i="1" s="1"/>
  <c r="I21" i="1"/>
  <c r="K21" i="1" s="1"/>
  <c r="M21" i="1" s="1"/>
  <c r="I20" i="1"/>
  <c r="K20" i="1" s="1"/>
  <c r="M20" i="1" s="1"/>
  <c r="I19" i="1"/>
  <c r="K19" i="1" s="1"/>
  <c r="M19" i="1" s="1"/>
  <c r="I18" i="1"/>
  <c r="K18" i="1" s="1"/>
  <c r="M18" i="1" s="1"/>
  <c r="I17" i="1"/>
  <c r="K17" i="1" s="1"/>
  <c r="M17" i="1" s="1"/>
  <c r="I16" i="1"/>
  <c r="K16" i="1" s="1"/>
  <c r="M16" i="1" s="1"/>
  <c r="I15" i="1"/>
  <c r="K15" i="1" s="1"/>
  <c r="M15" i="1" s="1"/>
  <c r="I14" i="1"/>
  <c r="K14" i="1" s="1"/>
  <c r="M14" i="1" s="1"/>
  <c r="I13" i="1"/>
  <c r="K13" i="1" s="1"/>
  <c r="M13" i="1" s="1"/>
  <c r="I12" i="1"/>
  <c r="K12" i="1" s="1"/>
  <c r="M12" i="1" s="1"/>
  <c r="I11" i="1"/>
  <c r="K11" i="1" s="1"/>
  <c r="M11" i="1" s="1"/>
  <c r="I10" i="1"/>
  <c r="K10" i="1" s="1"/>
  <c r="M10" i="1" s="1"/>
  <c r="I9" i="1"/>
  <c r="K9" i="1" s="1"/>
  <c r="M9" i="1" s="1"/>
  <c r="I8" i="1"/>
  <c r="K8" i="1" s="1"/>
  <c r="M8" i="1" s="1"/>
  <c r="I7" i="1"/>
  <c r="K7" i="1" s="1"/>
  <c r="M7" i="1" s="1"/>
  <c r="I6" i="1"/>
  <c r="K6" i="1" s="1"/>
  <c r="M6" i="1" s="1"/>
  <c r="I5" i="1"/>
  <c r="K5" i="1" s="1"/>
  <c r="M5" i="1" s="1"/>
  <c r="I4" i="1"/>
  <c r="K4" i="1" s="1"/>
  <c r="M4" i="1" s="1"/>
  <c r="O72" i="2"/>
  <c r="J36" i="1"/>
  <c r="J37" i="1"/>
  <c r="J47" i="1"/>
  <c r="J48" i="1"/>
  <c r="J63" i="1"/>
  <c r="J64" i="1"/>
  <c r="J70" i="1"/>
  <c r="J71" i="1"/>
  <c r="J72" i="1"/>
  <c r="J76" i="1"/>
  <c r="J80" i="1"/>
  <c r="J97" i="1"/>
  <c r="C7" i="20"/>
  <c r="C8" i="20"/>
  <c r="C9" i="20"/>
  <c r="N7" i="20" s="1"/>
  <c r="C10" i="20"/>
  <c r="C11" i="20"/>
  <c r="N8" i="20" s="1"/>
  <c r="C13" i="20"/>
  <c r="C15" i="20"/>
  <c r="C20" i="20"/>
  <c r="F7" i="20" s="1"/>
  <c r="O68" i="20" s="1"/>
  <c r="C21" i="20"/>
  <c r="F8" i="20" s="1"/>
  <c r="O66" i="20" s="1"/>
  <c r="C22" i="20"/>
  <c r="F9" i="20" s="1"/>
  <c r="O64" i="20" s="1"/>
  <c r="C23" i="20"/>
  <c r="C24" i="20"/>
  <c r="C25" i="20"/>
  <c r="F12" i="20" s="1"/>
  <c r="C26" i="20"/>
  <c r="C6" i="20"/>
  <c r="N14" i="20" s="1"/>
  <c r="B98" i="20"/>
  <c r="A98" i="20"/>
  <c r="B97" i="20"/>
  <c r="A97" i="20"/>
  <c r="B96" i="20"/>
  <c r="A96" i="20"/>
  <c r="B95" i="20"/>
  <c r="A95" i="20"/>
  <c r="B94" i="20"/>
  <c r="A94" i="20"/>
  <c r="B93" i="20"/>
  <c r="A93" i="20"/>
  <c r="B92" i="20"/>
  <c r="A92" i="20"/>
  <c r="M91" i="20"/>
  <c r="B91" i="20"/>
  <c r="A91" i="20"/>
  <c r="M90" i="20"/>
  <c r="B90" i="20"/>
  <c r="A90" i="20"/>
  <c r="M89" i="20"/>
  <c r="B89" i="20"/>
  <c r="A89" i="20"/>
  <c r="M88" i="20"/>
  <c r="M92" i="20" s="1"/>
  <c r="B88" i="20"/>
  <c r="A88" i="20"/>
  <c r="B87" i="20"/>
  <c r="A87" i="20"/>
  <c r="B86" i="20"/>
  <c r="A86" i="20"/>
  <c r="B85" i="20"/>
  <c r="A85" i="20"/>
  <c r="B84" i="20"/>
  <c r="A84" i="20"/>
  <c r="B83" i="20"/>
  <c r="A83" i="20"/>
  <c r="A82" i="20"/>
  <c r="B81" i="20"/>
  <c r="A81" i="20"/>
  <c r="B80" i="20"/>
  <c r="A80" i="20"/>
  <c r="B79" i="20"/>
  <c r="A79" i="20"/>
  <c r="A78" i="20"/>
  <c r="B77" i="20"/>
  <c r="A77" i="20"/>
  <c r="B76" i="20"/>
  <c r="A76" i="20"/>
  <c r="B75" i="20"/>
  <c r="A75" i="20"/>
  <c r="A74" i="20"/>
  <c r="A73" i="20"/>
  <c r="L72" i="20"/>
  <c r="L73" i="20" s="1"/>
  <c r="L74" i="20" s="1"/>
  <c r="L75" i="20" s="1"/>
  <c r="L76" i="20" s="1"/>
  <c r="L77" i="20" s="1"/>
  <c r="L78" i="20" s="1"/>
  <c r="L79" i="20" s="1"/>
  <c r="L80" i="20" s="1"/>
  <c r="L71" i="20"/>
  <c r="B71" i="20"/>
  <c r="A71" i="20"/>
  <c r="B70" i="20"/>
  <c r="A70" i="20"/>
  <c r="B69" i="20"/>
  <c r="A69" i="20"/>
  <c r="B68" i="20"/>
  <c r="A68" i="20"/>
  <c r="L67" i="20"/>
  <c r="C67" i="20"/>
  <c r="J65" i="1" s="1"/>
  <c r="B67" i="20"/>
  <c r="A67" i="20"/>
  <c r="A66" i="20"/>
  <c r="B64" i="20"/>
  <c r="A64" i="20"/>
  <c r="B63" i="20"/>
  <c r="A63" i="20"/>
  <c r="B62" i="20"/>
  <c r="A62" i="20"/>
  <c r="B61" i="20"/>
  <c r="A61" i="20"/>
  <c r="B60" i="20"/>
  <c r="A60" i="20"/>
  <c r="B59" i="20"/>
  <c r="A59" i="20"/>
  <c r="B58" i="20"/>
  <c r="A58" i="20"/>
  <c r="B57" i="20"/>
  <c r="A57" i="20"/>
  <c r="B56" i="20"/>
  <c r="A56" i="20"/>
  <c r="B55" i="20"/>
  <c r="A55" i="20"/>
  <c r="B54" i="20"/>
  <c r="A54" i="20"/>
  <c r="B53" i="20"/>
  <c r="A53" i="20"/>
  <c r="B52" i="20"/>
  <c r="A52" i="20"/>
  <c r="B51" i="20"/>
  <c r="A51" i="20"/>
  <c r="N50" i="20"/>
  <c r="A50" i="20"/>
  <c r="N49" i="20"/>
  <c r="J49" i="20"/>
  <c r="N48" i="20"/>
  <c r="J48" i="20"/>
  <c r="B48" i="20"/>
  <c r="A48" i="20"/>
  <c r="N47" i="20"/>
  <c r="B47" i="20"/>
  <c r="A47" i="20"/>
  <c r="B46" i="20"/>
  <c r="A46" i="20"/>
  <c r="N45" i="20"/>
  <c r="B45" i="20"/>
  <c r="A45" i="20"/>
  <c r="N44" i="20"/>
  <c r="B44" i="20"/>
  <c r="A44" i="20"/>
  <c r="N43" i="20"/>
  <c r="J43" i="20"/>
  <c r="B43" i="20"/>
  <c r="A43" i="20"/>
  <c r="N42" i="20"/>
  <c r="B42" i="20"/>
  <c r="A42" i="20"/>
  <c r="N41" i="20"/>
  <c r="J41" i="20"/>
  <c r="B41" i="20"/>
  <c r="A41" i="20"/>
  <c r="N40" i="20"/>
  <c r="B40" i="20"/>
  <c r="A40" i="20"/>
  <c r="N39" i="20"/>
  <c r="J39" i="20"/>
  <c r="A39" i="20"/>
  <c r="B37" i="20"/>
  <c r="A37" i="20"/>
  <c r="B36" i="20"/>
  <c r="A36" i="20"/>
  <c r="B35" i="20"/>
  <c r="A35" i="20"/>
  <c r="B34" i="20"/>
  <c r="A34" i="20"/>
  <c r="B33" i="20"/>
  <c r="A33" i="20"/>
  <c r="Q32" i="20"/>
  <c r="G32" i="20"/>
  <c r="J32" i="20" s="1"/>
  <c r="B32" i="20"/>
  <c r="A32" i="20"/>
  <c r="G31" i="20"/>
  <c r="J31" i="20" s="1"/>
  <c r="B31" i="20"/>
  <c r="A31" i="20"/>
  <c r="O30" i="20"/>
  <c r="G30" i="20" s="1"/>
  <c r="J30" i="20" s="1"/>
  <c r="B30" i="20"/>
  <c r="A30" i="20"/>
  <c r="G29" i="20"/>
  <c r="J29" i="20" s="1"/>
  <c r="B29" i="20"/>
  <c r="A29" i="20"/>
  <c r="G28" i="20"/>
  <c r="J28" i="20" s="1"/>
  <c r="A28" i="20"/>
  <c r="G27" i="20"/>
  <c r="J27" i="20" s="1"/>
  <c r="G26" i="20"/>
  <c r="J26" i="20" s="1"/>
  <c r="F26" i="20"/>
  <c r="F6" i="20"/>
  <c r="B26" i="20"/>
  <c r="A26" i="20"/>
  <c r="Q25" i="20"/>
  <c r="G25" i="20"/>
  <c r="J25" i="20" s="1"/>
  <c r="B25" i="20"/>
  <c r="A25" i="20"/>
  <c r="Q24" i="20"/>
  <c r="I24" i="20"/>
  <c r="N24" i="20" s="1"/>
  <c r="P24" i="20" s="1"/>
  <c r="G24" i="20"/>
  <c r="J24" i="20" s="1"/>
  <c r="B24" i="20"/>
  <c r="A24" i="20"/>
  <c r="G23" i="20"/>
  <c r="J23" i="20" s="1"/>
  <c r="B23" i="20"/>
  <c r="A23" i="20"/>
  <c r="B22" i="20"/>
  <c r="A22" i="20"/>
  <c r="B21" i="20"/>
  <c r="A21" i="20"/>
  <c r="B20" i="20"/>
  <c r="A20" i="20"/>
  <c r="B19" i="20"/>
  <c r="A19" i="20"/>
  <c r="B18" i="20"/>
  <c r="A18" i="20"/>
  <c r="B17" i="20"/>
  <c r="A17" i="20"/>
  <c r="B16" i="20"/>
  <c r="A16" i="20"/>
  <c r="B15" i="20"/>
  <c r="A15" i="20"/>
  <c r="A14" i="20"/>
  <c r="N10" i="20"/>
  <c r="N5" i="20"/>
  <c r="B13" i="20"/>
  <c r="A13" i="20"/>
  <c r="B12" i="20"/>
  <c r="A12" i="20"/>
  <c r="F11" i="20"/>
  <c r="O70" i="20" s="1"/>
  <c r="O69" i="20" s="1"/>
  <c r="B11" i="20"/>
  <c r="A11" i="20"/>
  <c r="B10" i="20"/>
  <c r="A10" i="20"/>
  <c r="B9" i="20"/>
  <c r="A9" i="20"/>
  <c r="B8" i="20"/>
  <c r="A8" i="20"/>
  <c r="B7" i="20"/>
  <c r="A7" i="20"/>
  <c r="B6" i="20"/>
  <c r="A6" i="20"/>
  <c r="A5" i="20"/>
  <c r="J12" i="1"/>
  <c r="C14" i="20" s="1"/>
  <c r="J14" i="1"/>
  <c r="I28" i="19" s="1"/>
  <c r="J15" i="1"/>
  <c r="J17" i="1"/>
  <c r="C19" i="20" s="1"/>
  <c r="I107" i="1"/>
  <c r="E19" i="19"/>
  <c r="F19" i="19"/>
  <c r="E20" i="19"/>
  <c r="E21" i="19"/>
  <c r="E22" i="19"/>
  <c r="E23" i="19"/>
  <c r="E24" i="19"/>
  <c r="E25" i="19"/>
  <c r="E5" i="19"/>
  <c r="F5" i="19"/>
  <c r="E6" i="19"/>
  <c r="F6" i="19"/>
  <c r="E7" i="19"/>
  <c r="F7" i="19"/>
  <c r="E8" i="19"/>
  <c r="F8" i="19"/>
  <c r="E9" i="19"/>
  <c r="F9" i="19"/>
  <c r="E3" i="19"/>
  <c r="F3" i="19"/>
  <c r="E4" i="19"/>
  <c r="F4" i="19"/>
  <c r="C17" i="21" l="1"/>
  <c r="J30" i="19"/>
  <c r="L14" i="1"/>
  <c r="J28" i="19" s="1"/>
  <c r="J29" i="19" s="1"/>
  <c r="C17" i="20"/>
  <c r="I30" i="19"/>
  <c r="C12" i="21"/>
  <c r="N13" i="21" s="1"/>
  <c r="N69" i="21" s="1"/>
  <c r="P69" i="21" s="1"/>
  <c r="C80" i="21" s="1"/>
  <c r="L78" i="1" s="1"/>
  <c r="O74" i="22"/>
  <c r="P74" i="22" s="1"/>
  <c r="C12" i="20"/>
  <c r="N13" i="20" s="1"/>
  <c r="C16" i="2"/>
  <c r="H28" i="19"/>
  <c r="H29" i="19" s="1"/>
  <c r="H26" i="21"/>
  <c r="C12" i="23"/>
  <c r="N14" i="1"/>
  <c r="N11" i="23"/>
  <c r="C41" i="23"/>
  <c r="N39" i="1" s="1"/>
  <c r="K92" i="1"/>
  <c r="M92" i="1" s="1"/>
  <c r="I108" i="1"/>
  <c r="K94" i="1"/>
  <c r="M94" i="1" s="1"/>
  <c r="K95" i="1"/>
  <c r="M95" i="1" s="1"/>
  <c r="K96" i="1"/>
  <c r="M96" i="1" s="1"/>
  <c r="K108" i="1"/>
  <c r="K90" i="1"/>
  <c r="M90" i="1" s="1"/>
  <c r="K91" i="1"/>
  <c r="M91" i="1" s="1"/>
  <c r="L16" i="1"/>
  <c r="C18" i="21" s="1"/>
  <c r="C16" i="21"/>
  <c r="N68" i="21"/>
  <c r="P68" i="21" s="1"/>
  <c r="C16" i="20"/>
  <c r="C41" i="22"/>
  <c r="F39" i="1" s="1"/>
  <c r="C85" i="22"/>
  <c r="F83" i="1" s="1"/>
  <c r="C79" i="22"/>
  <c r="F77" i="1" s="1"/>
  <c r="N66" i="22"/>
  <c r="P66" i="22" s="1"/>
  <c r="N64" i="22"/>
  <c r="P64" i="22" s="1"/>
  <c r="N12" i="22"/>
  <c r="I27" i="22" s="1"/>
  <c r="O65" i="21"/>
  <c r="N4" i="21"/>
  <c r="N3" i="21"/>
  <c r="C84" i="21"/>
  <c r="L82" i="1" s="1"/>
  <c r="N24" i="21"/>
  <c r="P24" i="21" s="1"/>
  <c r="R24" i="21" s="1"/>
  <c r="N3" i="20"/>
  <c r="N64" i="20" s="1"/>
  <c r="P64" i="20" s="1"/>
  <c r="J16" i="1"/>
  <c r="C18" i="20" s="1"/>
  <c r="N69" i="20"/>
  <c r="P69" i="20" s="1"/>
  <c r="C80" i="20" s="1"/>
  <c r="J78" i="1" s="1"/>
  <c r="C30" i="20"/>
  <c r="J28" i="1" s="1"/>
  <c r="H26" i="20"/>
  <c r="O65" i="20"/>
  <c r="C84" i="20"/>
  <c r="J82" i="1" s="1"/>
  <c r="N4" i="20"/>
  <c r="R24" i="20"/>
  <c r="N16" i="21" l="1"/>
  <c r="N72" i="21" s="1"/>
  <c r="P72" i="21" s="1"/>
  <c r="N68" i="20"/>
  <c r="P68" i="20" s="1"/>
  <c r="N16" i="20"/>
  <c r="N72" i="20" s="1"/>
  <c r="P72" i="20" s="1"/>
  <c r="C16" i="23"/>
  <c r="K28" i="19"/>
  <c r="K29" i="19" s="1"/>
  <c r="K31" i="19" s="1"/>
  <c r="I29" i="19"/>
  <c r="I31" i="19"/>
  <c r="J31" i="19"/>
  <c r="N13" i="23"/>
  <c r="N68" i="23"/>
  <c r="P68" i="23" s="1"/>
  <c r="C79" i="23" s="1"/>
  <c r="N77" i="1" s="1"/>
  <c r="N16" i="23"/>
  <c r="N72" i="23" s="1"/>
  <c r="P72" i="23" s="1"/>
  <c r="K109" i="1"/>
  <c r="I109" i="1"/>
  <c r="C77" i="22"/>
  <c r="F75" i="1" s="1"/>
  <c r="I23" i="22"/>
  <c r="I25" i="22"/>
  <c r="N65" i="22"/>
  <c r="P65" i="22" s="1"/>
  <c r="O76" i="22" s="1"/>
  <c r="P76" i="22" s="1"/>
  <c r="I26" i="22"/>
  <c r="I31" i="22"/>
  <c r="I32" i="22"/>
  <c r="N32" i="22" s="1"/>
  <c r="P32" i="22" s="1"/>
  <c r="R32" i="22" s="1"/>
  <c r="C75" i="22"/>
  <c r="F73" i="1" s="1"/>
  <c r="C41" i="21"/>
  <c r="L39" i="1" s="1"/>
  <c r="N11" i="21"/>
  <c r="N66" i="21"/>
  <c r="P66" i="21" s="1"/>
  <c r="N64" i="21"/>
  <c r="P64" i="21" s="1"/>
  <c r="N12" i="21"/>
  <c r="C79" i="21"/>
  <c r="L77" i="1" s="1"/>
  <c r="N66" i="20"/>
  <c r="P66" i="20" s="1"/>
  <c r="C77" i="20" s="1"/>
  <c r="J75" i="1" s="1"/>
  <c r="J108" i="1" s="1"/>
  <c r="I21" i="19" s="1"/>
  <c r="C75" i="20"/>
  <c r="J73" i="1" s="1"/>
  <c r="J107" i="1" s="1"/>
  <c r="I20" i="19" s="1"/>
  <c r="C41" i="20"/>
  <c r="J39" i="1" s="1"/>
  <c r="C79" i="20"/>
  <c r="J77" i="1" s="1"/>
  <c r="N11" i="20"/>
  <c r="N12" i="20"/>
  <c r="I31" i="20" s="1"/>
  <c r="C83" i="20" l="1"/>
  <c r="J81" i="1" s="1"/>
  <c r="J109" i="1" s="1"/>
  <c r="I22" i="19" s="1"/>
  <c r="O74" i="20"/>
  <c r="P74" i="20" s="1"/>
  <c r="C85" i="20" s="1"/>
  <c r="J83" i="1" s="1"/>
  <c r="O74" i="21"/>
  <c r="P74" i="21" s="1"/>
  <c r="C85" i="21" s="1"/>
  <c r="L83" i="1" s="1"/>
  <c r="C83" i="21"/>
  <c r="L81" i="1" s="1"/>
  <c r="L109" i="1" s="1"/>
  <c r="J22" i="19" s="1"/>
  <c r="C83" i="23"/>
  <c r="N81" i="1" s="1"/>
  <c r="N109" i="1" s="1"/>
  <c r="K22" i="19" s="1"/>
  <c r="O74" i="23"/>
  <c r="P74" i="23" s="1"/>
  <c r="C85" i="23" s="1"/>
  <c r="N83" i="1" s="1"/>
  <c r="N3" i="23"/>
  <c r="N69" i="23"/>
  <c r="P69" i="23" s="1"/>
  <c r="C80" i="23" s="1"/>
  <c r="N78" i="1" s="1"/>
  <c r="I110" i="1"/>
  <c r="K110" i="1"/>
  <c r="C87" i="22"/>
  <c r="F85" i="1" s="1"/>
  <c r="C37" i="22"/>
  <c r="F35" i="1" s="1"/>
  <c r="N31" i="22"/>
  <c r="P31" i="22" s="1"/>
  <c r="I30" i="22"/>
  <c r="I29" i="22"/>
  <c r="C33" i="22"/>
  <c r="F31" i="1" s="1"/>
  <c r="N27" i="22"/>
  <c r="P27" i="22" s="1"/>
  <c r="I28" i="22"/>
  <c r="C32" i="22"/>
  <c r="F30" i="1" s="1"/>
  <c r="N26" i="22"/>
  <c r="P26" i="22" s="1"/>
  <c r="N25" i="22"/>
  <c r="P25" i="22" s="1"/>
  <c r="R25" i="22" s="1"/>
  <c r="C31" i="22"/>
  <c r="F29" i="1" s="1"/>
  <c r="N23" i="22"/>
  <c r="P23" i="22" s="1"/>
  <c r="C29" i="22"/>
  <c r="F27" i="1" s="1"/>
  <c r="C76" i="22"/>
  <c r="F74" i="1" s="1"/>
  <c r="P81" i="22"/>
  <c r="C75" i="21"/>
  <c r="L73" i="1" s="1"/>
  <c r="L107" i="1" s="1"/>
  <c r="J20" i="19" s="1"/>
  <c r="I23" i="21"/>
  <c r="I25" i="21"/>
  <c r="I27" i="21"/>
  <c r="I26" i="21"/>
  <c r="N65" i="21"/>
  <c r="P65" i="21" s="1"/>
  <c r="P81" i="21" s="1"/>
  <c r="Q66" i="21" s="1"/>
  <c r="C77" i="21"/>
  <c r="L75" i="1" s="1"/>
  <c r="L108" i="1" s="1"/>
  <c r="J21" i="19" s="1"/>
  <c r="I32" i="21"/>
  <c r="N32" i="21" s="1"/>
  <c r="P32" i="21" s="1"/>
  <c r="R32" i="21" s="1"/>
  <c r="I31" i="21"/>
  <c r="I32" i="20"/>
  <c r="N32" i="20" s="1"/>
  <c r="P32" i="20" s="1"/>
  <c r="R32" i="20" s="1"/>
  <c r="C37" i="20"/>
  <c r="J35" i="1" s="1"/>
  <c r="N31" i="20"/>
  <c r="P31" i="20" s="1"/>
  <c r="I25" i="20"/>
  <c r="I23" i="20"/>
  <c r="I27" i="20"/>
  <c r="I26" i="20"/>
  <c r="N65" i="20"/>
  <c r="P65" i="20" s="1"/>
  <c r="N66" i="23" l="1"/>
  <c r="P66" i="23" s="1"/>
  <c r="C77" i="23" s="1"/>
  <c r="N75" i="1" s="1"/>
  <c r="N108" i="1" s="1"/>
  <c r="K21" i="19" s="1"/>
  <c r="N64" i="23"/>
  <c r="P64" i="23" s="1"/>
  <c r="N12" i="23"/>
  <c r="K111" i="1"/>
  <c r="Q27" i="22"/>
  <c r="R27" i="22" s="1"/>
  <c r="C44" i="22" s="1"/>
  <c r="F42" i="1" s="1"/>
  <c r="I111" i="1"/>
  <c r="O76" i="21"/>
  <c r="P76" i="21" s="1"/>
  <c r="C87" i="21" s="1"/>
  <c r="L85" i="1" s="1"/>
  <c r="Q31" i="22"/>
  <c r="R31" i="22" s="1"/>
  <c r="C48" i="22" s="1"/>
  <c r="F46" i="1" s="1"/>
  <c r="Q23" i="22"/>
  <c r="R23" i="22" s="1"/>
  <c r="C40" i="22" s="1"/>
  <c r="F38" i="1" s="1"/>
  <c r="C42" i="22"/>
  <c r="F40" i="1" s="1"/>
  <c r="Q26" i="22"/>
  <c r="R26" i="22" s="1"/>
  <c r="C92" i="22"/>
  <c r="F90" i="1" s="1"/>
  <c r="O89" i="22"/>
  <c r="Q66" i="22"/>
  <c r="Q64" i="22"/>
  <c r="C34" i="22"/>
  <c r="F32" i="1" s="1"/>
  <c r="N28" i="22"/>
  <c r="P28" i="22" s="1"/>
  <c r="C35" i="22"/>
  <c r="F33" i="1" s="1"/>
  <c r="N29" i="22"/>
  <c r="P29" i="22" s="1"/>
  <c r="N70" i="22"/>
  <c r="P70" i="22" s="1"/>
  <c r="C36" i="22"/>
  <c r="F34" i="1" s="1"/>
  <c r="N30" i="22"/>
  <c r="P30" i="22" s="1"/>
  <c r="Q65" i="22"/>
  <c r="O76" i="20"/>
  <c r="P76" i="20" s="1"/>
  <c r="C37" i="21"/>
  <c r="L35" i="1" s="1"/>
  <c r="N31" i="21"/>
  <c r="P31" i="21" s="1"/>
  <c r="C76" i="21"/>
  <c r="L74" i="1" s="1"/>
  <c r="Q65" i="21"/>
  <c r="N25" i="21"/>
  <c r="P25" i="21" s="1"/>
  <c r="R25" i="21" s="1"/>
  <c r="C31" i="21"/>
  <c r="L29" i="1" s="1"/>
  <c r="C29" i="21"/>
  <c r="L27" i="1" s="1"/>
  <c r="N23" i="21"/>
  <c r="P23" i="21" s="1"/>
  <c r="C92" i="21"/>
  <c r="L90" i="1" s="1"/>
  <c r="J3" i="19" s="1"/>
  <c r="O89" i="21"/>
  <c r="C32" i="21"/>
  <c r="L30" i="1" s="1"/>
  <c r="N26" i="21"/>
  <c r="P26" i="21" s="1"/>
  <c r="I29" i="21"/>
  <c r="N27" i="21"/>
  <c r="P27" i="21" s="1"/>
  <c r="I28" i="21"/>
  <c r="C33" i="21"/>
  <c r="L31" i="1" s="1"/>
  <c r="I30" i="21"/>
  <c r="Q64" i="21"/>
  <c r="Q31" i="20"/>
  <c r="R31" i="20" s="1"/>
  <c r="C48" i="20" s="1"/>
  <c r="J46" i="1" s="1"/>
  <c r="C29" i="20"/>
  <c r="J27" i="1" s="1"/>
  <c r="N23" i="20"/>
  <c r="P23" i="20" s="1"/>
  <c r="I29" i="20"/>
  <c r="N27" i="20"/>
  <c r="P27" i="20" s="1"/>
  <c r="I28" i="20"/>
  <c r="C33" i="20"/>
  <c r="J31" i="1" s="1"/>
  <c r="I30" i="20"/>
  <c r="N25" i="20"/>
  <c r="P25" i="20" s="1"/>
  <c r="R25" i="20" s="1"/>
  <c r="C31" i="20"/>
  <c r="J29" i="1" s="1"/>
  <c r="N26" i="20"/>
  <c r="P26" i="20" s="1"/>
  <c r="C32" i="20"/>
  <c r="J30" i="1" s="1"/>
  <c r="C76" i="20"/>
  <c r="J74" i="1" s="1"/>
  <c r="P81" i="20"/>
  <c r="I32" i="23" l="1"/>
  <c r="N32" i="23" s="1"/>
  <c r="P32" i="23" s="1"/>
  <c r="R32" i="23" s="1"/>
  <c r="I23" i="23"/>
  <c r="I26" i="23"/>
  <c r="I25" i="23"/>
  <c r="I27" i="23"/>
  <c r="N65" i="23"/>
  <c r="P65" i="23" s="1"/>
  <c r="I31" i="23"/>
  <c r="C75" i="23"/>
  <c r="N73" i="1" s="1"/>
  <c r="N107" i="1" s="1"/>
  <c r="K20" i="19" s="1"/>
  <c r="I112" i="1"/>
  <c r="K112" i="1"/>
  <c r="Q31" i="21"/>
  <c r="R31" i="21" s="1"/>
  <c r="C48" i="21" s="1"/>
  <c r="L46" i="1" s="1"/>
  <c r="Q29" i="22"/>
  <c r="R29" i="22" s="1"/>
  <c r="C46" i="22" s="1"/>
  <c r="F44" i="1" s="1"/>
  <c r="C81" i="22"/>
  <c r="F79" i="1" s="1"/>
  <c r="P82" i="22"/>
  <c r="O79" i="22"/>
  <c r="P79" i="22" s="1"/>
  <c r="C43" i="22"/>
  <c r="F41" i="1" s="1"/>
  <c r="Q30" i="22"/>
  <c r="R30" i="22" s="1"/>
  <c r="Q28" i="22"/>
  <c r="R28" i="22" s="1"/>
  <c r="C42" i="21"/>
  <c r="L40" i="1" s="1"/>
  <c r="C34" i="21"/>
  <c r="L32" i="1" s="1"/>
  <c r="N28" i="21"/>
  <c r="P28" i="21" s="1"/>
  <c r="Q27" i="21"/>
  <c r="R27" i="21" s="1"/>
  <c r="Q23" i="21"/>
  <c r="R23" i="21" s="1"/>
  <c r="N29" i="21"/>
  <c r="P29" i="21" s="1"/>
  <c r="C35" i="21"/>
  <c r="L33" i="1" s="1"/>
  <c r="Q26" i="21"/>
  <c r="R26" i="21" s="1"/>
  <c r="N70" i="21"/>
  <c r="P70" i="21" s="1"/>
  <c r="C36" i="21"/>
  <c r="L34" i="1" s="1"/>
  <c r="N30" i="21"/>
  <c r="P30" i="21" s="1"/>
  <c r="Q27" i="20"/>
  <c r="R27" i="20" s="1"/>
  <c r="C44" i="20" s="1"/>
  <c r="J42" i="1" s="1"/>
  <c r="Q26" i="20"/>
  <c r="R26" i="20" s="1"/>
  <c r="C35" i="20"/>
  <c r="J33" i="1" s="1"/>
  <c r="N29" i="20"/>
  <c r="P29" i="20" s="1"/>
  <c r="N28" i="20"/>
  <c r="P28" i="20" s="1"/>
  <c r="C34" i="20"/>
  <c r="J32" i="1" s="1"/>
  <c r="C92" i="20"/>
  <c r="J90" i="1" s="1"/>
  <c r="I3" i="19" s="1"/>
  <c r="O89" i="20"/>
  <c r="Q64" i="20"/>
  <c r="Q66" i="20"/>
  <c r="C87" i="20"/>
  <c r="J85" i="1" s="1"/>
  <c r="C42" i="20"/>
  <c r="J40" i="1" s="1"/>
  <c r="Q65" i="20"/>
  <c r="Q23" i="20"/>
  <c r="R23" i="20" s="1"/>
  <c r="C36" i="20"/>
  <c r="J34" i="1" s="1"/>
  <c r="N30" i="20"/>
  <c r="P30" i="20" s="1"/>
  <c r="N70" i="20"/>
  <c r="P70" i="20" s="1"/>
  <c r="I28" i="23" l="1"/>
  <c r="C33" i="23"/>
  <c r="N31" i="1" s="1"/>
  <c r="I30" i="23"/>
  <c r="I29" i="23"/>
  <c r="N27" i="23"/>
  <c r="P27" i="23" s="1"/>
  <c r="Q27" i="23"/>
  <c r="R27" i="23" s="1"/>
  <c r="C44" i="23" s="1"/>
  <c r="N42" i="1" s="1"/>
  <c r="N25" i="23"/>
  <c r="P25" i="23" s="1"/>
  <c r="R25" i="23" s="1"/>
  <c r="C42" i="23" s="1"/>
  <c r="N40" i="1" s="1"/>
  <c r="C31" i="23"/>
  <c r="N29" i="1" s="1"/>
  <c r="N31" i="23"/>
  <c r="P31" i="23" s="1"/>
  <c r="C37" i="23"/>
  <c r="N35" i="1" s="1"/>
  <c r="Q31" i="23"/>
  <c r="R31" i="23" s="1"/>
  <c r="C48" i="23" s="1"/>
  <c r="N46" i="1" s="1"/>
  <c r="C76" i="23"/>
  <c r="N74" i="1" s="1"/>
  <c r="C32" i="23"/>
  <c r="N30" i="1" s="1"/>
  <c r="N26" i="23"/>
  <c r="P26" i="23" s="1"/>
  <c r="O76" i="23"/>
  <c r="P76" i="23" s="1"/>
  <c r="C87" i="23" s="1"/>
  <c r="N85" i="1" s="1"/>
  <c r="C29" i="23"/>
  <c r="N27" i="1" s="1"/>
  <c r="N23" i="23"/>
  <c r="P23" i="23" s="1"/>
  <c r="Q23" i="23"/>
  <c r="R23" i="23" s="1"/>
  <c r="C40" i="23" s="1"/>
  <c r="N38" i="1" s="1"/>
  <c r="P81" i="23"/>
  <c r="C90" i="22"/>
  <c r="F88" i="1" s="1"/>
  <c r="C47" i="22"/>
  <c r="F45" i="1" s="1"/>
  <c r="C93" i="22"/>
  <c r="F91" i="1" s="1"/>
  <c r="G4" i="19" s="1"/>
  <c r="O90" i="22"/>
  <c r="Q69" i="22"/>
  <c r="Q68" i="22"/>
  <c r="Q70" i="22"/>
  <c r="C45" i="22"/>
  <c r="F43" i="1" s="1"/>
  <c r="R33" i="22"/>
  <c r="O79" i="20"/>
  <c r="P79" i="20" s="1"/>
  <c r="O79" i="21"/>
  <c r="P79" i="21" s="1"/>
  <c r="C43" i="21"/>
  <c r="L41" i="1" s="1"/>
  <c r="Q30" i="21"/>
  <c r="R30" i="21" s="1"/>
  <c r="C40" i="21"/>
  <c r="L38" i="1" s="1"/>
  <c r="C81" i="21"/>
  <c r="L79" i="1" s="1"/>
  <c r="L110" i="1" s="1"/>
  <c r="J23" i="19" s="1"/>
  <c r="P82" i="21"/>
  <c r="Q70" i="21" s="1"/>
  <c r="C44" i="21"/>
  <c r="L42" i="1" s="1"/>
  <c r="Q28" i="21"/>
  <c r="R28" i="21" s="1"/>
  <c r="Q29" i="21"/>
  <c r="R29" i="21" s="1"/>
  <c r="Q28" i="20"/>
  <c r="R28" i="20" s="1"/>
  <c r="C45" i="20" s="1"/>
  <c r="J43" i="1" s="1"/>
  <c r="Q30" i="20"/>
  <c r="R30" i="20" s="1"/>
  <c r="C47" i="20" s="1"/>
  <c r="J45" i="1" s="1"/>
  <c r="C81" i="20"/>
  <c r="J79" i="1" s="1"/>
  <c r="J110" i="1" s="1"/>
  <c r="I23" i="19" s="1"/>
  <c r="P82" i="20"/>
  <c r="Q70" i="20" s="1"/>
  <c r="Q29" i="20"/>
  <c r="R29" i="20" s="1"/>
  <c r="C40" i="20"/>
  <c r="J38" i="1" s="1"/>
  <c r="C43" i="20"/>
  <c r="J41" i="1" s="1"/>
  <c r="C35" i="23" l="1"/>
  <c r="N33" i="1" s="1"/>
  <c r="N29" i="23"/>
  <c r="P29" i="23" s="1"/>
  <c r="Q29" i="23"/>
  <c r="R29" i="23" s="1"/>
  <c r="C46" i="23" s="1"/>
  <c r="N44" i="1" s="1"/>
  <c r="N70" i="23"/>
  <c r="P70" i="23" s="1"/>
  <c r="C36" i="23"/>
  <c r="N34" i="1" s="1"/>
  <c r="N30" i="23"/>
  <c r="P30" i="23" s="1"/>
  <c r="N28" i="23"/>
  <c r="P28" i="23" s="1"/>
  <c r="C34" i="23"/>
  <c r="N32" i="1" s="1"/>
  <c r="C92" i="23"/>
  <c r="N90" i="1" s="1"/>
  <c r="O89" i="23"/>
  <c r="Q64" i="23"/>
  <c r="Q66" i="23"/>
  <c r="Q65" i="23"/>
  <c r="Q26" i="23"/>
  <c r="R26" i="23" s="1"/>
  <c r="C43" i="23" s="1"/>
  <c r="N41" i="1" s="1"/>
  <c r="S33" i="22"/>
  <c r="P38" i="22"/>
  <c r="S24" i="22"/>
  <c r="S32" i="22"/>
  <c r="S23" i="22"/>
  <c r="S31" i="22"/>
  <c r="S25" i="22"/>
  <c r="S27" i="22"/>
  <c r="S29" i="22"/>
  <c r="S26" i="22"/>
  <c r="S30" i="22"/>
  <c r="S28" i="22"/>
  <c r="C45" i="21"/>
  <c r="L43" i="1" s="1"/>
  <c r="C46" i="21"/>
  <c r="L44" i="1" s="1"/>
  <c r="C47" i="21"/>
  <c r="L45" i="1" s="1"/>
  <c r="R33" i="21"/>
  <c r="C90" i="21"/>
  <c r="L88" i="1" s="1"/>
  <c r="C93" i="21"/>
  <c r="L91" i="1" s="1"/>
  <c r="J4" i="19" s="1"/>
  <c r="O90" i="21"/>
  <c r="Q69" i="21"/>
  <c r="Q68" i="21"/>
  <c r="C90" i="20"/>
  <c r="J88" i="1" s="1"/>
  <c r="C46" i="20"/>
  <c r="J44" i="1" s="1"/>
  <c r="C93" i="20"/>
  <c r="J91" i="1" s="1"/>
  <c r="I4" i="19" s="1"/>
  <c r="O90" i="20"/>
  <c r="Q69" i="20"/>
  <c r="Q68" i="20"/>
  <c r="R33" i="20"/>
  <c r="S29" i="20" s="1"/>
  <c r="K3" i="19" l="1"/>
  <c r="C81" i="23"/>
  <c r="N79" i="1" s="1"/>
  <c r="N110" i="1" s="1"/>
  <c r="K23" i="19" s="1"/>
  <c r="P82" i="23"/>
  <c r="O79" i="23"/>
  <c r="P79" i="23" s="1"/>
  <c r="C90" i="23" s="1"/>
  <c r="N88" i="1" s="1"/>
  <c r="Q30" i="23"/>
  <c r="R30" i="23" s="1"/>
  <c r="Q28" i="23"/>
  <c r="R28" i="23" s="1"/>
  <c r="P43" i="22"/>
  <c r="P47" i="22"/>
  <c r="P41" i="22"/>
  <c r="P44" i="22"/>
  <c r="P39" i="22"/>
  <c r="C51" i="22"/>
  <c r="F49" i="1" s="1"/>
  <c r="O75" i="22"/>
  <c r="P75" i="22" s="1"/>
  <c r="P45" i="22"/>
  <c r="P40" i="22"/>
  <c r="P46" i="22"/>
  <c r="P42" i="22"/>
  <c r="P38" i="21"/>
  <c r="O75" i="21" s="1"/>
  <c r="P75" i="21" s="1"/>
  <c r="S33" i="21"/>
  <c r="S24" i="21"/>
  <c r="S32" i="21"/>
  <c r="S25" i="21"/>
  <c r="S31" i="21"/>
  <c r="S26" i="21"/>
  <c r="S23" i="21"/>
  <c r="S27" i="21"/>
  <c r="S29" i="21"/>
  <c r="S28" i="21"/>
  <c r="S30" i="21"/>
  <c r="S33" i="20"/>
  <c r="P38" i="20"/>
  <c r="O75" i="20" s="1"/>
  <c r="P75" i="20" s="1"/>
  <c r="S24" i="20"/>
  <c r="S32" i="20"/>
  <c r="S31" i="20"/>
  <c r="S27" i="20"/>
  <c r="S25" i="20"/>
  <c r="S30" i="20"/>
  <c r="S23" i="20"/>
  <c r="S28" i="20"/>
  <c r="S26" i="20"/>
  <c r="C45" i="23" l="1"/>
  <c r="N43" i="1" s="1"/>
  <c r="R33" i="23"/>
  <c r="S28" i="23" s="1"/>
  <c r="C47" i="23"/>
  <c r="N45" i="1" s="1"/>
  <c r="S30" i="23"/>
  <c r="Q70" i="23"/>
  <c r="C93" i="23"/>
  <c r="N91" i="1" s="1"/>
  <c r="O90" i="23"/>
  <c r="Q68" i="23"/>
  <c r="Q69" i="23"/>
  <c r="P48" i="22"/>
  <c r="C61" i="22" s="1"/>
  <c r="F59" i="1" s="1"/>
  <c r="P49" i="22"/>
  <c r="C52" i="22"/>
  <c r="F50" i="1" s="1"/>
  <c r="C60" i="22"/>
  <c r="F58" i="1" s="1"/>
  <c r="C55" i="22"/>
  <c r="F53" i="1" s="1"/>
  <c r="C57" i="22"/>
  <c r="F55" i="1" s="1"/>
  <c r="C54" i="22"/>
  <c r="F52" i="1" s="1"/>
  <c r="C58" i="22"/>
  <c r="F56" i="1" s="1"/>
  <c r="C59" i="22"/>
  <c r="F57" i="1" s="1"/>
  <c r="C53" i="22"/>
  <c r="F51" i="1" s="1"/>
  <c r="O78" i="22"/>
  <c r="P78" i="22" s="1"/>
  <c r="C86" i="22"/>
  <c r="F84" i="1" s="1"/>
  <c r="O77" i="22"/>
  <c r="P77" i="22" s="1"/>
  <c r="O80" i="22" s="1"/>
  <c r="P80" i="22" s="1"/>
  <c r="C56" i="22"/>
  <c r="F54" i="1" s="1"/>
  <c r="O78" i="20"/>
  <c r="P78" i="20" s="1"/>
  <c r="O77" i="20"/>
  <c r="P77" i="20" s="1"/>
  <c r="O80" i="20" s="1"/>
  <c r="P80" i="20" s="1"/>
  <c r="O78" i="21"/>
  <c r="P78" i="21" s="1"/>
  <c r="O77" i="21"/>
  <c r="P77" i="21" s="1"/>
  <c r="O80" i="21" s="1"/>
  <c r="P80" i="21" s="1"/>
  <c r="P43" i="21"/>
  <c r="P46" i="21"/>
  <c r="P42" i="21"/>
  <c r="P47" i="21"/>
  <c r="P44" i="21"/>
  <c r="P39" i="21"/>
  <c r="P45" i="21"/>
  <c r="P40" i="21"/>
  <c r="P41" i="21"/>
  <c r="C51" i="21"/>
  <c r="L49" i="1" s="1"/>
  <c r="P44" i="20"/>
  <c r="P39" i="20"/>
  <c r="P45" i="20"/>
  <c r="P40" i="20"/>
  <c r="P47" i="20"/>
  <c r="P41" i="20"/>
  <c r="C51" i="20"/>
  <c r="J49" i="1" s="1"/>
  <c r="P46" i="20"/>
  <c r="P42" i="20"/>
  <c r="P43" i="20"/>
  <c r="K4" i="19" l="1"/>
  <c r="S27" i="23"/>
  <c r="S26" i="23"/>
  <c r="S33" i="23"/>
  <c r="S31" i="23"/>
  <c r="S25" i="23"/>
  <c r="P38" i="23"/>
  <c r="S24" i="23"/>
  <c r="S32" i="23"/>
  <c r="S23" i="23"/>
  <c r="S29" i="23"/>
  <c r="P50" i="22"/>
  <c r="P51" i="22" s="1"/>
  <c r="C62" i="22"/>
  <c r="F60" i="1" s="1"/>
  <c r="C89" i="22"/>
  <c r="F87" i="1" s="1"/>
  <c r="C91" i="22"/>
  <c r="F89" i="1" s="1"/>
  <c r="C88" i="22"/>
  <c r="F86" i="1" s="1"/>
  <c r="P83" i="22"/>
  <c r="P49" i="21"/>
  <c r="C62" i="21" s="1"/>
  <c r="L60" i="1" s="1"/>
  <c r="C53" i="21"/>
  <c r="L51" i="1" s="1"/>
  <c r="C57" i="21"/>
  <c r="L55" i="1" s="1"/>
  <c r="P48" i="21"/>
  <c r="C52" i="21"/>
  <c r="L50" i="1" s="1"/>
  <c r="C60" i="21"/>
  <c r="L58" i="1" s="1"/>
  <c r="C59" i="21"/>
  <c r="L57" i="1" s="1"/>
  <c r="C58" i="21"/>
  <c r="L56" i="1" s="1"/>
  <c r="C54" i="21"/>
  <c r="L52" i="1" s="1"/>
  <c r="C55" i="21"/>
  <c r="L53" i="1" s="1"/>
  <c r="C56" i="21"/>
  <c r="L54" i="1" s="1"/>
  <c r="P49" i="20"/>
  <c r="C54" i="20"/>
  <c r="J52" i="1" s="1"/>
  <c r="P48" i="20"/>
  <c r="C62" i="20"/>
  <c r="J60" i="1" s="1"/>
  <c r="C56" i="20"/>
  <c r="J54" i="1" s="1"/>
  <c r="C60" i="20"/>
  <c r="J58" i="1" s="1"/>
  <c r="C55" i="20"/>
  <c r="J53" i="1" s="1"/>
  <c r="C53" i="20"/>
  <c r="J51" i="1" s="1"/>
  <c r="C59" i="20"/>
  <c r="J57" i="1" s="1"/>
  <c r="C58" i="20"/>
  <c r="J56" i="1" s="1"/>
  <c r="C52" i="20"/>
  <c r="J50" i="1" s="1"/>
  <c r="C57" i="20"/>
  <c r="J55" i="1" s="1"/>
  <c r="C63" i="22" l="1"/>
  <c r="F61" i="1" s="1"/>
  <c r="P43" i="23"/>
  <c r="C56" i="23" s="1"/>
  <c r="N54" i="1" s="1"/>
  <c r="P46" i="23"/>
  <c r="C59" i="23" s="1"/>
  <c r="N57" i="1" s="1"/>
  <c r="P47" i="23"/>
  <c r="C60" i="23" s="1"/>
  <c r="N58" i="1" s="1"/>
  <c r="P42" i="23"/>
  <c r="C55" i="23" s="1"/>
  <c r="N53" i="1" s="1"/>
  <c r="P39" i="23"/>
  <c r="C52" i="23" s="1"/>
  <c r="N50" i="1" s="1"/>
  <c r="O75" i="23"/>
  <c r="P75" i="23" s="1"/>
  <c r="P41" i="23"/>
  <c r="C54" i="23" s="1"/>
  <c r="N52" i="1" s="1"/>
  <c r="P44" i="23"/>
  <c r="C57" i="23" s="1"/>
  <c r="N55" i="1" s="1"/>
  <c r="C51" i="23"/>
  <c r="N49" i="1" s="1"/>
  <c r="P45" i="23"/>
  <c r="C58" i="23" s="1"/>
  <c r="N56" i="1" s="1"/>
  <c r="P40" i="23"/>
  <c r="C53" i="23" s="1"/>
  <c r="N51" i="1" s="1"/>
  <c r="Q47" i="22"/>
  <c r="Q48" i="22"/>
  <c r="P59" i="22"/>
  <c r="Q39" i="22"/>
  <c r="Q44" i="22"/>
  <c r="Q42" i="22"/>
  <c r="Q43" i="22"/>
  <c r="Q50" i="22"/>
  <c r="Q40" i="22"/>
  <c r="Q46" i="22"/>
  <c r="Q51" i="22"/>
  <c r="Q41" i="22"/>
  <c r="P56" i="22"/>
  <c r="P58" i="22" s="1"/>
  <c r="Q49" i="22"/>
  <c r="C64" i="22"/>
  <c r="F62" i="1" s="1"/>
  <c r="Q38" i="22"/>
  <c r="Q45" i="22"/>
  <c r="O93" i="22"/>
  <c r="O91" i="22"/>
  <c r="C94" i="22"/>
  <c r="F92" i="1" s="1"/>
  <c r="Q73" i="22"/>
  <c r="Q72" i="22"/>
  <c r="Q74" i="22"/>
  <c r="Q76" i="22"/>
  <c r="Q79" i="22"/>
  <c r="Q75" i="22"/>
  <c r="Q78" i="22"/>
  <c r="Q77" i="22"/>
  <c r="Q80" i="22"/>
  <c r="C71" i="22"/>
  <c r="F69" i="1" s="1"/>
  <c r="C61" i="21"/>
  <c r="L59" i="1" s="1"/>
  <c r="P50" i="21"/>
  <c r="P51" i="21" s="1"/>
  <c r="C88" i="21"/>
  <c r="L86" i="1" s="1"/>
  <c r="L111" i="1" s="1"/>
  <c r="J24" i="19" s="1"/>
  <c r="C86" i="21"/>
  <c r="L84" i="1" s="1"/>
  <c r="C89" i="21"/>
  <c r="L87" i="1" s="1"/>
  <c r="C88" i="20"/>
  <c r="J86" i="1" s="1"/>
  <c r="J111" i="1" s="1"/>
  <c r="I24" i="19" s="1"/>
  <c r="C86" i="20"/>
  <c r="J84" i="1" s="1"/>
  <c r="C61" i="20"/>
  <c r="J59" i="1" s="1"/>
  <c r="C89" i="20"/>
  <c r="J87" i="1" s="1"/>
  <c r="P50" i="20"/>
  <c r="P49" i="23" l="1"/>
  <c r="C62" i="23" s="1"/>
  <c r="N60" i="1" s="1"/>
  <c r="P48" i="23"/>
  <c r="C61" i="23" s="1"/>
  <c r="N59" i="1" s="1"/>
  <c r="O77" i="23"/>
  <c r="P77" i="23" s="1"/>
  <c r="C88" i="23" s="1"/>
  <c r="N86" i="1" s="1"/>
  <c r="N111" i="1" s="1"/>
  <c r="K24" i="19" s="1"/>
  <c r="C86" i="23"/>
  <c r="N84" i="1" s="1"/>
  <c r="O78" i="23"/>
  <c r="P78" i="23" s="1"/>
  <c r="C89" i="23" s="1"/>
  <c r="N87" i="1" s="1"/>
  <c r="O80" i="23"/>
  <c r="P80" i="23" s="1"/>
  <c r="C91" i="23" s="1"/>
  <c r="N89" i="1" s="1"/>
  <c r="P83" i="23"/>
  <c r="Q79" i="23" s="1"/>
  <c r="P57" i="22"/>
  <c r="C69" i="22" s="1"/>
  <c r="F67" i="1" s="1"/>
  <c r="C68" i="22"/>
  <c r="F66" i="1" s="1"/>
  <c r="C70" i="22"/>
  <c r="F68" i="1" s="1"/>
  <c r="C96" i="22"/>
  <c r="F94" i="1" s="1"/>
  <c r="C64" i="21"/>
  <c r="L62" i="1" s="1"/>
  <c r="P56" i="21"/>
  <c r="Q51" i="21"/>
  <c r="P59" i="21"/>
  <c r="Q38" i="21"/>
  <c r="Q39" i="21"/>
  <c r="Q41" i="21"/>
  <c r="Q47" i="21"/>
  <c r="Q49" i="21"/>
  <c r="Q42" i="21"/>
  <c r="Q46" i="21"/>
  <c r="Q40" i="21"/>
  <c r="Q44" i="21"/>
  <c r="Q45" i="21"/>
  <c r="Q43" i="21"/>
  <c r="C91" i="21"/>
  <c r="L89" i="1" s="1"/>
  <c r="Q50" i="21"/>
  <c r="C63" i="21"/>
  <c r="L61" i="1" s="1"/>
  <c r="P83" i="21"/>
  <c r="Q80" i="21" s="1"/>
  <c r="Q48" i="21"/>
  <c r="C91" i="20"/>
  <c r="J89" i="1" s="1"/>
  <c r="P83" i="20"/>
  <c r="C63" i="20"/>
  <c r="J61" i="1" s="1"/>
  <c r="P51" i="20"/>
  <c r="Q80" i="23" l="1"/>
  <c r="Q72" i="23"/>
  <c r="Q76" i="23"/>
  <c r="Q73" i="23"/>
  <c r="Q77" i="23"/>
  <c r="O91" i="23"/>
  <c r="Q74" i="23"/>
  <c r="C94" i="23"/>
  <c r="N92" i="1" s="1"/>
  <c r="Q75" i="23"/>
  <c r="O93" i="23"/>
  <c r="C96" i="23" s="1"/>
  <c r="N94" i="1" s="1"/>
  <c r="Q78" i="23"/>
  <c r="P60" i="22"/>
  <c r="O88" i="22" s="1"/>
  <c r="P50" i="23"/>
  <c r="O93" i="21"/>
  <c r="O91" i="21"/>
  <c r="C94" i="21"/>
  <c r="L92" i="1" s="1"/>
  <c r="J5" i="19" s="1"/>
  <c r="Q73" i="21"/>
  <c r="Q72" i="21"/>
  <c r="Q74" i="21"/>
  <c r="Q76" i="21"/>
  <c r="Q79" i="21"/>
  <c r="Q77" i="21"/>
  <c r="Q75" i="21"/>
  <c r="Q78" i="21"/>
  <c r="C68" i="21"/>
  <c r="L66" i="1" s="1"/>
  <c r="P58" i="21"/>
  <c r="P57" i="21"/>
  <c r="C71" i="21"/>
  <c r="L69" i="1" s="1"/>
  <c r="C64" i="20"/>
  <c r="J62" i="1" s="1"/>
  <c r="P56" i="20"/>
  <c r="Q51" i="20"/>
  <c r="P59" i="20"/>
  <c r="Q38" i="20"/>
  <c r="Q43" i="20"/>
  <c r="Q46" i="20"/>
  <c r="Q44" i="20"/>
  <c r="Q41" i="20"/>
  <c r="Q45" i="20"/>
  <c r="Q40" i="20"/>
  <c r="Q47" i="20"/>
  <c r="Q42" i="20"/>
  <c r="Q49" i="20"/>
  <c r="Q39" i="20"/>
  <c r="Q48" i="20"/>
  <c r="Q50" i="20"/>
  <c r="O93" i="20"/>
  <c r="Q72" i="20"/>
  <c r="C94" i="20"/>
  <c r="J92" i="1" s="1"/>
  <c r="I5" i="19" s="1"/>
  <c r="O91" i="20"/>
  <c r="Q74" i="20"/>
  <c r="Q73" i="20"/>
  <c r="Q76" i="20"/>
  <c r="Q79" i="20"/>
  <c r="Q78" i="20"/>
  <c r="Q77" i="20"/>
  <c r="Q75" i="20"/>
  <c r="Q80" i="20"/>
  <c r="Q57" i="22" l="1"/>
  <c r="C63" i="23"/>
  <c r="N61" i="1" s="1"/>
  <c r="O94" i="22"/>
  <c r="Q58" i="22"/>
  <c r="Q56" i="22"/>
  <c r="K7" i="19"/>
  <c r="K5" i="19"/>
  <c r="Q59" i="22"/>
  <c r="P51" i="23"/>
  <c r="Q60" i="22"/>
  <c r="P88" i="22"/>
  <c r="W19" i="22" s="1"/>
  <c r="O92" i="22"/>
  <c r="C69" i="21"/>
  <c r="L67" i="1" s="1"/>
  <c r="C70" i="21"/>
  <c r="L68" i="1" s="1"/>
  <c r="P60" i="21"/>
  <c r="Q57" i="21" s="1"/>
  <c r="C96" i="21"/>
  <c r="L94" i="1" s="1"/>
  <c r="J7" i="19" s="1"/>
  <c r="C71" i="20"/>
  <c r="J69" i="1" s="1"/>
  <c r="P58" i="20"/>
  <c r="C68" i="20"/>
  <c r="J66" i="1" s="1"/>
  <c r="P57" i="20"/>
  <c r="C96" i="20"/>
  <c r="J94" i="1" s="1"/>
  <c r="I7" i="19" s="1"/>
  <c r="Q45" i="23" l="1"/>
  <c r="Q49" i="23"/>
  <c r="Q51" i="23"/>
  <c r="P59" i="23"/>
  <c r="Q42" i="23"/>
  <c r="Q44" i="23"/>
  <c r="C64" i="23"/>
  <c r="N62" i="1" s="1"/>
  <c r="Q39" i="23"/>
  <c r="Q46" i="23"/>
  <c r="Q41" i="23"/>
  <c r="Q40" i="23"/>
  <c r="P56" i="23"/>
  <c r="Q43" i="23"/>
  <c r="Q38" i="23"/>
  <c r="Q47" i="23"/>
  <c r="Q48" i="23"/>
  <c r="P89" i="22"/>
  <c r="W20" i="22" s="1"/>
  <c r="O95" i="22"/>
  <c r="P90" i="22"/>
  <c r="W21" i="22" s="1"/>
  <c r="P93" i="22"/>
  <c r="C97" i="22"/>
  <c r="F95" i="1" s="1"/>
  <c r="P91" i="22"/>
  <c r="W22" i="22" s="1"/>
  <c r="Q50" i="23"/>
  <c r="O94" i="21"/>
  <c r="P91" i="21" s="1"/>
  <c r="W22" i="21" s="1"/>
  <c r="P92" i="22"/>
  <c r="C95" i="22"/>
  <c r="F93" i="1" s="1"/>
  <c r="Q58" i="21"/>
  <c r="Q60" i="21"/>
  <c r="O88" i="21"/>
  <c r="Q56" i="21"/>
  <c r="Q59" i="21"/>
  <c r="P60" i="20"/>
  <c r="O88" i="20" s="1"/>
  <c r="C70" i="20"/>
  <c r="J68" i="1" s="1"/>
  <c r="C69" i="20"/>
  <c r="J67" i="1" s="1"/>
  <c r="C97" i="21" l="1"/>
  <c r="L95" i="1" s="1"/>
  <c r="J8" i="19" s="1"/>
  <c r="O95" i="21"/>
  <c r="P90" i="21"/>
  <c r="W21" i="21" s="1"/>
  <c r="C71" i="23"/>
  <c r="N69" i="1" s="1"/>
  <c r="P93" i="21"/>
  <c r="C98" i="22"/>
  <c r="F96" i="1" s="1"/>
  <c r="W17" i="22"/>
  <c r="P89" i="21"/>
  <c r="W20" i="21" s="1"/>
  <c r="P58" i="23"/>
  <c r="C68" i="23"/>
  <c r="N66" i="1" s="1"/>
  <c r="P57" i="23"/>
  <c r="P60" i="23"/>
  <c r="O92" i="21"/>
  <c r="P88" i="21"/>
  <c r="W19" i="21" s="1"/>
  <c r="C98" i="21"/>
  <c r="L96" i="1" s="1"/>
  <c r="J9" i="19" s="1"/>
  <c r="W17" i="21"/>
  <c r="Q56" i="20"/>
  <c r="Q58" i="20"/>
  <c r="O94" i="20"/>
  <c r="P89" i="20" s="1"/>
  <c r="W20" i="20" s="1"/>
  <c r="Q59" i="20"/>
  <c r="Q60" i="20"/>
  <c r="Q57" i="20"/>
  <c r="O92" i="20"/>
  <c r="L99" i="1" l="1"/>
  <c r="J12" i="19" s="1"/>
  <c r="J35" i="19"/>
  <c r="J37" i="19"/>
  <c r="J36" i="19"/>
  <c r="J38" i="19"/>
  <c r="J32" i="19"/>
  <c r="L102" i="1"/>
  <c r="J15" i="19" s="1"/>
  <c r="L100" i="1"/>
  <c r="J13" i="19" s="1"/>
  <c r="L103" i="1"/>
  <c r="J16" i="19" s="1"/>
  <c r="L98" i="1"/>
  <c r="J11" i="19" s="1"/>
  <c r="O94" i="23"/>
  <c r="O88" i="23"/>
  <c r="Q60" i="23"/>
  <c r="Q56" i="23"/>
  <c r="C70" i="23"/>
  <c r="N68" i="1" s="1"/>
  <c r="Q58" i="23"/>
  <c r="Q59" i="23"/>
  <c r="C69" i="23"/>
  <c r="N67" i="1" s="1"/>
  <c r="Q57" i="23"/>
  <c r="O95" i="20"/>
  <c r="C98" i="20" s="1"/>
  <c r="J96" i="1" s="1"/>
  <c r="I9" i="19" s="1"/>
  <c r="C97" i="20"/>
  <c r="J95" i="1" s="1"/>
  <c r="I8" i="19" s="1"/>
  <c r="C95" i="21"/>
  <c r="L93" i="1" s="1"/>
  <c r="J6" i="19" s="1"/>
  <c r="P92" i="21"/>
  <c r="J103" i="1"/>
  <c r="I16" i="19" s="1"/>
  <c r="J98" i="1"/>
  <c r="I11" i="19" s="1"/>
  <c r="P88" i="20"/>
  <c r="W19" i="20" s="1"/>
  <c r="P91" i="20"/>
  <c r="W22" i="20" s="1"/>
  <c r="P93" i="20"/>
  <c r="P90" i="20"/>
  <c r="W21" i="20" s="1"/>
  <c r="C95" i="20"/>
  <c r="J93" i="1" s="1"/>
  <c r="I6" i="19" s="1"/>
  <c r="P92" i="20"/>
  <c r="I38" i="19" l="1"/>
  <c r="I35" i="19"/>
  <c r="I36" i="19"/>
  <c r="I37" i="19"/>
  <c r="I32" i="19"/>
  <c r="O92" i="23"/>
  <c r="P88" i="23"/>
  <c r="W19" i="23" s="1"/>
  <c r="C97" i="23"/>
  <c r="N95" i="1" s="1"/>
  <c r="P93" i="23"/>
  <c r="P91" i="23"/>
  <c r="W22" i="23" s="1"/>
  <c r="P89" i="23"/>
  <c r="W20" i="23" s="1"/>
  <c r="P90" i="23"/>
  <c r="W21" i="23" s="1"/>
  <c r="O95" i="23"/>
  <c r="J102" i="1"/>
  <c r="I15" i="19" s="1"/>
  <c r="W17" i="20"/>
  <c r="J100" i="1"/>
  <c r="I13" i="19" s="1"/>
  <c r="J106" i="1"/>
  <c r="I19" i="19" s="1"/>
  <c r="L106" i="1"/>
  <c r="J19" i="19" s="1"/>
  <c r="L101" i="1"/>
  <c r="J14" i="19" s="1"/>
  <c r="J99" i="1"/>
  <c r="I12" i="19" s="1"/>
  <c r="J101" i="1"/>
  <c r="I14" i="19" s="1"/>
  <c r="C98" i="23" l="1"/>
  <c r="N96" i="1" s="1"/>
  <c r="K9" i="19" s="1"/>
  <c r="W17" i="23"/>
  <c r="K8" i="19"/>
  <c r="N103" i="1"/>
  <c r="K16" i="19" s="1"/>
  <c r="N98" i="1"/>
  <c r="K11" i="19" s="1"/>
  <c r="N99" i="1"/>
  <c r="K12" i="19" s="1"/>
  <c r="N102" i="1"/>
  <c r="K15" i="19" s="1"/>
  <c r="N100" i="1"/>
  <c r="K13" i="19" s="1"/>
  <c r="C95" i="23"/>
  <c r="N93" i="1" s="1"/>
  <c r="P92" i="23"/>
  <c r="L112" i="1"/>
  <c r="J25" i="19" s="1"/>
  <c r="J112" i="1"/>
  <c r="I25" i="19" s="1"/>
  <c r="K38" i="19" l="1"/>
  <c r="K36" i="19"/>
  <c r="K37" i="19"/>
  <c r="K35" i="19"/>
  <c r="K32" i="19"/>
  <c r="N106" i="1"/>
  <c r="K6" i="19"/>
  <c r="N101" i="1"/>
  <c r="K14" i="19" s="1"/>
  <c r="A14" i="18"/>
  <c r="B14" i="18"/>
  <c r="N112" i="1" l="1"/>
  <c r="K25" i="19" s="1"/>
  <c r="K19" i="19"/>
  <c r="O8" i="18" l="1"/>
  <c r="N66" i="18" s="1"/>
  <c r="H23" i="17"/>
  <c r="H24" i="17" s="1"/>
  <c r="E10" i="17"/>
  <c r="H26" i="17" l="1"/>
  <c r="H25" i="17" s="1"/>
  <c r="H27" i="17" s="1"/>
  <c r="H28" i="17" l="1"/>
  <c r="H29" i="17"/>
  <c r="H30" i="17" s="1"/>
  <c r="F104" i="17" l="1"/>
  <c r="F103" i="17"/>
  <c r="G105" i="17"/>
  <c r="G87" i="17"/>
  <c r="G86" i="17"/>
  <c r="A77" i="18"/>
  <c r="F84" i="17" s="1"/>
  <c r="G83" i="17"/>
  <c r="G84" i="17"/>
  <c r="G82" i="17"/>
  <c r="G75" i="17"/>
  <c r="G76" i="17"/>
  <c r="G77" i="17"/>
  <c r="G78" i="17"/>
  <c r="G59" i="17"/>
  <c r="G60" i="17"/>
  <c r="G61" i="17"/>
  <c r="G62" i="17"/>
  <c r="G63" i="17"/>
  <c r="G64" i="17"/>
  <c r="G65" i="17"/>
  <c r="G66" i="17"/>
  <c r="G67" i="17"/>
  <c r="G68" i="17"/>
  <c r="G69" i="17"/>
  <c r="G70" i="17"/>
  <c r="G71" i="17"/>
  <c r="G58" i="17"/>
  <c r="G23" i="18"/>
  <c r="G25" i="18"/>
  <c r="J25" i="18" s="1"/>
  <c r="G26" i="18" l="1"/>
  <c r="J26" i="18" s="1"/>
  <c r="A20" i="18"/>
  <c r="A21" i="18"/>
  <c r="B21" i="18"/>
  <c r="A22" i="18"/>
  <c r="B22" i="18"/>
  <c r="E32" i="17"/>
  <c r="F7" i="18" l="1"/>
  <c r="O65" i="18" s="1"/>
  <c r="F6" i="18"/>
  <c r="B17" i="18"/>
  <c r="B18" i="18"/>
  <c r="B19" i="18"/>
  <c r="B16" i="18"/>
  <c r="A17" i="18"/>
  <c r="A18" i="18"/>
  <c r="A19" i="18"/>
  <c r="A16" i="18"/>
  <c r="B8" i="18"/>
  <c r="B9" i="18"/>
  <c r="B10" i="18"/>
  <c r="B11" i="18"/>
  <c r="B12" i="18"/>
  <c r="B13" i="18"/>
  <c r="B7" i="18"/>
  <c r="A8" i="18"/>
  <c r="A9" i="18"/>
  <c r="A10" i="18"/>
  <c r="A11" i="18"/>
  <c r="A12" i="18"/>
  <c r="A13" i="18"/>
  <c r="A7" i="18"/>
  <c r="A15" i="18"/>
  <c r="A96" i="18"/>
  <c r="F105" i="17" s="1"/>
  <c r="B95" i="18"/>
  <c r="G102" i="17" s="1"/>
  <c r="B94" i="18"/>
  <c r="G101" i="17" s="1"/>
  <c r="A94" i="18"/>
  <c r="F101" i="17" s="1"/>
  <c r="B93" i="18"/>
  <c r="G100" i="17" s="1"/>
  <c r="A93" i="18"/>
  <c r="F100" i="17" s="1"/>
  <c r="B92" i="18"/>
  <c r="G99" i="17" s="1"/>
  <c r="A92" i="18"/>
  <c r="F99" i="17" s="1"/>
  <c r="M91" i="18"/>
  <c r="B91" i="18"/>
  <c r="G98" i="17" s="1"/>
  <c r="A91" i="18"/>
  <c r="F98" i="17" s="1"/>
  <c r="M90" i="18"/>
  <c r="B90" i="18"/>
  <c r="G97" i="17" s="1"/>
  <c r="A90" i="18"/>
  <c r="F97" i="17" s="1"/>
  <c r="M89" i="18"/>
  <c r="B89" i="18"/>
  <c r="G96" i="17" s="1"/>
  <c r="A89" i="18"/>
  <c r="F96" i="17" s="1"/>
  <c r="M88" i="18"/>
  <c r="M92" i="18" s="1"/>
  <c r="A95" i="18" s="1"/>
  <c r="F102" i="17" s="1"/>
  <c r="B88" i="18"/>
  <c r="G95" i="17" s="1"/>
  <c r="A88" i="18"/>
  <c r="F95" i="17" s="1"/>
  <c r="B87" i="18"/>
  <c r="G94" i="17" s="1"/>
  <c r="A87" i="18"/>
  <c r="F94" i="17" s="1"/>
  <c r="B86" i="18"/>
  <c r="G93" i="17" s="1"/>
  <c r="A86" i="18"/>
  <c r="F93" i="17" s="1"/>
  <c r="B85" i="18"/>
  <c r="G92" i="17" s="1"/>
  <c r="A85" i="18"/>
  <c r="F92" i="17" s="1"/>
  <c r="B84" i="18"/>
  <c r="G91" i="17" s="1"/>
  <c r="A84" i="18"/>
  <c r="F91" i="17" s="1"/>
  <c r="B83" i="18"/>
  <c r="G90" i="17" s="1"/>
  <c r="A83" i="18"/>
  <c r="F90" i="17" s="1"/>
  <c r="A82" i="18"/>
  <c r="A80" i="18"/>
  <c r="F87" i="17" s="1"/>
  <c r="A79" i="18"/>
  <c r="F86" i="17" s="1"/>
  <c r="A78" i="18"/>
  <c r="A76" i="18"/>
  <c r="F83" i="17" s="1"/>
  <c r="A75" i="18"/>
  <c r="F82" i="17" s="1"/>
  <c r="A74" i="18"/>
  <c r="O73" i="18"/>
  <c r="O74" i="18" s="1"/>
  <c r="P74" i="18" s="1"/>
  <c r="A73" i="18"/>
  <c r="P72" i="18"/>
  <c r="L72" i="18"/>
  <c r="L73" i="18" s="1"/>
  <c r="L74" i="18" s="1"/>
  <c r="L75" i="18" s="1"/>
  <c r="L76" i="18" s="1"/>
  <c r="L77" i="18" s="1"/>
  <c r="L78" i="18" s="1"/>
  <c r="L79" i="18" s="1"/>
  <c r="L80" i="18" s="1"/>
  <c r="A71" i="18"/>
  <c r="F78" i="17" s="1"/>
  <c r="A70" i="18"/>
  <c r="F77" i="17" s="1"/>
  <c r="O69" i="18"/>
  <c r="A69" i="18"/>
  <c r="F76" i="17" s="1"/>
  <c r="O68" i="18"/>
  <c r="A68" i="18"/>
  <c r="F75" i="17" s="1"/>
  <c r="L67" i="18"/>
  <c r="L71" i="18" s="1"/>
  <c r="C67" i="18"/>
  <c r="H74" i="17" s="1"/>
  <c r="A67" i="18"/>
  <c r="F74" i="17" s="1"/>
  <c r="A66" i="18"/>
  <c r="A64" i="18"/>
  <c r="F71" i="17" s="1"/>
  <c r="A63" i="18"/>
  <c r="F70" i="17" s="1"/>
  <c r="A62" i="18"/>
  <c r="F69" i="17" s="1"/>
  <c r="A61" i="18"/>
  <c r="F68" i="17" s="1"/>
  <c r="A60" i="18"/>
  <c r="F67" i="17" s="1"/>
  <c r="A59" i="18"/>
  <c r="F66" i="17" s="1"/>
  <c r="A58" i="18"/>
  <c r="F65" i="17" s="1"/>
  <c r="A57" i="18"/>
  <c r="F64" i="17" s="1"/>
  <c r="A56" i="18"/>
  <c r="F63" i="17" s="1"/>
  <c r="A55" i="18"/>
  <c r="F62" i="17" s="1"/>
  <c r="A54" i="18"/>
  <c r="F61" i="17" s="1"/>
  <c r="A53" i="18"/>
  <c r="F60" i="17" s="1"/>
  <c r="A52" i="18"/>
  <c r="F59" i="17" s="1"/>
  <c r="A51" i="18"/>
  <c r="F58" i="17" s="1"/>
  <c r="N50" i="18"/>
  <c r="A50" i="18"/>
  <c r="N49" i="18"/>
  <c r="J49" i="18"/>
  <c r="N48" i="18"/>
  <c r="J48" i="18"/>
  <c r="N47" i="18"/>
  <c r="N45" i="18"/>
  <c r="N44" i="18"/>
  <c r="N43" i="18"/>
  <c r="J43" i="18"/>
  <c r="B43" i="18"/>
  <c r="G50" i="17" s="1"/>
  <c r="A43" i="18"/>
  <c r="F50" i="17" s="1"/>
  <c r="N42" i="18"/>
  <c r="B42" i="18"/>
  <c r="G49" i="17" s="1"/>
  <c r="A42" i="18"/>
  <c r="F49" i="17" s="1"/>
  <c r="N41" i="18"/>
  <c r="J41" i="18"/>
  <c r="B41" i="18"/>
  <c r="G48" i="17" s="1"/>
  <c r="A41" i="18"/>
  <c r="F48" i="17" s="1"/>
  <c r="N40" i="18"/>
  <c r="B40" i="18"/>
  <c r="G47" i="17" s="1"/>
  <c r="A40" i="18"/>
  <c r="F47" i="17" s="1"/>
  <c r="N39" i="18"/>
  <c r="J39" i="18"/>
  <c r="A39" i="18"/>
  <c r="B32" i="18"/>
  <c r="G39" i="17" s="1"/>
  <c r="A32" i="18"/>
  <c r="F39" i="17" s="1"/>
  <c r="B31" i="18"/>
  <c r="G38" i="17" s="1"/>
  <c r="A31" i="18"/>
  <c r="F38" i="17" s="1"/>
  <c r="B30" i="18"/>
  <c r="G37" i="17" s="1"/>
  <c r="A30" i="18"/>
  <c r="F37" i="17" s="1"/>
  <c r="B29" i="18"/>
  <c r="G36" i="17" s="1"/>
  <c r="A29" i="18"/>
  <c r="F36" i="17" s="1"/>
  <c r="A28" i="18"/>
  <c r="G24" i="18"/>
  <c r="J24" i="18" s="1"/>
  <c r="J23" i="18"/>
  <c r="O64" i="18"/>
  <c r="A5" i="18"/>
  <c r="H11" i="17"/>
  <c r="H12" i="17" s="1"/>
  <c r="C12" i="18" s="1"/>
  <c r="H9" i="17"/>
  <c r="C9" i="18" s="1"/>
  <c r="N64" i="18" s="1"/>
  <c r="H10" i="17" l="1"/>
  <c r="C10" i="18" s="1"/>
  <c r="C11" i="18"/>
  <c r="N65" i="18" s="1"/>
  <c r="P65" i="18" s="1"/>
  <c r="C76" i="18" s="1"/>
  <c r="H83" i="17" s="1"/>
  <c r="P73" i="18"/>
  <c r="C84" i="18" s="1"/>
  <c r="H91" i="17" s="1"/>
  <c r="P64" i="18"/>
  <c r="C85" i="18"/>
  <c r="H92" i="17" s="1"/>
  <c r="C83" i="18"/>
  <c r="H90" i="17" s="1"/>
  <c r="F8" i="18" l="1"/>
  <c r="C75" i="18"/>
  <c r="H82" i="17" s="1"/>
  <c r="H7" i="17" l="1"/>
  <c r="H32" i="17" s="1"/>
  <c r="F111" i="17"/>
  <c r="F110" i="17"/>
  <c r="F109" i="17"/>
  <c r="F108" i="17"/>
  <c r="F107" i="17"/>
  <c r="F106" i="17"/>
  <c r="H33" i="17" l="1"/>
  <c r="C22" i="18" s="1"/>
  <c r="C21" i="18"/>
  <c r="I25" i="18" s="1"/>
  <c r="H8" i="17"/>
  <c r="H14" i="17" s="1"/>
  <c r="C14" i="18" s="1"/>
  <c r="H13" i="17"/>
  <c r="C13" i="18" s="1"/>
  <c r="C7" i="18"/>
  <c r="N69" i="18" l="1"/>
  <c r="P69" i="18" s="1"/>
  <c r="C80" i="18" s="1"/>
  <c r="H87" i="17" s="1"/>
  <c r="N25" i="18"/>
  <c r="C31" i="18"/>
  <c r="H38" i="17" s="1"/>
  <c r="C17" i="18"/>
  <c r="C8" i="18"/>
  <c r="I23" i="18" s="1"/>
  <c r="N23" i="18" s="1"/>
  <c r="P23" i="18" s="1"/>
  <c r="C16" i="18"/>
  <c r="I24" i="18" s="1"/>
  <c r="C18" i="18"/>
  <c r="O73" i="2"/>
  <c r="P68" i="18" l="1"/>
  <c r="Q25" i="18"/>
  <c r="P25" i="18"/>
  <c r="R25" i="18" s="1"/>
  <c r="C42" i="18" s="1"/>
  <c r="H49" i="17" s="1"/>
  <c r="N68" i="18"/>
  <c r="C29" i="18"/>
  <c r="H36" i="17" s="1"/>
  <c r="P82" i="18"/>
  <c r="Q69" i="18" s="1"/>
  <c r="C79" i="18"/>
  <c r="H86" i="17" s="1"/>
  <c r="C19" i="18"/>
  <c r="N24" i="18"/>
  <c r="P24" i="18" s="1"/>
  <c r="C30" i="18"/>
  <c r="H37" i="17" s="1"/>
  <c r="Q23" i="18"/>
  <c r="R23" i="18" s="1"/>
  <c r="O9" i="18" l="1"/>
  <c r="I26" i="18" s="1"/>
  <c r="O7" i="18"/>
  <c r="C93" i="18"/>
  <c r="H100" i="17" s="1"/>
  <c r="O90" i="18"/>
  <c r="Q68" i="18"/>
  <c r="Q24" i="18"/>
  <c r="R24" i="18" s="1"/>
  <c r="C41" i="18" s="1"/>
  <c r="H48" i="17" s="1"/>
  <c r="C40" i="18"/>
  <c r="H47" i="17" s="1"/>
  <c r="N26" i="18" l="1"/>
  <c r="P26" i="18" s="1"/>
  <c r="C32" i="18"/>
  <c r="H39" i="17" s="1"/>
  <c r="F14" i="1"/>
  <c r="G28" i="19" s="1"/>
  <c r="F12" i="1"/>
  <c r="C14" i="22" s="1"/>
  <c r="F17" i="1"/>
  <c r="C19" i="22" s="1"/>
  <c r="F15" i="1"/>
  <c r="C17" i="22" l="1"/>
  <c r="G30" i="19"/>
  <c r="Q26" i="18"/>
  <c r="R26" i="18" s="1"/>
  <c r="C16" i="22"/>
  <c r="F16" i="1"/>
  <c r="C18" i="22" s="1"/>
  <c r="C43" i="18" l="1"/>
  <c r="H50" i="17" s="1"/>
  <c r="R33" i="18"/>
  <c r="S26" i="18"/>
  <c r="G29" i="19"/>
  <c r="H31" i="19" s="1"/>
  <c r="G31" i="19"/>
  <c r="N13" i="2"/>
  <c r="N14" i="2"/>
  <c r="N8" i="2"/>
  <c r="N5" i="2"/>
  <c r="N10" i="2"/>
  <c r="I24" i="2"/>
  <c r="N24" i="2" s="1"/>
  <c r="F26" i="2"/>
  <c r="F6" i="2"/>
  <c r="Q32" i="2"/>
  <c r="N39" i="2"/>
  <c r="N40" i="2"/>
  <c r="N41" i="2"/>
  <c r="N42" i="2"/>
  <c r="N43" i="2"/>
  <c r="N44" i="2"/>
  <c r="N45" i="2"/>
  <c r="N47" i="2"/>
  <c r="N48" i="2"/>
  <c r="N49" i="2"/>
  <c r="N50" i="2"/>
  <c r="N7" i="2"/>
  <c r="F11" i="2"/>
  <c r="O70" i="2" s="1"/>
  <c r="O69" i="2" s="1"/>
  <c r="F12" i="2"/>
  <c r="F9" i="2"/>
  <c r="O64" i="2" s="1"/>
  <c r="F8" i="2"/>
  <c r="O66" i="2" s="1"/>
  <c r="D99" i="1"/>
  <c r="E12" i="19" s="1"/>
  <c r="D100" i="1"/>
  <c r="E13" i="19" s="1"/>
  <c r="D101" i="1"/>
  <c r="E14" i="19" s="1"/>
  <c r="D98" i="1"/>
  <c r="E11" i="19" s="1"/>
  <c r="E107" i="1"/>
  <c r="D102" i="1"/>
  <c r="E15" i="19" s="1"/>
  <c r="D103" i="1"/>
  <c r="E16" i="19" s="1"/>
  <c r="A26" i="2"/>
  <c r="B26" i="2"/>
  <c r="A66" i="2"/>
  <c r="A64" i="2"/>
  <c r="B64" i="2"/>
  <c r="A60" i="2"/>
  <c r="A61" i="2"/>
  <c r="A62" i="2"/>
  <c r="A63" i="2"/>
  <c r="C67" i="2"/>
  <c r="H65" i="1" s="1"/>
  <c r="A24" i="2"/>
  <c r="B24" i="2"/>
  <c r="A25" i="2"/>
  <c r="B25" i="2"/>
  <c r="B7" i="2"/>
  <c r="B8" i="2"/>
  <c r="B9" i="2"/>
  <c r="B10" i="2"/>
  <c r="B11" i="2"/>
  <c r="B12" i="2"/>
  <c r="B13" i="2"/>
  <c r="B15" i="2"/>
  <c r="B16" i="2"/>
  <c r="B17" i="2"/>
  <c r="B18" i="2"/>
  <c r="B19" i="2"/>
  <c r="B20" i="2"/>
  <c r="B21" i="2"/>
  <c r="B23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95" i="2"/>
  <c r="B95" i="2"/>
  <c r="A96" i="2"/>
  <c r="B96" i="2"/>
  <c r="A97" i="2"/>
  <c r="B97" i="2"/>
  <c r="A98" i="2"/>
  <c r="B98" i="2"/>
  <c r="A80" i="2"/>
  <c r="B80" i="2"/>
  <c r="A81" i="2"/>
  <c r="B81" i="2"/>
  <c r="A82" i="2"/>
  <c r="A83" i="2"/>
  <c r="B83" i="2"/>
  <c r="A84" i="2"/>
  <c r="B84" i="2"/>
  <c r="A85" i="2"/>
  <c r="B85" i="2"/>
  <c r="A86" i="2"/>
  <c r="B86" i="2"/>
  <c r="A87" i="2"/>
  <c r="B87" i="2"/>
  <c r="A88" i="2"/>
  <c r="B88" i="2"/>
  <c r="A89" i="2"/>
  <c r="B89" i="2"/>
  <c r="A90" i="2"/>
  <c r="B90" i="2"/>
  <c r="A91" i="2"/>
  <c r="B91" i="2"/>
  <c r="A92" i="2"/>
  <c r="B92" i="2"/>
  <c r="A93" i="2"/>
  <c r="B93" i="2"/>
  <c r="A94" i="2"/>
  <c r="B94" i="2"/>
  <c r="A76" i="2"/>
  <c r="B76" i="2"/>
  <c r="A77" i="2"/>
  <c r="B77" i="2"/>
  <c r="A78" i="2"/>
  <c r="A79" i="2"/>
  <c r="B79" i="2"/>
  <c r="A53" i="2"/>
  <c r="B53" i="2"/>
  <c r="A54" i="2"/>
  <c r="B54" i="2"/>
  <c r="A55" i="2"/>
  <c r="B55" i="2"/>
  <c r="A56" i="2"/>
  <c r="B56" i="2"/>
  <c r="A57" i="2"/>
  <c r="B57" i="2"/>
  <c r="A58" i="2"/>
  <c r="B58" i="2"/>
  <c r="A59" i="2"/>
  <c r="B59" i="2"/>
  <c r="B60" i="2"/>
  <c r="B61" i="2"/>
  <c r="B62" i="2"/>
  <c r="B63" i="2"/>
  <c r="A67" i="2"/>
  <c r="B67" i="2"/>
  <c r="A68" i="2"/>
  <c r="B68" i="2"/>
  <c r="A69" i="2"/>
  <c r="B69" i="2"/>
  <c r="A70" i="2"/>
  <c r="B70" i="2"/>
  <c r="A71" i="2"/>
  <c r="B71" i="2"/>
  <c r="A73" i="2"/>
  <c r="A74" i="2"/>
  <c r="A75" i="2"/>
  <c r="B75" i="2"/>
  <c r="A28" i="2"/>
  <c r="A29" i="2"/>
  <c r="B29" i="2"/>
  <c r="A30" i="2"/>
  <c r="B30" i="2"/>
  <c r="A31" i="2"/>
  <c r="B31" i="2"/>
  <c r="A32" i="2"/>
  <c r="B32" i="2"/>
  <c r="A33" i="2"/>
  <c r="B33" i="2"/>
  <c r="A34" i="2"/>
  <c r="B34" i="2"/>
  <c r="A35" i="2"/>
  <c r="B35" i="2"/>
  <c r="A36" i="2"/>
  <c r="B36" i="2"/>
  <c r="A37" i="2"/>
  <c r="B37" i="2"/>
  <c r="A39" i="2"/>
  <c r="A40" i="2"/>
  <c r="B40" i="2"/>
  <c r="A41" i="2"/>
  <c r="B41" i="2"/>
  <c r="A42" i="2"/>
  <c r="B42" i="2"/>
  <c r="A43" i="2"/>
  <c r="B43" i="2"/>
  <c r="A44" i="2"/>
  <c r="B44" i="2"/>
  <c r="A45" i="2"/>
  <c r="B45" i="2"/>
  <c r="A46" i="2"/>
  <c r="B46" i="2"/>
  <c r="A47" i="2"/>
  <c r="B47" i="2"/>
  <c r="A48" i="2"/>
  <c r="B48" i="2"/>
  <c r="A50" i="2"/>
  <c r="A51" i="2"/>
  <c r="B51" i="2"/>
  <c r="A52" i="2"/>
  <c r="B52" i="2"/>
  <c r="B6" i="2"/>
  <c r="A5" i="2"/>
  <c r="A6" i="2"/>
  <c r="M88" i="2"/>
  <c r="M92" i="2" s="1"/>
  <c r="M91" i="2"/>
  <c r="M90" i="2"/>
  <c r="M89" i="2"/>
  <c r="L72" i="2"/>
  <c r="L73" i="2" s="1"/>
  <c r="L74" i="2" s="1"/>
  <c r="L75" i="2" s="1"/>
  <c r="L76" i="2" s="1"/>
  <c r="L77" i="2" s="1"/>
  <c r="L78" i="2" s="1"/>
  <c r="L79" i="2" s="1"/>
  <c r="L80" i="2" s="1"/>
  <c r="L67" i="2"/>
  <c r="L71" i="2" s="1"/>
  <c r="J49" i="2"/>
  <c r="J48" i="2"/>
  <c r="J43" i="2"/>
  <c r="J41" i="2"/>
  <c r="J39" i="2"/>
  <c r="G32" i="2"/>
  <c r="J32" i="2" s="1"/>
  <c r="G31" i="2"/>
  <c r="J31" i="2" s="1"/>
  <c r="O30" i="2"/>
  <c r="G30" i="2" s="1"/>
  <c r="J30" i="2" s="1"/>
  <c r="G29" i="2"/>
  <c r="J29" i="2" s="1"/>
  <c r="G28" i="2"/>
  <c r="J28" i="2" s="1"/>
  <c r="G27" i="2"/>
  <c r="J27" i="2" s="1"/>
  <c r="G26" i="2"/>
  <c r="J26" i="2" s="1"/>
  <c r="G25" i="2"/>
  <c r="J25" i="2" s="1"/>
  <c r="G24" i="2"/>
  <c r="J24" i="2" s="1"/>
  <c r="G23" i="2"/>
  <c r="J23" i="2" s="1"/>
  <c r="H26" i="2" l="1"/>
  <c r="S23" i="18"/>
  <c r="S25" i="18"/>
  <c r="P38" i="18"/>
  <c r="S24" i="18"/>
  <c r="S33" i="18"/>
  <c r="N3" i="2"/>
  <c r="N16" i="2"/>
  <c r="N72" i="2" s="1"/>
  <c r="P72" i="2" s="1"/>
  <c r="E108" i="1"/>
  <c r="F20" i="19"/>
  <c r="F7" i="2"/>
  <c r="O68" i="2" s="1"/>
  <c r="O65" i="2" s="1"/>
  <c r="Q24" i="2"/>
  <c r="N68" i="2"/>
  <c r="N69" i="2"/>
  <c r="P69" i="2" s="1"/>
  <c r="C80" i="2" s="1"/>
  <c r="C30" i="2"/>
  <c r="N4" i="2"/>
  <c r="N64" i="2"/>
  <c r="P24" i="2"/>
  <c r="C51" i="18" l="1"/>
  <c r="H58" i="17" s="1"/>
  <c r="O75" i="18"/>
  <c r="P44" i="18"/>
  <c r="C57" i="18" s="1"/>
  <c r="H64" i="17" s="1"/>
  <c r="P40" i="18"/>
  <c r="C53" i="18" s="1"/>
  <c r="H60" i="17" s="1"/>
  <c r="P46" i="18"/>
  <c r="C59" i="18" s="1"/>
  <c r="H66" i="17" s="1"/>
  <c r="P42" i="18"/>
  <c r="C55" i="18" s="1"/>
  <c r="H62" i="17" s="1"/>
  <c r="P41" i="18"/>
  <c r="C54" i="18" s="1"/>
  <c r="H61" i="17" s="1"/>
  <c r="P45" i="18"/>
  <c r="C58" i="18" s="1"/>
  <c r="H65" i="17" s="1"/>
  <c r="P47" i="18"/>
  <c r="C60" i="18" s="1"/>
  <c r="H67" i="17" s="1"/>
  <c r="P39" i="18"/>
  <c r="C52" i="18" s="1"/>
  <c r="H59" i="17" s="1"/>
  <c r="P43" i="18"/>
  <c r="C56" i="18" s="1"/>
  <c r="H63" i="17" s="1"/>
  <c r="H78" i="1"/>
  <c r="H28" i="1"/>
  <c r="E109" i="1"/>
  <c r="F21" i="19"/>
  <c r="C83" i="2"/>
  <c r="P68" i="2"/>
  <c r="C79" i="2" s="1"/>
  <c r="R24" i="2"/>
  <c r="C41" i="2" s="1"/>
  <c r="P73" i="2"/>
  <c r="C84" i="2" s="1"/>
  <c r="H82" i="1" s="1"/>
  <c r="N12" i="2"/>
  <c r="N11" i="2"/>
  <c r="N66" i="2"/>
  <c r="P66" i="2" s="1"/>
  <c r="C77" i="2" s="1"/>
  <c r="P64" i="2"/>
  <c r="B22" i="2"/>
  <c r="P49" i="18" l="1"/>
  <c r="C62" i="18" s="1"/>
  <c r="H69" i="17" s="1"/>
  <c r="P75" i="18"/>
  <c r="C86" i="18" s="1"/>
  <c r="H93" i="17" s="1"/>
  <c r="O77" i="18"/>
  <c r="P77" i="18" s="1"/>
  <c r="C88" i="18" s="1"/>
  <c r="H95" i="17" s="1"/>
  <c r="O74" i="2"/>
  <c r="P48" i="18"/>
  <c r="C61" i="18" s="1"/>
  <c r="H68" i="17" s="1"/>
  <c r="H77" i="1"/>
  <c r="F109" i="1"/>
  <c r="G22" i="19" s="1"/>
  <c r="H81" i="1"/>
  <c r="H109" i="1" s="1"/>
  <c r="H22" i="19" s="1"/>
  <c r="F108" i="1"/>
  <c r="G21" i="19" s="1"/>
  <c r="H75" i="1"/>
  <c r="H108" i="1" s="1"/>
  <c r="H21" i="19" s="1"/>
  <c r="H39" i="1"/>
  <c r="E110" i="1"/>
  <c r="F22" i="19"/>
  <c r="C75" i="2"/>
  <c r="N65" i="2"/>
  <c r="P65" i="2" s="1"/>
  <c r="O76" i="2" s="1"/>
  <c r="I23" i="2"/>
  <c r="I32" i="2"/>
  <c r="N32" i="2" s="1"/>
  <c r="P32" i="2" s="1"/>
  <c r="R32" i="2" s="1"/>
  <c r="P74" i="2"/>
  <c r="C85" i="2" s="1"/>
  <c r="I25" i="2"/>
  <c r="C31" i="2" s="1"/>
  <c r="I27" i="2"/>
  <c r="I29" i="2" s="1"/>
  <c r="I26" i="2"/>
  <c r="N26" i="2" s="1"/>
  <c r="P26" i="2" s="1"/>
  <c r="I31" i="2"/>
  <c r="N31" i="2" s="1"/>
  <c r="P31" i="2" s="1"/>
  <c r="P50" i="18" l="1"/>
  <c r="C63" i="18" s="1"/>
  <c r="H70" i="17" s="1"/>
  <c r="F107" i="1"/>
  <c r="G20" i="19" s="1"/>
  <c r="H73" i="1"/>
  <c r="H107" i="1" s="1"/>
  <c r="H20" i="19" s="1"/>
  <c r="H29" i="1"/>
  <c r="H83" i="1"/>
  <c r="E111" i="1"/>
  <c r="F23" i="19"/>
  <c r="N23" i="2"/>
  <c r="P23" i="2" s="1"/>
  <c r="C29" i="2"/>
  <c r="C76" i="2"/>
  <c r="C37" i="2"/>
  <c r="C32" i="2"/>
  <c r="N25" i="2"/>
  <c r="P25" i="2" s="1"/>
  <c r="P81" i="2"/>
  <c r="Q64" i="2" s="1"/>
  <c r="I30" i="2"/>
  <c r="N70" i="2" s="1"/>
  <c r="P70" i="2" s="1"/>
  <c r="O79" i="2" s="1"/>
  <c r="I28" i="2"/>
  <c r="C34" i="2" s="1"/>
  <c r="C35" i="2"/>
  <c r="C33" i="2"/>
  <c r="N27" i="2"/>
  <c r="P27" i="2" s="1"/>
  <c r="Q31" i="2"/>
  <c r="R31" i="2" s="1"/>
  <c r="Q26" i="2"/>
  <c r="R26" i="2" s="1"/>
  <c r="N29" i="2"/>
  <c r="P29" i="2" s="1"/>
  <c r="P51" i="18" l="1"/>
  <c r="H35" i="1"/>
  <c r="H33" i="1"/>
  <c r="H31" i="1"/>
  <c r="H74" i="1"/>
  <c r="H32" i="1"/>
  <c r="H27" i="1"/>
  <c r="H30" i="1"/>
  <c r="E112" i="1"/>
  <c r="F25" i="19" s="1"/>
  <c r="F24" i="19"/>
  <c r="Q65" i="2"/>
  <c r="Q25" i="2"/>
  <c r="R25" i="2" s="1"/>
  <c r="C42" i="2" s="1"/>
  <c r="N28" i="2"/>
  <c r="P28" i="2" s="1"/>
  <c r="C36" i="2"/>
  <c r="N30" i="2"/>
  <c r="P30" i="2" s="1"/>
  <c r="O89" i="2"/>
  <c r="Q27" i="2"/>
  <c r="R27" i="2" s="1"/>
  <c r="C44" i="2" s="1"/>
  <c r="Q66" i="2"/>
  <c r="C92" i="2"/>
  <c r="Q23" i="2"/>
  <c r="R23" i="2" s="1"/>
  <c r="C48" i="2"/>
  <c r="C81" i="2"/>
  <c r="P82" i="2"/>
  <c r="Q29" i="2"/>
  <c r="R29" i="2" s="1"/>
  <c r="C46" i="2" s="1"/>
  <c r="C43" i="2"/>
  <c r="Q49" i="18" l="1"/>
  <c r="P56" i="18"/>
  <c r="Q45" i="18"/>
  <c r="Q51" i="18"/>
  <c r="Q50" i="18"/>
  <c r="Q39" i="18"/>
  <c r="P59" i="18"/>
  <c r="C71" i="18" s="1"/>
  <c r="H78" i="17" s="1"/>
  <c r="Q44" i="18"/>
  <c r="Q41" i="18"/>
  <c r="Q40" i="18"/>
  <c r="Q48" i="18"/>
  <c r="Q47" i="18"/>
  <c r="Q46" i="18"/>
  <c r="Q38" i="18"/>
  <c r="Q42" i="18"/>
  <c r="Q43" i="18"/>
  <c r="C64" i="18"/>
  <c r="H71" i="17" s="1"/>
  <c r="H34" i="1"/>
  <c r="F110" i="1"/>
  <c r="G23" i="19" s="1"/>
  <c r="H79" i="1"/>
  <c r="H110" i="1" s="1"/>
  <c r="H23" i="19" s="1"/>
  <c r="H40" i="1"/>
  <c r="H46" i="1"/>
  <c r="H42" i="1"/>
  <c r="G3" i="19"/>
  <c r="H90" i="1"/>
  <c r="H3" i="19" s="1"/>
  <c r="H41" i="1"/>
  <c r="H44" i="1"/>
  <c r="C40" i="2"/>
  <c r="Q28" i="2"/>
  <c r="R28" i="2" s="1"/>
  <c r="C45" i="2" s="1"/>
  <c r="Q30" i="2"/>
  <c r="R30" i="2" s="1"/>
  <c r="C47" i="2" s="1"/>
  <c r="O90" i="2"/>
  <c r="C93" i="2"/>
  <c r="Q68" i="2"/>
  <c r="Q69" i="2"/>
  <c r="Q70" i="2"/>
  <c r="P57" i="18" l="1"/>
  <c r="P58" i="18"/>
  <c r="C68" i="18"/>
  <c r="H75" i="17" s="1"/>
  <c r="H45" i="1"/>
  <c r="H38" i="1"/>
  <c r="H43" i="1"/>
  <c r="H91" i="1"/>
  <c r="H4" i="19" s="1"/>
  <c r="R33" i="2"/>
  <c r="P60" i="18" l="1"/>
  <c r="C70" i="18"/>
  <c r="H77" i="17" s="1"/>
  <c r="C69" i="18"/>
  <c r="H76" i="17" s="1"/>
  <c r="S28" i="2"/>
  <c r="S33" i="2"/>
  <c r="S23" i="2"/>
  <c r="S31" i="2"/>
  <c r="S30" i="2"/>
  <c r="P38" i="2"/>
  <c r="O75" i="2" s="1"/>
  <c r="S27" i="2"/>
  <c r="S32" i="2"/>
  <c r="S25" i="2"/>
  <c r="S24" i="2"/>
  <c r="S26" i="2"/>
  <c r="S29" i="2"/>
  <c r="Q56" i="18" l="1"/>
  <c r="O88" i="18"/>
  <c r="O92" i="18" s="1"/>
  <c r="C95" i="18" s="1"/>
  <c r="H102" i="17" s="1"/>
  <c r="Q60" i="18"/>
  <c r="Q59" i="18"/>
  <c r="Q57" i="18"/>
  <c r="Q58" i="18"/>
  <c r="P40" i="2"/>
  <c r="C53" i="2" s="1"/>
  <c r="P42" i="2"/>
  <c r="C55" i="2" s="1"/>
  <c r="P41" i="2"/>
  <c r="C54" i="2" s="1"/>
  <c r="C51" i="2"/>
  <c r="P43" i="2"/>
  <c r="C56" i="2" s="1"/>
  <c r="P44" i="2"/>
  <c r="C57" i="2" s="1"/>
  <c r="P46" i="2"/>
  <c r="C59" i="2" s="1"/>
  <c r="P47" i="2"/>
  <c r="C60" i="2" s="1"/>
  <c r="P39" i="2"/>
  <c r="P75" i="2"/>
  <c r="P45" i="2"/>
  <c r="C58" i="2" s="1"/>
  <c r="H52" i="1" l="1"/>
  <c r="H53" i="1"/>
  <c r="H51" i="1"/>
  <c r="H49" i="1"/>
  <c r="H58" i="1"/>
  <c r="H54" i="1"/>
  <c r="H57" i="1"/>
  <c r="H55" i="1"/>
  <c r="H56" i="1"/>
  <c r="O77" i="2"/>
  <c r="P77" i="2" s="1"/>
  <c r="O80" i="2" s="1"/>
  <c r="C86" i="2"/>
  <c r="P76" i="2"/>
  <c r="O78" i="2" s="1"/>
  <c r="P48" i="2"/>
  <c r="C61" i="2" s="1"/>
  <c r="P49" i="2"/>
  <c r="C62" i="2" s="1"/>
  <c r="P79" i="2"/>
  <c r="C90" i="2" s="1"/>
  <c r="C52" i="2"/>
  <c r="H88" i="1" l="1"/>
  <c r="H60" i="1"/>
  <c r="H84" i="1"/>
  <c r="H50" i="1"/>
  <c r="H59" i="1"/>
  <c r="C88" i="2"/>
  <c r="P78" i="2"/>
  <c r="C89" i="2" s="1"/>
  <c r="C87" i="2"/>
  <c r="P50" i="2"/>
  <c r="C63" i="2" s="1"/>
  <c r="H85" i="1" l="1"/>
  <c r="H87" i="1"/>
  <c r="H61" i="1"/>
  <c r="F111" i="1"/>
  <c r="G24" i="19" s="1"/>
  <c r="H86" i="1"/>
  <c r="H111" i="1" s="1"/>
  <c r="H24" i="19" s="1"/>
  <c r="P51" i="2"/>
  <c r="P59" i="2" s="1"/>
  <c r="P80" i="2"/>
  <c r="P83" i="2" s="1"/>
  <c r="P56" i="2" l="1"/>
  <c r="P58" i="2" s="1"/>
  <c r="C91" i="2"/>
  <c r="Q38" i="2"/>
  <c r="C71" i="2"/>
  <c r="Q45" i="2"/>
  <c r="Q39" i="2"/>
  <c r="Q50" i="2"/>
  <c r="Q47" i="2"/>
  <c r="Q46" i="2"/>
  <c r="Q40" i="2"/>
  <c r="Q42" i="2"/>
  <c r="Q51" i="2"/>
  <c r="Q44" i="2"/>
  <c r="Q43" i="2"/>
  <c r="Q48" i="2"/>
  <c r="Q41" i="2"/>
  <c r="Q49" i="2"/>
  <c r="C64" i="2"/>
  <c r="Q73" i="2"/>
  <c r="Q75" i="2"/>
  <c r="C94" i="2"/>
  <c r="Q72" i="2"/>
  <c r="Q77" i="2"/>
  <c r="O93" i="2"/>
  <c r="Q74" i="2"/>
  <c r="Q76" i="2"/>
  <c r="O91" i="2"/>
  <c r="Q79" i="2"/>
  <c r="Q78" i="2"/>
  <c r="Q80" i="2"/>
  <c r="H69" i="1" l="1"/>
  <c r="G5" i="19"/>
  <c r="H92" i="1"/>
  <c r="H5" i="19" s="1"/>
  <c r="H62" i="1"/>
  <c r="H89" i="1"/>
  <c r="C68" i="2"/>
  <c r="P57" i="2"/>
  <c r="P60" i="2" s="1"/>
  <c r="C70" i="2"/>
  <c r="C96" i="2"/>
  <c r="C69" i="2" l="1"/>
  <c r="G7" i="19"/>
  <c r="H94" i="1"/>
  <c r="H7" i="19" s="1"/>
  <c r="H67" i="1"/>
  <c r="H68" i="1"/>
  <c r="H66" i="1"/>
  <c r="O94" i="2"/>
  <c r="P89" i="2" s="1"/>
  <c r="W20" i="2" s="1"/>
  <c r="Q58" i="2"/>
  <c r="Q57" i="2"/>
  <c r="O88" i="2"/>
  <c r="Q60" i="2"/>
  <c r="Q59" i="2"/>
  <c r="Q56" i="2"/>
  <c r="P93" i="2" l="1"/>
  <c r="P90" i="2"/>
  <c r="W21" i="2" s="1"/>
  <c r="C97" i="2"/>
  <c r="O95" i="2"/>
  <c r="W17" i="2" s="1"/>
  <c r="P91" i="2"/>
  <c r="W22" i="2" s="1"/>
  <c r="O92" i="2"/>
  <c r="P88" i="2"/>
  <c r="W19" i="2" s="1"/>
  <c r="H95" i="1" l="1"/>
  <c r="H8" i="19" s="1"/>
  <c r="C98" i="2"/>
  <c r="F100" i="1"/>
  <c r="G13" i="19" s="1"/>
  <c r="O66" i="18"/>
  <c r="P66" i="18" s="1"/>
  <c r="C95" i="2"/>
  <c r="P92" i="2"/>
  <c r="F99" i="1" l="1"/>
  <c r="G12" i="19" s="1"/>
  <c r="G8" i="19"/>
  <c r="F103" i="1"/>
  <c r="G16" i="19" s="1"/>
  <c r="F98" i="1"/>
  <c r="G11" i="19" s="1"/>
  <c r="F102" i="1"/>
  <c r="G15" i="19" s="1"/>
  <c r="G9" i="19"/>
  <c r="H96" i="1"/>
  <c r="H9" i="19" s="1"/>
  <c r="G6" i="19"/>
  <c r="H93" i="1"/>
  <c r="H6" i="19" s="1"/>
  <c r="H98" i="1"/>
  <c r="H11" i="19" s="1"/>
  <c r="H99" i="1"/>
  <c r="H12" i="19" s="1"/>
  <c r="H103" i="1"/>
  <c r="H16" i="19" s="1"/>
  <c r="H100" i="1"/>
  <c r="H13" i="19" s="1"/>
  <c r="H102" i="1"/>
  <c r="H15" i="19" s="1"/>
  <c r="C77" i="18"/>
  <c r="H84" i="17" s="1"/>
  <c r="P81" i="18"/>
  <c r="O76" i="18"/>
  <c r="O79" i="18"/>
  <c r="P79" i="18" s="1"/>
  <c r="F106" i="1"/>
  <c r="G19" i="19" s="1"/>
  <c r="G37" i="19" l="1"/>
  <c r="G38" i="19"/>
  <c r="G35" i="19"/>
  <c r="G36" i="19"/>
  <c r="H37" i="19"/>
  <c r="H36" i="19"/>
  <c r="H35" i="19"/>
  <c r="H38" i="19"/>
  <c r="H32" i="19"/>
  <c r="F101" i="1"/>
  <c r="G14" i="19" s="1"/>
  <c r="H101" i="1"/>
  <c r="H14" i="19" s="1"/>
  <c r="H106" i="1"/>
  <c r="Q64" i="18"/>
  <c r="Q65" i="18"/>
  <c r="O89" i="18"/>
  <c r="C92" i="18"/>
  <c r="H99" i="17" s="1"/>
  <c r="C90" i="18"/>
  <c r="H97" i="17" s="1"/>
  <c r="Q66" i="18"/>
  <c r="P76" i="18"/>
  <c r="O78" i="18"/>
  <c r="P78" i="18" s="1"/>
  <c r="F112" i="1"/>
  <c r="G25" i="19" s="1"/>
  <c r="H112" i="1" l="1"/>
  <c r="H25" i="19" s="1"/>
  <c r="H19" i="19"/>
  <c r="C89" i="18"/>
  <c r="H96" i="17" s="1"/>
  <c r="C87" i="18"/>
  <c r="H94" i="17" s="1"/>
  <c r="O80" i="18"/>
  <c r="P80" i="18" s="1"/>
  <c r="C91" i="18" s="1"/>
  <c r="H98" i="17" s="1"/>
  <c r="P83" i="18" l="1"/>
  <c r="Q80" i="18" l="1"/>
  <c r="O91" i="18"/>
  <c r="Q77" i="18"/>
  <c r="C94" i="18"/>
  <c r="H101" i="17" s="1"/>
  <c r="Q75" i="18"/>
  <c r="O93" i="18"/>
  <c r="Q72" i="18"/>
  <c r="Q73" i="18"/>
  <c r="Q74" i="18"/>
  <c r="Q79" i="18"/>
  <c r="Q78" i="18"/>
  <c r="Q76" i="18"/>
  <c r="H103" i="17" l="1"/>
  <c r="O94" i="18"/>
  <c r="P93" i="18" s="1"/>
  <c r="H104" i="17" l="1"/>
  <c r="H110" i="17" s="1"/>
  <c r="P90" i="18"/>
  <c r="W21" i="18" s="1"/>
  <c r="O95" i="18"/>
  <c r="P92" i="18"/>
  <c r="P88" i="18"/>
  <c r="W19" i="18" s="1"/>
  <c r="P89" i="18"/>
  <c r="W20" i="18" s="1"/>
  <c r="P91" i="18"/>
  <c r="W22" i="18" s="1"/>
  <c r="W17" i="18" l="1"/>
  <c r="C96" i="18"/>
  <c r="H105" i="17" s="1"/>
  <c r="H111" i="17"/>
  <c r="H107" i="17"/>
  <c r="H109" i="17"/>
  <c r="H106" i="17"/>
  <c r="H108" i="1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  <author>tc={BB41C2A5-0CC1-43D6-A87F-DD0F24027044}</author>
  </authors>
  <commentList>
    <comment ref="AH4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Administrator:</t>
        </r>
        <r>
          <rPr>
            <sz val="9"/>
            <color indexed="81"/>
            <rFont val="Tahoma"/>
            <family val="2"/>
          </rPr>
          <t xml:space="preserve">
Ctrl+r para recalcular costos reactor</t>
        </r>
      </text>
    </comment>
    <comment ref="M25" authorId="1" shapeId="0" xr:uid="{00000000-0006-0000-0200-000002000000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Si es un raceway, no haría falta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  <author>tc={BB41C2A5-0CC1-43D7-A87F-DD0F24027044}</author>
  </authors>
  <commentList>
    <comment ref="AH4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Administrator:</t>
        </r>
        <r>
          <rPr>
            <sz val="9"/>
            <color indexed="81"/>
            <rFont val="Tahoma"/>
            <family val="2"/>
          </rPr>
          <t xml:space="preserve">
Ctrl+r para recalcular costos reactor</t>
        </r>
      </text>
    </comment>
    <comment ref="M25" authorId="1" shapeId="0" xr:uid="{00000000-0006-0000-0300-000002000000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Si es un raceway, no haría falta</t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  <author>tc={BB41C2A5-0CC1-43D8-A87F-DD0F24027044}</author>
  </authors>
  <commentList>
    <comment ref="AH4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Administrator:</t>
        </r>
        <r>
          <rPr>
            <sz val="9"/>
            <color indexed="81"/>
            <rFont val="Tahoma"/>
            <family val="2"/>
          </rPr>
          <t xml:space="preserve">
Ctrl+r para recalcular costos reactor</t>
        </r>
      </text>
    </comment>
    <comment ref="M25" authorId="1" shapeId="0" xr:uid="{00000000-0006-0000-0400-000002000000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Si es un raceway, no haría falta</t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  <author>tc={BB41C2A5-0CC1-43D9-A87F-DD0F24027044}</author>
  </authors>
  <commentList>
    <comment ref="AH4" authorId="0" shapeId="0" xr:uid="{00000000-0006-0000-0500-000001000000}">
      <text>
        <r>
          <rPr>
            <b/>
            <sz val="9"/>
            <color indexed="81"/>
            <rFont val="Tahoma"/>
            <family val="2"/>
          </rPr>
          <t>Administrator:</t>
        </r>
        <r>
          <rPr>
            <sz val="9"/>
            <color indexed="81"/>
            <rFont val="Tahoma"/>
            <family val="2"/>
          </rPr>
          <t xml:space="preserve">
Ctrl+r para recalcular costos reactor</t>
        </r>
      </text>
    </comment>
    <comment ref="M25" authorId="1" shapeId="0" xr:uid="{00000000-0006-0000-0500-000002000000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Si es un raceway, no haría falta</t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  <author>tc={BB41C2A5-0CC1-43DA-A87F-DD0F24027044}</author>
  </authors>
  <commentList>
    <comment ref="AH4" authorId="0" shapeId="0" xr:uid="{00000000-0006-0000-0600-000001000000}">
      <text>
        <r>
          <rPr>
            <b/>
            <sz val="9"/>
            <color indexed="81"/>
            <rFont val="Tahoma"/>
            <family val="2"/>
          </rPr>
          <t>Administrator:</t>
        </r>
        <r>
          <rPr>
            <sz val="9"/>
            <color indexed="81"/>
            <rFont val="Tahoma"/>
            <family val="2"/>
          </rPr>
          <t xml:space="preserve">
Ctrl+r para recalcular costos reactor</t>
        </r>
      </text>
    </comment>
    <comment ref="M25" authorId="1" shapeId="0" xr:uid="{00000000-0006-0000-0600-000002000000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Si es un raceway, no haría falta</t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tc={CF6AD528-C28E-4723-ACDA-EB204E4C8C3F}</author>
    <author>Elena Rojo</author>
    <author>tc={85D724F9-DFF9-4CC2-B0F2-5AE7844AED44}</author>
  </authors>
  <commentList>
    <comment ref="E16" authorId="0" shapeId="0" xr:uid="{00000000-0006-0000-0700-000001000000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Enzymatic hydrolysis of renewable vegetable proteins (pg 92)</t>
      </text>
    </comment>
    <comment ref="E28" authorId="1" shapeId="0" xr:uid="{00000000-0006-0000-0700-000002000000}">
      <text>
        <r>
          <rPr>
            <b/>
            <sz val="9"/>
            <color indexed="81"/>
            <rFont val="Tahoma"/>
            <family val="2"/>
          </rPr>
          <t>Elena Rojo:</t>
        </r>
        <r>
          <rPr>
            <sz val="9"/>
            <color indexed="81"/>
            <rFont val="Tahoma"/>
            <family val="2"/>
          </rPr>
          <t xml:space="preserve">
Entre 100 y 200</t>
        </r>
      </text>
    </comment>
    <comment ref="E33" authorId="2" shapeId="0" xr:uid="{00000000-0006-0000-0700-000003000000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https://www.moodydirect.com/wp-content/uploads/2017/05/tetra_pak_homogenizer_500_pd_41306.pdf</t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  <author>tc={59F4A270-AC10-4203-A960-9628F3807664}</author>
    <author>tc={BB74B9C3-8303-4649-BB0A-AF85B5F43286}</author>
    <author>tc={EE975C15-E10F-47C6-A7B8-0B3111888D9C}</author>
    <author>tc={DD2CFB48-C4B1-405A-8E54-369CBC9F160B}</author>
  </authors>
  <commentList>
    <comment ref="AH4" authorId="0" shapeId="0" xr:uid="{00000000-0006-0000-0800-000001000000}">
      <text>
        <r>
          <rPr>
            <b/>
            <sz val="9"/>
            <color indexed="81"/>
            <rFont val="Tahoma"/>
            <family val="2"/>
          </rPr>
          <t>Administrator:</t>
        </r>
        <r>
          <rPr>
            <sz val="9"/>
            <color indexed="81"/>
            <rFont val="Tahoma"/>
            <family val="2"/>
          </rPr>
          <t xml:space="preserve">
Ctrl+r para recalcular costos reactor</t>
        </r>
      </text>
    </comment>
    <comment ref="O9" authorId="1" shapeId="0" xr:uid="{00000000-0006-0000-0800-000002000000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HRT = 1 día</t>
      </text>
    </comment>
    <comment ref="F25" authorId="2" shapeId="0" xr:uid="{00000000-0006-0000-0800-000003000000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https://www.moodydirect.com/wp-content/uploads/2017/05/tetra_pak_homogenizer_500_pd_41306.pdf</t>
      </text>
    </comment>
    <comment ref="H25" authorId="3" shapeId="0" xr:uid="{00000000-0006-0000-0800-000004000000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https://homogenizers.net/pages/ac-high-pressure-homogenization</t>
      </text>
    </comment>
    <comment ref="M27" authorId="4" shapeId="0" xr:uid="{00000000-0006-0000-0800-000005000000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Es una centrifuga??</t>
      </text>
    </comment>
  </commentList>
</comments>
</file>

<file path=xl/sharedStrings.xml><?xml version="1.0" encoding="utf-8"?>
<sst xmlns="http://schemas.openxmlformats.org/spreadsheetml/2006/main" count="1420" uniqueCount="295">
  <si>
    <t>Unit</t>
  </si>
  <si>
    <t>Value</t>
  </si>
  <si>
    <t>Cultivation systems</t>
  </si>
  <si>
    <t>Biomass productivity</t>
  </si>
  <si>
    <t>g/m2/day</t>
  </si>
  <si>
    <t>CO2 fixation efficiency</t>
  </si>
  <si>
    <t>Water evaporation</t>
  </si>
  <si>
    <t>L/m2/day</t>
  </si>
  <si>
    <t xml:space="preserve">Labour </t>
  </si>
  <si>
    <t>people/ha</t>
  </si>
  <si>
    <t>Production days</t>
  </si>
  <si>
    <t>Days</t>
  </si>
  <si>
    <t>Land area</t>
  </si>
  <si>
    <t>ha</t>
  </si>
  <si>
    <t>CO2 usage</t>
  </si>
  <si>
    <t>kg/kg algae biomass</t>
  </si>
  <si>
    <t>Total biomass production</t>
  </si>
  <si>
    <t>ton/ha/year</t>
  </si>
  <si>
    <t>Total CO2 consumption</t>
  </si>
  <si>
    <t>Total water evaporation</t>
  </si>
  <si>
    <t>Technical parameters</t>
  </si>
  <si>
    <t>Mixing power consumption</t>
  </si>
  <si>
    <t>Ratio V/S</t>
  </si>
  <si>
    <t>Dilution rate</t>
  </si>
  <si>
    <t>1/day</t>
  </si>
  <si>
    <t>Total culture volume</t>
  </si>
  <si>
    <t xml:space="preserve">Medium preparation unit </t>
  </si>
  <si>
    <t xml:space="preserve">Sterilization process </t>
  </si>
  <si>
    <t xml:space="preserve">Air blower </t>
  </si>
  <si>
    <t xml:space="preserve">Photobioreactors </t>
  </si>
  <si>
    <t xml:space="preserve">Sedimenter </t>
  </si>
  <si>
    <t xml:space="preserve">Harvest storage tank </t>
  </si>
  <si>
    <t>Decanter</t>
  </si>
  <si>
    <t>Harvest pump</t>
  </si>
  <si>
    <t>CO2 supply unit</t>
  </si>
  <si>
    <t>Equipment Capacity</t>
  </si>
  <si>
    <t>m3/h</t>
  </si>
  <si>
    <t>m3</t>
  </si>
  <si>
    <t>Kg/h</t>
  </si>
  <si>
    <t>Equipment Costs</t>
  </si>
  <si>
    <t>€</t>
  </si>
  <si>
    <t>Fix Capital Costs</t>
  </si>
  <si>
    <t>Major purchased equipment</t>
  </si>
  <si>
    <t>Installation costs</t>
  </si>
  <si>
    <t>Instrumentation and control</t>
  </si>
  <si>
    <t>Piping</t>
  </si>
  <si>
    <t>Electrical</t>
  </si>
  <si>
    <t>Buildings</t>
  </si>
  <si>
    <t>Yard improvements</t>
  </si>
  <si>
    <t>Service facilities</t>
  </si>
  <si>
    <t>Land</t>
  </si>
  <si>
    <t>Engineering and supervision</t>
  </si>
  <si>
    <t>Construction expenses</t>
  </si>
  <si>
    <t>Contractor's fee</t>
  </si>
  <si>
    <t>Contingency</t>
  </si>
  <si>
    <t>Lifetime</t>
  </si>
  <si>
    <t>Depreciation</t>
  </si>
  <si>
    <t>Property tax (@ 0.01 depreciation)</t>
  </si>
  <si>
    <t>Insurance (@ 0.006 depreciation)</t>
  </si>
  <si>
    <t>Purchase tax (@ 0.16 of items 1-12/10)</t>
  </si>
  <si>
    <t>Fix Capital Costs per annun</t>
  </si>
  <si>
    <t>Direct Production Costs</t>
  </si>
  <si>
    <t>Raw materials</t>
  </si>
  <si>
    <t>Carbon dioxide (kg)</t>
  </si>
  <si>
    <t>Utilities</t>
  </si>
  <si>
    <t>Water (m3)</t>
  </si>
  <si>
    <t>Labor and others</t>
  </si>
  <si>
    <t>Labor</t>
  </si>
  <si>
    <t>Supervision (@ 0.2 labor)</t>
  </si>
  <si>
    <t>Payroll charges (@ 0.25 (labor + supervision))</t>
  </si>
  <si>
    <t>Maintenance (@ 0.04 MEC)</t>
  </si>
  <si>
    <t>Operating supplies (@ 0.004 items 1-5)</t>
  </si>
  <si>
    <t>General plant overheads (@ 0.55 (labor + supervision + maintenance))</t>
  </si>
  <si>
    <t>Tax (@ 0.16 items 1-7, 11 and 12)</t>
  </si>
  <si>
    <t>Contingency (@ 0.05 items 1-7)</t>
  </si>
  <si>
    <t>Marketing (@ 0.05 items 1-13)</t>
  </si>
  <si>
    <t>Total raw materials</t>
  </si>
  <si>
    <t>Total utilities</t>
  </si>
  <si>
    <t>Total labor and others</t>
  </si>
  <si>
    <t>CASE STUDY</t>
  </si>
  <si>
    <t>RELEVANT COSTS</t>
  </si>
  <si>
    <t>Biomass production capacity</t>
  </si>
  <si>
    <t>Tn/year</t>
  </si>
  <si>
    <t>Photobioreactor cost</t>
  </si>
  <si>
    <t>Percentage</t>
  </si>
  <si>
    <t>g/Lday</t>
  </si>
  <si>
    <t>Cost of CO2</t>
  </si>
  <si>
    <t>€/kg</t>
  </si>
  <si>
    <t>m3/m2</t>
  </si>
  <si>
    <t>Air flow rate</t>
  </si>
  <si>
    <t>v/v/min</t>
  </si>
  <si>
    <t>€/m3</t>
  </si>
  <si>
    <t>W/m3</t>
  </si>
  <si>
    <t>Operation time</t>
  </si>
  <si>
    <t>day/annun</t>
  </si>
  <si>
    <t>h/day</t>
  </si>
  <si>
    <t>Water cost, €/m3</t>
  </si>
  <si>
    <t>Power, €/kWh</t>
  </si>
  <si>
    <t>Biomass concentration</t>
  </si>
  <si>
    <t>g/L</t>
  </si>
  <si>
    <t>Total culture surface</t>
  </si>
  <si>
    <t>Ha</t>
  </si>
  <si>
    <t>RESULTS</t>
  </si>
  <si>
    <t>g/m2·day</t>
  </si>
  <si>
    <t>Unit production cost</t>
  </si>
  <si>
    <t>Major costs</t>
  </si>
  <si>
    <t>Exponential factor</t>
  </si>
  <si>
    <t>EQUIPMENT AND COSTS</t>
  </si>
  <si>
    <t>Equipment</t>
  </si>
  <si>
    <t>Minimum size unit</t>
  </si>
  <si>
    <t>Cost, €/unid.</t>
  </si>
  <si>
    <t>Capacity</t>
  </si>
  <si>
    <t>Item</t>
  </si>
  <si>
    <t>Detail</t>
  </si>
  <si>
    <t>Cost €/und.</t>
  </si>
  <si>
    <t>No. of units</t>
  </si>
  <si>
    <t>Total cost, €</t>
  </si>
  <si>
    <t>%</t>
  </si>
  <si>
    <t>Air blower (200 m3/h)</t>
  </si>
  <si>
    <t>CO2 supply unit (10 kg/h)</t>
  </si>
  <si>
    <t>Kg/day</t>
  </si>
  <si>
    <t>Total (€)</t>
  </si>
  <si>
    <t>FIX CAPITAL FACTORS</t>
  </si>
  <si>
    <t>FIX CAPITAL</t>
  </si>
  <si>
    <t>Average factor</t>
  </si>
  <si>
    <t>Min</t>
  </si>
  <si>
    <t>Max</t>
  </si>
  <si>
    <t>Used value</t>
  </si>
  <si>
    <t>Factor</t>
  </si>
  <si>
    <t>Cost, €</t>
  </si>
  <si>
    <t>Total fix capital</t>
  </si>
  <si>
    <t>FIX CAPITAL PER ANNUN</t>
  </si>
  <si>
    <t>Total fix capital per annun</t>
  </si>
  <si>
    <t>DIRECT PRODUCTION COSTS</t>
  </si>
  <si>
    <t>Units</t>
  </si>
  <si>
    <t>€/und.</t>
  </si>
  <si>
    <t>TOTAL COSTS</t>
  </si>
  <si>
    <t>Details</t>
  </si>
  <si>
    <t>Total direct production costs (€)</t>
  </si>
  <si>
    <t>Total production costs (€)</t>
  </si>
  <si>
    <t>Unit cost of producing biomass (€/kg)</t>
  </si>
  <si>
    <t>kg/kgbiomass</t>
  </si>
  <si>
    <t>Power consumption mixing (Kwh)</t>
  </si>
  <si>
    <t>Power consumption others (Kwh)</t>
  </si>
  <si>
    <t>Medium preparation unit (10 m3/h)</t>
  </si>
  <si>
    <t>Sterilization process (10 m3/h)</t>
  </si>
  <si>
    <t>Photobioreactors (200 m3)</t>
  </si>
  <si>
    <t>Harvest storage tank (50 m3)</t>
  </si>
  <si>
    <t>Harvest pump (10 m3/h)</t>
  </si>
  <si>
    <t>€/kWh</t>
  </si>
  <si>
    <t>Cost of fertilizers</t>
  </si>
  <si>
    <t>Fertilizers (kg)</t>
  </si>
  <si>
    <t>Fertilizers</t>
  </si>
  <si>
    <t>Water losses (m3)</t>
  </si>
  <si>
    <t>kW/m3</t>
  </si>
  <si>
    <t>Power harvesting and others</t>
  </si>
  <si>
    <t>Power mixing (kWh)</t>
  </si>
  <si>
    <t>Power harvesting and others (Kwh)</t>
  </si>
  <si>
    <t>Unit cost of producing biomass</t>
  </si>
  <si>
    <t>Total production costs</t>
  </si>
  <si>
    <t>Total direct production costs</t>
  </si>
  <si>
    <t>Water cost</t>
  </si>
  <si>
    <t>CO2 cost</t>
  </si>
  <si>
    <t>Nutrients cost</t>
  </si>
  <si>
    <t>Fertilizers usage</t>
  </si>
  <si>
    <t>Power cost</t>
  </si>
  <si>
    <t>Power for harvesting and others</t>
  </si>
  <si>
    <t>kWh/m3 harvest</t>
  </si>
  <si>
    <t>Colours</t>
  </si>
  <si>
    <t>Red</t>
  </si>
  <si>
    <t>Parameters for simulations</t>
  </si>
  <si>
    <t>Green</t>
  </si>
  <si>
    <t>Fix parameters</t>
  </si>
  <si>
    <t>Black</t>
  </si>
  <si>
    <t>Carbon dioxide</t>
  </si>
  <si>
    <t>Power</t>
  </si>
  <si>
    <t>General plant overheads</t>
  </si>
  <si>
    <t>Rest of the costs</t>
  </si>
  <si>
    <t>Low availability base case</t>
  </si>
  <si>
    <t>Preconcentration (25 m3/h)</t>
  </si>
  <si>
    <t>Decanter (20 m3/h)</t>
  </si>
  <si>
    <t>Calculated values (no cambiar nunca)</t>
  </si>
  <si>
    <t>Máximo 10</t>
  </si>
  <si>
    <t>Ozono</t>
  </si>
  <si>
    <t>Usuh (buscar el libro americano de analisis economico)</t>
  </si>
  <si>
    <t>Etapa cosechado en la centrifuga</t>
  </si>
  <si>
    <t>Cada tipo de reactor tiene un consumo</t>
  </si>
  <si>
    <t>Biomass extraction</t>
  </si>
  <si>
    <t>-</t>
  </si>
  <si>
    <t>Reactor volume</t>
  </si>
  <si>
    <t>Blue</t>
  </si>
  <si>
    <t>Freeze-dryer and storage (80 kg/day)</t>
  </si>
  <si>
    <t>Pone del 1-12 pero coge también el 13</t>
  </si>
  <si>
    <t>Operating supplies (@ 0.004 items raw material)</t>
  </si>
  <si>
    <t>Tax (@ 0.16 items raw material + utilities + maintance + operating supply)</t>
  </si>
  <si>
    <t>Contingency (@ 0.05 items raw material + utilities)</t>
  </si>
  <si>
    <t>Marketing (@ 0.05 items raw material + utilities + supervision + payroll + maintance + operating + general overheads)</t>
  </si>
  <si>
    <t>Centrifuge energy</t>
  </si>
  <si>
    <t>kWh/day</t>
  </si>
  <si>
    <t>Hydrautlic residence time</t>
  </si>
  <si>
    <t>h</t>
  </si>
  <si>
    <t>kg/day</t>
  </si>
  <si>
    <t>Electricity cost</t>
  </si>
  <si>
    <t>Solid separation</t>
  </si>
  <si>
    <t>Working time</t>
  </si>
  <si>
    <t>Concentration factor</t>
  </si>
  <si>
    <t>Outlet solid flow</t>
  </si>
  <si>
    <t>Outlet liquid flow</t>
  </si>
  <si>
    <t>Biomass concentration inlet</t>
  </si>
  <si>
    <t>Inlet mass (stream 6)</t>
  </si>
  <si>
    <t>Alcalase concentration</t>
  </si>
  <si>
    <t>Flavourzyme concentration</t>
  </si>
  <si>
    <t>kg/d</t>
  </si>
  <si>
    <t>Alcalase cost</t>
  </si>
  <si>
    <t>Flavourzyme cost</t>
  </si>
  <si>
    <t>Alcalase consumption</t>
  </si>
  <si>
    <t>Alcalase process cost</t>
  </si>
  <si>
    <t>Flavourzyme consumption</t>
  </si>
  <si>
    <t>Flavourzyme process cost</t>
  </si>
  <si>
    <t>Enzymatic hydrolysis</t>
  </si>
  <si>
    <t>day/year</t>
  </si>
  <si>
    <t>Enzyme consumption</t>
  </si>
  <si>
    <t>ton/year</t>
  </si>
  <si>
    <t>Heat power cost</t>
  </si>
  <si>
    <t>Microalgae biomass</t>
  </si>
  <si>
    <t>Enzymatic reactor</t>
  </si>
  <si>
    <t>Centrifuge</t>
  </si>
  <si>
    <t>Power consumption mixing (kWh)</t>
  </si>
  <si>
    <t>Power consumption heating (kWh)</t>
  </si>
  <si>
    <t>Cost of Alcalase</t>
  </si>
  <si>
    <t>Cost of Flavourzyme</t>
  </si>
  <si>
    <t>Alcalase (kg)</t>
  </si>
  <si>
    <t>Flavourzyme (kg)</t>
  </si>
  <si>
    <t>Microalgae (kg)</t>
  </si>
  <si>
    <t>Unit cost of producing bioestimulant (€/kg)</t>
  </si>
  <si>
    <t>High Pressure Homogenization</t>
  </si>
  <si>
    <t>Energy consumption</t>
  </si>
  <si>
    <t>HPH energy</t>
  </si>
  <si>
    <t>Final tank volume</t>
  </si>
  <si>
    <t>Inlet flow (stream 7)</t>
  </si>
  <si>
    <t>Inlet flow (stream 10)</t>
  </si>
  <si>
    <t>Bioestimulant extraction</t>
  </si>
  <si>
    <t>Heat cost</t>
  </si>
  <si>
    <t>Temperature</t>
  </si>
  <si>
    <t>ºC</t>
  </si>
  <si>
    <t>Inlet mass (stream 7)</t>
  </si>
  <si>
    <t>Fix parameters (blalance)</t>
  </si>
  <si>
    <t>Balance values</t>
  </si>
  <si>
    <r>
      <t>m</t>
    </r>
    <r>
      <rPr>
        <vertAlign val="superscript"/>
        <sz val="11"/>
        <color rgb="FF00B050"/>
        <rFont val="Calibri"/>
        <family val="2"/>
        <scheme val="minor"/>
      </rPr>
      <t>3</t>
    </r>
    <r>
      <rPr>
        <sz val="11"/>
        <color rgb="FF00B050"/>
        <rFont val="Calibri"/>
        <family val="2"/>
        <scheme val="minor"/>
      </rPr>
      <t>/day</t>
    </r>
  </si>
  <si>
    <r>
      <t>m</t>
    </r>
    <r>
      <rPr>
        <vertAlign val="superscript"/>
        <sz val="11"/>
        <rFont val="Calibri"/>
        <family val="2"/>
        <scheme val="minor"/>
      </rPr>
      <t>3</t>
    </r>
  </si>
  <si>
    <t>Heat power reactor</t>
  </si>
  <si>
    <t>€/day</t>
  </si>
  <si>
    <t>Mixing power reactor</t>
  </si>
  <si>
    <t>Mixing power</t>
  </si>
  <si>
    <r>
      <t>kWh/m</t>
    </r>
    <r>
      <rPr>
        <b/>
        <vertAlign val="superscript"/>
        <sz val="11"/>
        <color rgb="FFFF0000"/>
        <rFont val="Calibri"/>
        <family val="2"/>
        <scheme val="minor"/>
      </rPr>
      <t>3</t>
    </r>
  </si>
  <si>
    <t>Inlet mass (stream 10)</t>
  </si>
  <si>
    <t>Solid fraction humidity</t>
  </si>
  <si>
    <r>
      <t>m</t>
    </r>
    <r>
      <rPr>
        <vertAlign val="superscript"/>
        <sz val="11"/>
        <color rgb="FF00B050"/>
        <rFont val="Calibri"/>
        <family val="2"/>
        <scheme val="minor"/>
      </rPr>
      <t>3</t>
    </r>
    <r>
      <rPr>
        <sz val="11"/>
        <color rgb="FF00B050"/>
        <rFont val="Calibri"/>
        <family val="2"/>
        <scheme val="minor"/>
      </rPr>
      <t>/h</t>
    </r>
  </si>
  <si>
    <t>Outlet solid compounds</t>
  </si>
  <si>
    <t>Outlet liquid compounds</t>
  </si>
  <si>
    <t>Inlet microalgae</t>
  </si>
  <si>
    <t>Protein</t>
  </si>
  <si>
    <t>Carbohydrate</t>
  </si>
  <si>
    <t>Lipid</t>
  </si>
  <si>
    <t>Protein hydrolysis degree</t>
  </si>
  <si>
    <t>Carbohydrate recovery</t>
  </si>
  <si>
    <r>
      <t>m</t>
    </r>
    <r>
      <rPr>
        <vertAlign val="superscript"/>
        <sz val="11"/>
        <rFont val="Calibri"/>
        <family val="2"/>
        <scheme val="minor"/>
      </rPr>
      <t>3</t>
    </r>
    <r>
      <rPr>
        <sz val="11"/>
        <rFont val="Calibri"/>
        <family val="2"/>
        <scheme val="minor"/>
      </rPr>
      <t>/day</t>
    </r>
  </si>
  <si>
    <t>Inlet flow (stream 6)</t>
  </si>
  <si>
    <t>Bioestimulant production capacity (stream 11)</t>
  </si>
  <si>
    <r>
      <t>m</t>
    </r>
    <r>
      <rPr>
        <vertAlign val="superscript"/>
        <sz val="10"/>
        <rFont val="Arial"/>
        <family val="2"/>
      </rPr>
      <t>3</t>
    </r>
  </si>
  <si>
    <r>
      <t>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/h</t>
    </r>
  </si>
  <si>
    <t>Final tank</t>
  </si>
  <si>
    <t>Fertilizer</t>
  </si>
  <si>
    <t>Labour cost</t>
  </si>
  <si>
    <t>€/annun·personn</t>
  </si>
  <si>
    <t>Labour</t>
  </si>
  <si>
    <t>men</t>
  </si>
  <si>
    <t>Manure</t>
  </si>
  <si>
    <t>Manpower/2</t>
  </si>
  <si>
    <t>Manpower</t>
  </si>
  <si>
    <t>Productivity</t>
  </si>
  <si>
    <t>Reactor</t>
  </si>
  <si>
    <t>Reactors cost/2</t>
  </si>
  <si>
    <t>ton/ha·year</t>
  </si>
  <si>
    <t>m3purin/ha·year</t>
  </si>
  <si>
    <t>Productivity*1.5</t>
  </si>
  <si>
    <t>1 €/kg</t>
  </si>
  <si>
    <t>5 €/kg</t>
  </si>
  <si>
    <t>2 €/kg</t>
  </si>
  <si>
    <t>10 €/kg</t>
  </si>
  <si>
    <t>m3manure/year</t>
  </si>
  <si>
    <t>kgbiomass/m3manure</t>
  </si>
  <si>
    <t>Cost manure tretament, €/m3</t>
  </si>
  <si>
    <t>tn/year</t>
  </si>
  <si>
    <t>kgN/year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</si>
</sst>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0.0"/>
    <numFmt numFmtId="166" formatCode="0.0%"/>
    <numFmt numFmtId="167" formatCode="#,##0.00\ &quot;€&quot;"/>
    <numFmt numFmtId="168" formatCode="_-* #,##0\ _€_-;\-* #,##0\ _€_-;_-* &quot;-&quot;??\ _€_-;_-@_-"/>
    <numFmt numFmtId="169" formatCode="0.000"/>
    <numFmt numFmtId="170" formatCode="0.0000"/>
  </numFmts>
  <fonts count="3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b/>
      <sz val="10"/>
      <color rgb="FF008000"/>
      <name val="Arial"/>
      <family val="2"/>
    </font>
    <font>
      <sz val="10"/>
      <color rgb="FF008000"/>
      <name val="Arial"/>
      <family val="2"/>
    </font>
    <font>
      <sz val="10"/>
      <name val="Arial"/>
      <family val="2"/>
    </font>
    <font>
      <b/>
      <sz val="10"/>
      <color indexed="10"/>
      <name val="Arial"/>
      <family val="2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sz val="10"/>
      <color indexed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i/>
      <sz val="10"/>
      <color theme="1"/>
      <name val="Arial"/>
      <family val="2"/>
    </font>
    <font>
      <i/>
      <sz val="11"/>
      <color rgb="FF7F7F7F"/>
      <name val="Calibri"/>
      <family val="2"/>
      <scheme val="minor"/>
    </font>
    <font>
      <b/>
      <sz val="11"/>
      <color rgb="FF00B0F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0"/>
      <color theme="1"/>
      <name val="Arial"/>
      <family val="2"/>
    </font>
    <font>
      <vertAlign val="superscript"/>
      <sz val="11"/>
      <color rgb="FF00B050"/>
      <name val="Calibri"/>
      <family val="2"/>
      <scheme val="minor"/>
    </font>
    <font>
      <vertAlign val="superscript"/>
      <sz val="11"/>
      <name val="Calibri"/>
      <family val="2"/>
      <scheme val="minor"/>
    </font>
    <font>
      <b/>
      <vertAlign val="superscript"/>
      <sz val="11"/>
      <color rgb="FFFF0000"/>
      <name val="Calibri"/>
      <family val="2"/>
      <scheme val="minor"/>
    </font>
    <font>
      <vertAlign val="superscript"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5"/>
      </patternFill>
    </fill>
  </fills>
  <borders count="4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9">
    <xf numFmtId="0" fontId="0" fillId="0" borderId="0"/>
    <xf numFmtId="16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21" fillId="5" borderId="0" applyNumberFormat="0" applyBorder="0" applyAlignment="0" applyProtection="0"/>
    <xf numFmtId="0" fontId="22" fillId="6" borderId="0" applyNumberFormat="0" applyBorder="0" applyAlignment="0" applyProtection="0"/>
    <xf numFmtId="0" fontId="24" fillId="0" borderId="0" applyNumberFormat="0" applyFill="0" applyBorder="0" applyAlignment="0" applyProtection="0"/>
    <xf numFmtId="0" fontId="28" fillId="7" borderId="0" applyNumberFormat="0" applyBorder="0" applyAlignment="0" applyProtection="0"/>
  </cellStyleXfs>
  <cellXfs count="322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2" borderId="0" xfId="0" applyFont="1" applyFill="1" applyAlignment="1">
      <alignment horizontal="center"/>
    </xf>
    <xf numFmtId="0" fontId="1" fillId="0" borderId="13" xfId="0" applyFont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4" fillId="0" borderId="0" xfId="0" applyFont="1"/>
    <xf numFmtId="165" fontId="4" fillId="0" borderId="0" xfId="0" applyNumberFormat="1" applyFont="1" applyAlignment="1">
      <alignment horizontal="center"/>
    </xf>
    <xf numFmtId="0" fontId="5" fillId="0" borderId="12" xfId="0" applyFont="1" applyBorder="1"/>
    <xf numFmtId="0" fontId="4" fillId="0" borderId="12" xfId="0" applyFont="1" applyBorder="1"/>
    <xf numFmtId="0" fontId="4" fillId="0" borderId="11" xfId="0" applyFont="1" applyBorder="1"/>
    <xf numFmtId="164" fontId="4" fillId="0" borderId="0" xfId="1" applyFont="1"/>
    <xf numFmtId="2" fontId="6" fillId="0" borderId="0" xfId="0" applyNumberFormat="1" applyFont="1"/>
    <xf numFmtId="0" fontId="6" fillId="0" borderId="5" xfId="0" applyFont="1" applyBorder="1"/>
    <xf numFmtId="0" fontId="6" fillId="0" borderId="0" xfId="0" applyFont="1"/>
    <xf numFmtId="0" fontId="6" fillId="0" borderId="6" xfId="0" applyFont="1" applyBorder="1"/>
    <xf numFmtId="9" fontId="4" fillId="0" borderId="0" xfId="3" applyFont="1"/>
    <xf numFmtId="0" fontId="6" fillId="0" borderId="7" xfId="0" applyFont="1" applyBorder="1"/>
    <xf numFmtId="0" fontId="6" fillId="0" borderId="8" xfId="0" applyFont="1" applyBorder="1"/>
    <xf numFmtId="0" fontId="6" fillId="0" borderId="9" xfId="0" applyFont="1" applyBorder="1"/>
    <xf numFmtId="165" fontId="6" fillId="0" borderId="0" xfId="0" applyNumberFormat="1" applyFont="1"/>
    <xf numFmtId="44" fontId="5" fillId="0" borderId="0" xfId="4" applyFont="1"/>
    <xf numFmtId="0" fontId="8" fillId="0" borderId="0" xfId="0" applyFont="1"/>
    <xf numFmtId="166" fontId="4" fillId="0" borderId="0" xfId="0" applyNumberFormat="1" applyFont="1"/>
    <xf numFmtId="1" fontId="6" fillId="0" borderId="0" xfId="0" applyNumberFormat="1" applyFont="1"/>
    <xf numFmtId="164" fontId="5" fillId="0" borderId="0" xfId="1" applyFont="1"/>
    <xf numFmtId="0" fontId="5" fillId="0" borderId="0" xfId="0" applyFont="1"/>
    <xf numFmtId="2" fontId="4" fillId="0" borderId="0" xfId="0" applyNumberFormat="1" applyFont="1"/>
    <xf numFmtId="0" fontId="8" fillId="0" borderId="5" xfId="0" applyFont="1" applyBorder="1"/>
    <xf numFmtId="2" fontId="8" fillId="0" borderId="0" xfId="0" applyNumberFormat="1" applyFont="1"/>
    <xf numFmtId="0" fontId="8" fillId="0" borderId="6" xfId="0" applyFont="1" applyBorder="1"/>
    <xf numFmtId="167" fontId="8" fillId="0" borderId="0" xfId="0" applyNumberFormat="1" applyFont="1"/>
    <xf numFmtId="44" fontId="9" fillId="0" borderId="0" xfId="4" applyFont="1"/>
    <xf numFmtId="0" fontId="4" fillId="0" borderId="5" xfId="0" applyFont="1" applyBorder="1"/>
    <xf numFmtId="1" fontId="8" fillId="0" borderId="0" xfId="0" applyNumberFormat="1" applyFont="1"/>
    <xf numFmtId="0" fontId="10" fillId="0" borderId="2" xfId="0" applyFont="1" applyBorder="1"/>
    <xf numFmtId="0" fontId="10" fillId="0" borderId="3" xfId="0" applyFont="1" applyBorder="1"/>
    <xf numFmtId="166" fontId="10" fillId="0" borderId="4" xfId="0" applyNumberFormat="1" applyFont="1" applyBorder="1"/>
    <xf numFmtId="2" fontId="9" fillId="0" borderId="0" xfId="0" applyNumberFormat="1" applyFont="1"/>
    <xf numFmtId="0" fontId="11" fillId="0" borderId="10" xfId="0" applyFont="1" applyBorder="1"/>
    <xf numFmtId="0" fontId="11" fillId="0" borderId="12" xfId="0" applyFont="1" applyBorder="1"/>
    <xf numFmtId="167" fontId="11" fillId="0" borderId="12" xfId="0" applyNumberFormat="1" applyFont="1" applyBorder="1"/>
    <xf numFmtId="167" fontId="11" fillId="0" borderId="11" xfId="0" applyNumberFormat="1" applyFont="1" applyBorder="1"/>
    <xf numFmtId="0" fontId="10" fillId="0" borderId="10" xfId="0" applyFont="1" applyBorder="1"/>
    <xf numFmtId="0" fontId="10" fillId="0" borderId="12" xfId="0" applyFont="1" applyBorder="1"/>
    <xf numFmtId="0" fontId="10" fillId="0" borderId="11" xfId="0" applyFont="1" applyBorder="1"/>
    <xf numFmtId="0" fontId="11" fillId="0" borderId="5" xfId="0" applyFont="1" applyBorder="1"/>
    <xf numFmtId="0" fontId="11" fillId="0" borderId="0" xfId="0" applyFont="1"/>
    <xf numFmtId="166" fontId="11" fillId="0" borderId="0" xfId="0" applyNumberFormat="1" applyFont="1"/>
    <xf numFmtId="0" fontId="11" fillId="0" borderId="6" xfId="0" applyFont="1" applyBorder="1"/>
    <xf numFmtId="0" fontId="5" fillId="0" borderId="2" xfId="0" applyFont="1" applyBorder="1"/>
    <xf numFmtId="0" fontId="4" fillId="0" borderId="3" xfId="0" applyFont="1" applyBorder="1"/>
    <xf numFmtId="2" fontId="4" fillId="0" borderId="4" xfId="0" applyNumberFormat="1" applyFont="1" applyBorder="1"/>
    <xf numFmtId="166" fontId="4" fillId="0" borderId="0" xfId="3" applyNumberFormat="1" applyFont="1" applyBorder="1"/>
    <xf numFmtId="0" fontId="4" fillId="0" borderId="4" xfId="0" applyFont="1" applyBorder="1"/>
    <xf numFmtId="0" fontId="5" fillId="0" borderId="3" xfId="0" applyFont="1" applyBorder="1"/>
    <xf numFmtId="164" fontId="5" fillId="0" borderId="3" xfId="1" applyFont="1" applyBorder="1"/>
    <xf numFmtId="0" fontId="4" fillId="0" borderId="10" xfId="0" applyFont="1" applyBorder="1"/>
    <xf numFmtId="0" fontId="5" fillId="0" borderId="10" xfId="0" applyFont="1" applyBorder="1"/>
    <xf numFmtId="164" fontId="5" fillId="0" borderId="12" xfId="1" applyFont="1" applyBorder="1"/>
    <xf numFmtId="0" fontId="5" fillId="0" borderId="1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11" fillId="0" borderId="7" xfId="0" applyFont="1" applyBorder="1"/>
    <xf numFmtId="0" fontId="11" fillId="0" borderId="8" xfId="0" applyFont="1" applyBorder="1"/>
    <xf numFmtId="166" fontId="11" fillId="0" borderId="8" xfId="0" applyNumberFormat="1" applyFont="1" applyBorder="1"/>
    <xf numFmtId="2" fontId="11" fillId="0" borderId="9" xfId="0" applyNumberFormat="1" applyFont="1" applyBorder="1"/>
    <xf numFmtId="2" fontId="4" fillId="0" borderId="5" xfId="1" applyNumberFormat="1" applyFont="1" applyBorder="1" applyAlignment="1">
      <alignment horizontal="center"/>
    </xf>
    <xf numFmtId="164" fontId="4" fillId="0" borderId="0" xfId="1" applyFont="1" applyBorder="1"/>
    <xf numFmtId="2" fontId="4" fillId="0" borderId="6" xfId="0" applyNumberFormat="1" applyFont="1" applyBorder="1"/>
    <xf numFmtId="165" fontId="8" fillId="0" borderId="0" xfId="0" applyNumberFormat="1" applyFont="1"/>
    <xf numFmtId="168" fontId="8" fillId="0" borderId="0" xfId="1" applyNumberFormat="1" applyFont="1" applyBorder="1" applyAlignment="1">
      <alignment vertical="center"/>
    </xf>
    <xf numFmtId="164" fontId="8" fillId="0" borderId="0" xfId="1" applyFont="1" applyBorder="1"/>
    <xf numFmtId="10" fontId="4" fillId="0" borderId="6" xfId="0" applyNumberFormat="1" applyFont="1" applyBorder="1"/>
    <xf numFmtId="0" fontId="4" fillId="0" borderId="6" xfId="0" applyFont="1" applyBorder="1"/>
    <xf numFmtId="2" fontId="5" fillId="0" borderId="0" xfId="0" applyNumberFormat="1" applyFont="1"/>
    <xf numFmtId="2" fontId="4" fillId="0" borderId="7" xfId="1" applyNumberFormat="1" applyFont="1" applyBorder="1" applyAlignment="1">
      <alignment horizontal="center"/>
    </xf>
    <xf numFmtId="0" fontId="4" fillId="0" borderId="8" xfId="0" applyFont="1" applyBorder="1"/>
    <xf numFmtId="0" fontId="4" fillId="0" borderId="9" xfId="0" applyFont="1" applyBorder="1"/>
    <xf numFmtId="44" fontId="5" fillId="0" borderId="12" xfId="2" applyFont="1" applyBorder="1"/>
    <xf numFmtId="10" fontId="5" fillId="0" borderId="11" xfId="0" applyNumberFormat="1" applyFont="1" applyBorder="1"/>
    <xf numFmtId="10" fontId="5" fillId="0" borderId="0" xfId="0" applyNumberFormat="1" applyFont="1"/>
    <xf numFmtId="164" fontId="8" fillId="0" borderId="0" xfId="1" applyFont="1"/>
    <xf numFmtId="10" fontId="4" fillId="0" borderId="0" xfId="0" applyNumberFormat="1" applyFont="1"/>
    <xf numFmtId="0" fontId="5" fillId="0" borderId="12" xfId="0" applyFont="1" applyBorder="1" applyAlignment="1">
      <alignment horizontal="center"/>
    </xf>
    <xf numFmtId="10" fontId="8" fillId="0" borderId="6" xfId="3" applyNumberFormat="1" applyFont="1" applyBorder="1"/>
    <xf numFmtId="2" fontId="12" fillId="0" borderId="6" xfId="0" applyNumberFormat="1" applyFont="1" applyBorder="1"/>
    <xf numFmtId="0" fontId="4" fillId="0" borderId="7" xfId="0" applyFont="1" applyBorder="1"/>
    <xf numFmtId="2" fontId="4" fillId="0" borderId="9" xfId="0" applyNumberFormat="1" applyFont="1" applyBorder="1"/>
    <xf numFmtId="0" fontId="8" fillId="0" borderId="10" xfId="0" applyFont="1" applyBorder="1"/>
    <xf numFmtId="0" fontId="8" fillId="0" borderId="12" xfId="0" applyFont="1" applyBorder="1"/>
    <xf numFmtId="10" fontId="4" fillId="0" borderId="11" xfId="0" applyNumberFormat="1" applyFont="1" applyBorder="1"/>
    <xf numFmtId="0" fontId="9" fillId="0" borderId="3" xfId="0" applyFont="1" applyBorder="1"/>
    <xf numFmtId="164" fontId="13" fillId="0" borderId="0" xfId="0" applyNumberFormat="1" applyFont="1"/>
    <xf numFmtId="0" fontId="5" fillId="0" borderId="0" xfId="0" applyFont="1" applyAlignment="1">
      <alignment horizontal="left"/>
    </xf>
    <xf numFmtId="0" fontId="5" fillId="0" borderId="12" xfId="0" applyFont="1" applyBorder="1" applyAlignment="1">
      <alignment horizontal="left"/>
    </xf>
    <xf numFmtId="0" fontId="10" fillId="0" borderId="11" xfId="0" applyFont="1" applyBorder="1" applyAlignment="1">
      <alignment horizontal="center"/>
    </xf>
    <xf numFmtId="9" fontId="4" fillId="0" borderId="6" xfId="3" applyFont="1" applyBorder="1"/>
    <xf numFmtId="164" fontId="4" fillId="0" borderId="0" xfId="0" applyNumberFormat="1" applyFont="1" applyAlignment="1">
      <alignment horizontal="right"/>
    </xf>
    <xf numFmtId="169" fontId="4" fillId="0" borderId="0" xfId="0" applyNumberFormat="1" applyFont="1"/>
    <xf numFmtId="167" fontId="5" fillId="0" borderId="12" xfId="0" applyNumberFormat="1" applyFont="1" applyBorder="1" applyAlignment="1">
      <alignment horizontal="right"/>
    </xf>
    <xf numFmtId="9" fontId="10" fillId="0" borderId="11" xfId="3" applyFont="1" applyBorder="1"/>
    <xf numFmtId="9" fontId="4" fillId="0" borderId="4" xfId="3" applyFont="1" applyBorder="1"/>
    <xf numFmtId="9" fontId="10" fillId="0" borderId="11" xfId="3" applyFont="1" applyBorder="1" applyAlignment="1">
      <alignment horizontal="center"/>
    </xf>
    <xf numFmtId="1" fontId="4" fillId="0" borderId="0" xfId="0" applyNumberFormat="1" applyFont="1"/>
    <xf numFmtId="44" fontId="5" fillId="0" borderId="3" xfId="2" applyFont="1" applyBorder="1" applyAlignment="1">
      <alignment horizontal="right"/>
    </xf>
    <xf numFmtId="0" fontId="5" fillId="0" borderId="5" xfId="0" applyFont="1" applyBorder="1"/>
    <xf numFmtId="44" fontId="5" fillId="0" borderId="0" xfId="2" applyFont="1" applyBorder="1" applyAlignment="1">
      <alignment horizontal="right"/>
    </xf>
    <xf numFmtId="0" fontId="5" fillId="0" borderId="7" xfId="0" applyFont="1" applyBorder="1"/>
    <xf numFmtId="0" fontId="5" fillId="0" borderId="8" xfId="0" applyFont="1" applyBorder="1"/>
    <xf numFmtId="44" fontId="5" fillId="0" borderId="8" xfId="2" applyFont="1" applyBorder="1" applyAlignment="1">
      <alignment horizontal="right"/>
    </xf>
    <xf numFmtId="9" fontId="4" fillId="0" borderId="9" xfId="3" applyFont="1" applyBorder="1"/>
    <xf numFmtId="0" fontId="5" fillId="0" borderId="11" xfId="0" applyFont="1" applyBorder="1"/>
    <xf numFmtId="0" fontId="4" fillId="0" borderId="2" xfId="0" applyFont="1" applyBorder="1"/>
    <xf numFmtId="0" fontId="8" fillId="0" borderId="3" xfId="0" applyFont="1" applyBorder="1"/>
    <xf numFmtId="164" fontId="8" fillId="0" borderId="3" xfId="1" applyFont="1" applyBorder="1"/>
    <xf numFmtId="166" fontId="8" fillId="0" borderId="4" xfId="3" applyNumberFormat="1" applyFont="1" applyBorder="1"/>
    <xf numFmtId="166" fontId="8" fillId="0" borderId="6" xfId="3" applyNumberFormat="1" applyFont="1" applyBorder="1"/>
    <xf numFmtId="166" fontId="5" fillId="0" borderId="4" xfId="3" applyNumberFormat="1" applyFont="1" applyBorder="1"/>
    <xf numFmtId="9" fontId="5" fillId="0" borderId="6" xfId="3" applyFont="1" applyBorder="1"/>
    <xf numFmtId="166" fontId="5" fillId="0" borderId="11" xfId="3" applyNumberFormat="1" applyFont="1" applyBorder="1"/>
    <xf numFmtId="0" fontId="5" fillId="0" borderId="9" xfId="0" applyFont="1" applyBorder="1"/>
    <xf numFmtId="0" fontId="10" fillId="2" borderId="2" xfId="0" applyFont="1" applyFill="1" applyBorder="1"/>
    <xf numFmtId="0" fontId="4" fillId="2" borderId="3" xfId="0" applyFont="1" applyFill="1" applyBorder="1"/>
    <xf numFmtId="0" fontId="4" fillId="2" borderId="4" xfId="0" applyFont="1" applyFill="1" applyBorder="1"/>
    <xf numFmtId="0" fontId="4" fillId="2" borderId="17" xfId="0" applyFont="1" applyFill="1" applyBorder="1"/>
    <xf numFmtId="0" fontId="4" fillId="2" borderId="16" xfId="0" applyFont="1" applyFill="1" applyBorder="1"/>
    <xf numFmtId="0" fontId="4" fillId="2" borderId="19" xfId="0" applyFont="1" applyFill="1" applyBorder="1"/>
    <xf numFmtId="0" fontId="4" fillId="2" borderId="20" xfId="0" applyFont="1" applyFill="1" applyBorder="1"/>
    <xf numFmtId="0" fontId="4" fillId="2" borderId="21" xfId="0" applyFont="1" applyFill="1" applyBorder="1"/>
    <xf numFmtId="1" fontId="8" fillId="0" borderId="3" xfId="0" applyNumberFormat="1" applyFont="1" applyBorder="1"/>
    <xf numFmtId="0" fontId="8" fillId="0" borderId="4" xfId="0" applyFont="1" applyBorder="1"/>
    <xf numFmtId="1" fontId="6" fillId="0" borderId="8" xfId="0" applyNumberFormat="1" applyFont="1" applyBorder="1"/>
    <xf numFmtId="168" fontId="8" fillId="0" borderId="0" xfId="1" applyNumberFormat="1" applyFont="1" applyBorder="1"/>
    <xf numFmtId="168" fontId="4" fillId="0" borderId="0" xfId="1" applyNumberFormat="1" applyFont="1" applyBorder="1"/>
    <xf numFmtId="168" fontId="4" fillId="0" borderId="8" xfId="1" applyNumberFormat="1" applyFont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4" borderId="21" xfId="0" applyFont="1" applyFill="1" applyBorder="1"/>
    <xf numFmtId="168" fontId="4" fillId="4" borderId="21" xfId="0" applyNumberFormat="1" applyFont="1" applyFill="1" applyBorder="1"/>
    <xf numFmtId="164" fontId="4" fillId="4" borderId="21" xfId="0" applyNumberFormat="1" applyFont="1" applyFill="1" applyBorder="1"/>
    <xf numFmtId="0" fontId="7" fillId="0" borderId="0" xfId="0" applyFont="1"/>
    <xf numFmtId="166" fontId="8" fillId="0" borderId="6" xfId="0" applyNumberFormat="1" applyFont="1" applyBorder="1"/>
    <xf numFmtId="0" fontId="3" fillId="0" borderId="0" xfId="0" applyFont="1"/>
    <xf numFmtId="2" fontId="5" fillId="0" borderId="8" xfId="0" applyNumberFormat="1" applyFont="1" applyBorder="1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14" xfId="0" applyFont="1" applyBorder="1" applyAlignment="1">
      <alignment horizontal="center"/>
    </xf>
    <xf numFmtId="2" fontId="4" fillId="2" borderId="18" xfId="0" applyNumberFormat="1" applyFont="1" applyFill="1" applyBorder="1"/>
    <xf numFmtId="0" fontId="8" fillId="0" borderId="2" xfId="0" applyFont="1" applyBorder="1"/>
    <xf numFmtId="165" fontId="8" fillId="0" borderId="3" xfId="0" applyNumberFormat="1" applyFont="1" applyBorder="1"/>
    <xf numFmtId="2" fontId="4" fillId="0" borderId="8" xfId="0" applyNumberFormat="1" applyFont="1" applyBorder="1"/>
    <xf numFmtId="166" fontId="8" fillId="0" borderId="9" xfId="0" applyNumberFormat="1" applyFont="1" applyBorder="1"/>
    <xf numFmtId="168" fontId="0" fillId="0" borderId="0" xfId="1" applyNumberFormat="1" applyFont="1" applyBorder="1" applyAlignment="1">
      <alignment horizontal="right" indent="2"/>
    </xf>
    <xf numFmtId="168" fontId="0" fillId="2" borderId="0" xfId="1" applyNumberFormat="1" applyFont="1" applyFill="1" applyBorder="1" applyAlignment="1">
      <alignment horizontal="right" indent="2"/>
    </xf>
    <xf numFmtId="0" fontId="16" fillId="0" borderId="14" xfId="0" applyFont="1" applyBorder="1" applyAlignment="1">
      <alignment horizontal="center"/>
    </xf>
    <xf numFmtId="0" fontId="16" fillId="0" borderId="0" xfId="0" applyFont="1"/>
    <xf numFmtId="0" fontId="17" fillId="0" borderId="14" xfId="0" applyFont="1" applyBorder="1" applyAlignment="1">
      <alignment horizontal="center"/>
    </xf>
    <xf numFmtId="0" fontId="17" fillId="0" borderId="0" xfId="0" applyFont="1" applyAlignment="1">
      <alignment horizontal="center"/>
    </xf>
    <xf numFmtId="0" fontId="17" fillId="0" borderId="0" xfId="0" applyFont="1"/>
    <xf numFmtId="168" fontId="16" fillId="2" borderId="13" xfId="1" applyNumberFormat="1" applyFont="1" applyFill="1" applyBorder="1" applyAlignment="1">
      <alignment horizontal="right" indent="2"/>
    </xf>
    <xf numFmtId="0" fontId="16" fillId="2" borderId="0" xfId="0" applyFont="1" applyFill="1"/>
    <xf numFmtId="168" fontId="16" fillId="2" borderId="14" xfId="1" applyNumberFormat="1" applyFont="1" applyFill="1" applyBorder="1" applyAlignment="1">
      <alignment horizontal="right" indent="2"/>
    </xf>
    <xf numFmtId="164" fontId="18" fillId="2" borderId="15" xfId="1" applyFont="1" applyFill="1" applyBorder="1" applyAlignment="1">
      <alignment horizontal="right" indent="2"/>
    </xf>
    <xf numFmtId="0" fontId="18" fillId="2" borderId="0" xfId="0" applyFont="1" applyFill="1"/>
    <xf numFmtId="0" fontId="1" fillId="3" borderId="1" xfId="0" applyFont="1" applyFill="1" applyBorder="1" applyAlignment="1">
      <alignment horizontal="left"/>
    </xf>
    <xf numFmtId="0" fontId="1" fillId="2" borderId="0" xfId="0" applyFont="1" applyFill="1" applyAlignment="1">
      <alignment horizontal="left"/>
    </xf>
    <xf numFmtId="0" fontId="19" fillId="0" borderId="0" xfId="0" applyFont="1" applyAlignment="1">
      <alignment horizontal="left"/>
    </xf>
    <xf numFmtId="0" fontId="20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8" fillId="2" borderId="13" xfId="0" applyFont="1" applyFill="1" applyBorder="1"/>
    <xf numFmtId="0" fontId="18" fillId="2" borderId="14" xfId="0" applyFont="1" applyFill="1" applyBorder="1"/>
    <xf numFmtId="0" fontId="0" fillId="0" borderId="14" xfId="0" applyBorder="1" applyAlignment="1">
      <alignment horizontal="center"/>
    </xf>
    <xf numFmtId="2" fontId="0" fillId="0" borderId="14" xfId="0" applyNumberFormat="1" applyBorder="1" applyAlignment="1">
      <alignment horizontal="center"/>
    </xf>
    <xf numFmtId="2" fontId="0" fillId="0" borderId="0" xfId="0" applyNumberFormat="1" applyAlignment="1">
      <alignment horizontal="right" indent="2"/>
    </xf>
    <xf numFmtId="0" fontId="0" fillId="2" borderId="0" xfId="0" applyFill="1"/>
    <xf numFmtId="0" fontId="0" fillId="2" borderId="14" xfId="0" applyFill="1" applyBorder="1"/>
    <xf numFmtId="0" fontId="18" fillId="2" borderId="15" xfId="0" applyFont="1" applyFill="1" applyBorder="1"/>
    <xf numFmtId="0" fontId="16" fillId="2" borderId="2" xfId="0" applyFont="1" applyFill="1" applyBorder="1" applyAlignment="1">
      <alignment horizontal="center"/>
    </xf>
    <xf numFmtId="0" fontId="16" fillId="2" borderId="5" xfId="0" applyFont="1" applyFill="1" applyBorder="1" applyAlignment="1">
      <alignment horizontal="center"/>
    </xf>
    <xf numFmtId="0" fontId="18" fillId="2" borderId="7" xfId="0" applyFont="1" applyFill="1" applyBorder="1" applyAlignment="1">
      <alignment horizontal="center"/>
    </xf>
    <xf numFmtId="168" fontId="16" fillId="0" borderId="0" xfId="1" applyNumberFormat="1" applyFont="1" applyBorder="1" applyAlignment="1">
      <alignment horizontal="right" indent="2"/>
    </xf>
    <xf numFmtId="0" fontId="18" fillId="0" borderId="0" xfId="0" applyFont="1"/>
    <xf numFmtId="0" fontId="1" fillId="0" borderId="14" xfId="0" applyFont="1" applyBorder="1" applyAlignment="1">
      <alignment horizontal="center"/>
    </xf>
    <xf numFmtId="168" fontId="1" fillId="0" borderId="0" xfId="1" applyNumberFormat="1" applyFont="1" applyBorder="1" applyAlignment="1">
      <alignment horizontal="right" indent="2"/>
    </xf>
    <xf numFmtId="0" fontId="19" fillId="0" borderId="0" xfId="0" applyFont="1"/>
    <xf numFmtId="0" fontId="20" fillId="0" borderId="0" xfId="0" applyFont="1"/>
    <xf numFmtId="166" fontId="0" fillId="0" borderId="0" xfId="3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0" fontId="10" fillId="0" borderId="5" xfId="0" applyFont="1" applyBorder="1"/>
    <xf numFmtId="166" fontId="5" fillId="0" borderId="6" xfId="3" applyNumberFormat="1" applyFont="1" applyBorder="1"/>
    <xf numFmtId="0" fontId="8" fillId="0" borderId="8" xfId="0" applyFont="1" applyBorder="1"/>
    <xf numFmtId="164" fontId="8" fillId="0" borderId="8" xfId="1" applyFont="1" applyBorder="1"/>
    <xf numFmtId="166" fontId="8" fillId="0" borderId="9" xfId="3" applyNumberFormat="1" applyFont="1" applyBorder="1"/>
    <xf numFmtId="2" fontId="17" fillId="0" borderId="0" xfId="0" applyNumberFormat="1" applyFont="1" applyAlignment="1">
      <alignment horizontal="center"/>
    </xf>
    <xf numFmtId="1" fontId="17" fillId="0" borderId="0" xfId="0" applyNumberFormat="1" applyFont="1" applyAlignment="1">
      <alignment horizontal="center"/>
    </xf>
    <xf numFmtId="2" fontId="17" fillId="0" borderId="14" xfId="0" applyNumberFormat="1" applyFont="1" applyBorder="1" applyAlignment="1">
      <alignment horizontal="center"/>
    </xf>
    <xf numFmtId="1" fontId="17" fillId="0" borderId="14" xfId="0" applyNumberFormat="1" applyFont="1" applyBorder="1" applyAlignment="1">
      <alignment horizontal="center"/>
    </xf>
    <xf numFmtId="2" fontId="4" fillId="0" borderId="2" xfId="1" applyNumberFormat="1" applyFont="1" applyBorder="1" applyAlignment="1">
      <alignment horizontal="center"/>
    </xf>
    <xf numFmtId="0" fontId="21" fillId="5" borderId="0" xfId="5" applyBorder="1" applyAlignment="1">
      <alignment horizontal="center"/>
    </xf>
    <xf numFmtId="0" fontId="23" fillId="0" borderId="0" xfId="0" applyFont="1" applyAlignment="1">
      <alignment horizontal="right"/>
    </xf>
    <xf numFmtId="0" fontId="22" fillId="6" borderId="0" xfId="6"/>
    <xf numFmtId="170" fontId="8" fillId="0" borderId="0" xfId="0" applyNumberFormat="1" applyFont="1"/>
    <xf numFmtId="165" fontId="3" fillId="0" borderId="0" xfId="0" applyNumberFormat="1" applyFont="1" applyAlignment="1">
      <alignment horizontal="center"/>
    </xf>
    <xf numFmtId="165" fontId="3" fillId="0" borderId="14" xfId="0" applyNumberFormat="1" applyFont="1" applyBorder="1" applyAlignment="1">
      <alignment horizontal="center"/>
    </xf>
    <xf numFmtId="44" fontId="5" fillId="0" borderId="0" xfId="0" applyNumberFormat="1" applyFont="1"/>
    <xf numFmtId="44" fontId="5" fillId="0" borderId="12" xfId="1" applyNumberFormat="1" applyFont="1" applyBorder="1"/>
    <xf numFmtId="0" fontId="26" fillId="0" borderId="0" xfId="0" applyFont="1" applyAlignment="1">
      <alignment horizontal="right"/>
    </xf>
    <xf numFmtId="0" fontId="27" fillId="0" borderId="0" xfId="0" applyFont="1" applyAlignment="1">
      <alignment horizontal="right"/>
    </xf>
    <xf numFmtId="2" fontId="0" fillId="0" borderId="0" xfId="1" applyNumberFormat="1" applyFont="1" applyBorder="1" applyAlignment="1">
      <alignment horizontal="center"/>
    </xf>
    <xf numFmtId="164" fontId="12" fillId="0" borderId="0" xfId="0" applyNumberFormat="1" applyFont="1" applyAlignment="1">
      <alignment horizontal="right"/>
    </xf>
    <xf numFmtId="0" fontId="24" fillId="0" borderId="0" xfId="7"/>
    <xf numFmtId="164" fontId="12" fillId="0" borderId="0" xfId="1" applyFont="1" applyBorder="1"/>
    <xf numFmtId="44" fontId="4" fillId="0" borderId="0" xfId="0" applyNumberFormat="1" applyFont="1"/>
    <xf numFmtId="0" fontId="1" fillId="0" borderId="2" xfId="0" applyFont="1" applyBorder="1" applyAlignment="1">
      <alignment horizontal="left"/>
    </xf>
    <xf numFmtId="0" fontId="1" fillId="0" borderId="4" xfId="0" applyFont="1" applyBorder="1" applyAlignment="1">
      <alignment horizontal="center"/>
    </xf>
    <xf numFmtId="0" fontId="25" fillId="0" borderId="0" xfId="0" applyFont="1"/>
    <xf numFmtId="0" fontId="1" fillId="2" borderId="7" xfId="0" applyFont="1" applyFill="1" applyBorder="1" applyAlignment="1">
      <alignment horizontal="left"/>
    </xf>
    <xf numFmtId="0" fontId="1" fillId="2" borderId="15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9" fillId="0" borderId="22" xfId="0" applyFont="1" applyBorder="1" applyAlignment="1">
      <alignment horizontal="center"/>
    </xf>
    <xf numFmtId="0" fontId="19" fillId="0" borderId="23" xfId="0" applyFont="1" applyBorder="1" applyAlignment="1">
      <alignment horizontal="center"/>
    </xf>
    <xf numFmtId="0" fontId="20" fillId="0" borderId="23" xfId="0" applyFont="1" applyBorder="1" applyAlignment="1">
      <alignment horizontal="left"/>
    </xf>
    <xf numFmtId="0" fontId="17" fillId="0" borderId="23" xfId="0" applyFont="1" applyBorder="1" applyAlignment="1">
      <alignment horizontal="center"/>
    </xf>
    <xf numFmtId="2" fontId="17" fillId="0" borderId="24" xfId="0" applyNumberFormat="1" applyFont="1" applyBorder="1" applyAlignment="1">
      <alignment horizontal="center"/>
    </xf>
    <xf numFmtId="0" fontId="19" fillId="0" borderId="17" xfId="0" applyFont="1" applyBorder="1" applyAlignment="1">
      <alignment horizontal="center"/>
    </xf>
    <xf numFmtId="0" fontId="19" fillId="0" borderId="16" xfId="0" applyFont="1" applyBorder="1" applyAlignment="1">
      <alignment horizontal="center"/>
    </xf>
    <xf numFmtId="0" fontId="18" fillId="0" borderId="16" xfId="0" applyFont="1" applyBorder="1" applyAlignment="1">
      <alignment horizontal="left"/>
    </xf>
    <xf numFmtId="0" fontId="16" fillId="0" borderId="16" xfId="0" applyFont="1" applyBorder="1" applyAlignment="1">
      <alignment horizontal="center"/>
    </xf>
    <xf numFmtId="2" fontId="16" fillId="0" borderId="18" xfId="0" applyNumberFormat="1" applyFont="1" applyBorder="1" applyAlignment="1">
      <alignment horizontal="center"/>
    </xf>
    <xf numFmtId="0" fontId="19" fillId="0" borderId="19" xfId="0" applyFont="1" applyBorder="1" applyAlignment="1">
      <alignment horizontal="center"/>
    </xf>
    <xf numFmtId="0" fontId="19" fillId="0" borderId="20" xfId="0" applyFont="1" applyBorder="1" applyAlignment="1">
      <alignment horizontal="center"/>
    </xf>
    <xf numFmtId="0" fontId="22" fillId="6" borderId="16" xfId="6" applyBorder="1" applyAlignment="1">
      <alignment horizontal="center"/>
    </xf>
    <xf numFmtId="0" fontId="18" fillId="0" borderId="0" xfId="0" applyFont="1" applyAlignment="1">
      <alignment horizontal="left"/>
    </xf>
    <xf numFmtId="0" fontId="16" fillId="0" borderId="0" xfId="0" applyFont="1" applyAlignment="1">
      <alignment horizontal="center"/>
    </xf>
    <xf numFmtId="0" fontId="16" fillId="2" borderId="7" xfId="0" applyFont="1" applyFill="1" applyBorder="1" applyAlignment="1">
      <alignment horizontal="center"/>
    </xf>
    <xf numFmtId="164" fontId="16" fillId="2" borderId="15" xfId="1" applyFont="1" applyFill="1" applyBorder="1" applyAlignment="1">
      <alignment horizontal="right" indent="2"/>
    </xf>
    <xf numFmtId="2" fontId="4" fillId="2" borderId="17" xfId="0" applyNumberFormat="1" applyFont="1" applyFill="1" applyBorder="1" applyAlignment="1">
      <alignment horizontal="center"/>
    </xf>
    <xf numFmtId="2" fontId="8" fillId="0" borderId="6" xfId="0" applyNumberFormat="1" applyFont="1" applyBorder="1" applyAlignment="1">
      <alignment horizontal="right"/>
    </xf>
    <xf numFmtId="167" fontId="8" fillId="0" borderId="0" xfId="1" applyNumberFormat="1" applyFont="1" applyBorder="1"/>
    <xf numFmtId="0" fontId="4" fillId="4" borderId="35" xfId="0" applyFont="1" applyFill="1" applyBorder="1"/>
    <xf numFmtId="0" fontId="4" fillId="4" borderId="36" xfId="0" applyFont="1" applyFill="1" applyBorder="1"/>
    <xf numFmtId="164" fontId="4" fillId="4" borderId="37" xfId="0" applyNumberFormat="1" applyFont="1" applyFill="1" applyBorder="1" applyAlignment="1">
      <alignment horizontal="center"/>
    </xf>
    <xf numFmtId="164" fontId="4" fillId="4" borderId="21" xfId="0" applyNumberFormat="1" applyFont="1" applyFill="1" applyBorder="1" applyAlignment="1">
      <alignment horizontal="center"/>
    </xf>
    <xf numFmtId="44" fontId="4" fillId="4" borderId="21" xfId="0" applyNumberFormat="1" applyFont="1" applyFill="1" applyBorder="1"/>
    <xf numFmtId="0" fontId="29" fillId="4" borderId="19" xfId="0" applyFont="1" applyFill="1" applyBorder="1"/>
    <xf numFmtId="0" fontId="29" fillId="4" borderId="20" xfId="0" applyFont="1" applyFill="1" applyBorder="1"/>
    <xf numFmtId="44" fontId="29" fillId="4" borderId="21" xfId="0" applyNumberFormat="1" applyFont="1" applyFill="1" applyBorder="1"/>
    <xf numFmtId="167" fontId="8" fillId="0" borderId="3" xfId="1" applyNumberFormat="1" applyFont="1" applyBorder="1"/>
    <xf numFmtId="167" fontId="8" fillId="0" borderId="8" xfId="1" applyNumberFormat="1" applyFont="1" applyBorder="1"/>
    <xf numFmtId="167" fontId="5" fillId="0" borderId="0" xfId="0" applyNumberFormat="1" applyFont="1"/>
    <xf numFmtId="167" fontId="5" fillId="0" borderId="12" xfId="0" applyNumberFormat="1" applyFont="1" applyBorder="1"/>
    <xf numFmtId="167" fontId="29" fillId="4" borderId="21" xfId="0" applyNumberFormat="1" applyFont="1" applyFill="1" applyBorder="1"/>
    <xf numFmtId="44" fontId="21" fillId="5" borderId="21" xfId="5" applyNumberFormat="1" applyBorder="1" applyAlignment="1"/>
    <xf numFmtId="0" fontId="4" fillId="2" borderId="17" xfId="0" applyFont="1" applyFill="1" applyBorder="1" applyAlignment="1">
      <alignment horizontal="center"/>
    </xf>
    <xf numFmtId="0" fontId="4" fillId="2" borderId="0" xfId="0" applyFont="1" applyFill="1"/>
    <xf numFmtId="2" fontId="4" fillId="2" borderId="0" xfId="0" applyNumberFormat="1" applyFont="1" applyFill="1" applyAlignment="1">
      <alignment horizontal="center"/>
    </xf>
    <xf numFmtId="0" fontId="19" fillId="0" borderId="34" xfId="0" applyFont="1" applyBorder="1" applyAlignment="1">
      <alignment horizontal="center"/>
    </xf>
    <xf numFmtId="0" fontId="19" fillId="0" borderId="38" xfId="0" applyFont="1" applyBorder="1" applyAlignment="1">
      <alignment horizontal="center"/>
    </xf>
    <xf numFmtId="0" fontId="18" fillId="0" borderId="38" xfId="0" applyFont="1" applyBorder="1" applyAlignment="1">
      <alignment horizontal="left"/>
    </xf>
    <xf numFmtId="0" fontId="16" fillId="0" borderId="38" xfId="0" applyFont="1" applyBorder="1" applyAlignment="1">
      <alignment horizontal="center"/>
    </xf>
    <xf numFmtId="0" fontId="16" fillId="0" borderId="39" xfId="0" applyFont="1" applyBorder="1" applyAlignment="1">
      <alignment horizontal="center"/>
    </xf>
    <xf numFmtId="2" fontId="16" fillId="0" borderId="39" xfId="0" applyNumberFormat="1" applyFont="1" applyBorder="1" applyAlignment="1">
      <alignment horizontal="center"/>
    </xf>
    <xf numFmtId="2" fontId="8" fillId="0" borderId="6" xfId="0" applyNumberFormat="1" applyFont="1" applyBorder="1"/>
    <xf numFmtId="1" fontId="16" fillId="0" borderId="39" xfId="0" applyNumberFormat="1" applyFont="1" applyBorder="1" applyAlignment="1">
      <alignment horizontal="center"/>
    </xf>
    <xf numFmtId="0" fontId="25" fillId="0" borderId="17" xfId="0" applyFont="1" applyBorder="1" applyAlignment="1">
      <alignment horizontal="center"/>
    </xf>
    <xf numFmtId="0" fontId="25" fillId="0" borderId="16" xfId="0" applyFont="1" applyBorder="1" applyAlignment="1">
      <alignment horizontal="center"/>
    </xf>
    <xf numFmtId="0" fontId="20" fillId="0" borderId="44" xfId="0" applyFont="1" applyBorder="1" applyAlignment="1">
      <alignment horizontal="left"/>
    </xf>
    <xf numFmtId="0" fontId="17" fillId="0" borderId="44" xfId="0" applyFont="1" applyBorder="1" applyAlignment="1">
      <alignment horizontal="center"/>
    </xf>
    <xf numFmtId="2" fontId="17" fillId="0" borderId="45" xfId="0" applyNumberFormat="1" applyFont="1" applyBorder="1" applyAlignment="1">
      <alignment horizontal="center"/>
    </xf>
    <xf numFmtId="0" fontId="25" fillId="0" borderId="43" xfId="0" applyFont="1" applyBorder="1" applyAlignment="1">
      <alignment horizontal="center"/>
    </xf>
    <xf numFmtId="0" fontId="25" fillId="0" borderId="44" xfId="0" applyFont="1" applyBorder="1" applyAlignment="1">
      <alignment horizontal="center"/>
    </xf>
    <xf numFmtId="1" fontId="19" fillId="0" borderId="38" xfId="0" applyNumberFormat="1" applyFont="1" applyBorder="1" applyAlignment="1">
      <alignment horizontal="center"/>
    </xf>
    <xf numFmtId="2" fontId="25" fillId="0" borderId="16" xfId="0" applyNumberFormat="1" applyFont="1" applyBorder="1" applyAlignment="1">
      <alignment horizontal="center"/>
    </xf>
    <xf numFmtId="0" fontId="18" fillId="0" borderId="20" xfId="0" applyFont="1" applyBorder="1" applyAlignment="1">
      <alignment horizontal="left"/>
    </xf>
    <xf numFmtId="0" fontId="16" fillId="0" borderId="20" xfId="0" applyFont="1" applyBorder="1" applyAlignment="1">
      <alignment horizontal="center"/>
    </xf>
    <xf numFmtId="2" fontId="16" fillId="0" borderId="21" xfId="0" applyNumberFormat="1" applyFont="1" applyBorder="1" applyAlignment="1">
      <alignment horizontal="center"/>
    </xf>
    <xf numFmtId="164" fontId="4" fillId="0" borderId="3" xfId="1" applyFont="1" applyBorder="1"/>
    <xf numFmtId="164" fontId="4" fillId="0" borderId="0" xfId="1" applyFont="1" applyBorder="1" applyAlignment="1">
      <alignment horizontal="center"/>
    </xf>
    <xf numFmtId="0" fontId="22" fillId="6" borderId="44" xfId="6" applyBorder="1" applyAlignment="1">
      <alignment horizontal="center"/>
    </xf>
    <xf numFmtId="9" fontId="0" fillId="0" borderId="0" xfId="3" applyFont="1"/>
    <xf numFmtId="2" fontId="0" fillId="0" borderId="0" xfId="0" applyNumberFormat="1"/>
    <xf numFmtId="1" fontId="0" fillId="0" borderId="0" xfId="0" applyNumberFormat="1"/>
    <xf numFmtId="0" fontId="6" fillId="0" borderId="2" xfId="0" applyFont="1" applyBorder="1"/>
    <xf numFmtId="0" fontId="6" fillId="0" borderId="3" xfId="0" applyFont="1" applyBorder="1"/>
    <xf numFmtId="1" fontId="6" fillId="0" borderId="3" xfId="0" applyNumberFormat="1" applyFont="1" applyBorder="1"/>
    <xf numFmtId="0" fontId="6" fillId="0" borderId="4" xfId="0" applyFont="1" applyBorder="1"/>
    <xf numFmtId="165" fontId="6" fillId="0" borderId="8" xfId="0" applyNumberFormat="1" applyFont="1" applyBorder="1"/>
    <xf numFmtId="168" fontId="0" fillId="0" borderId="14" xfId="1" applyNumberFormat="1" applyFont="1" applyBorder="1" applyAlignment="1">
      <alignment horizontal="right" indent="2"/>
    </xf>
    <xf numFmtId="0" fontId="1" fillId="3" borderId="10" xfId="0" applyFont="1" applyFill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/>
    </xf>
    <xf numFmtId="0" fontId="25" fillId="0" borderId="25" xfId="0" applyFont="1" applyBorder="1" applyAlignment="1">
      <alignment horizontal="center"/>
    </xf>
    <xf numFmtId="0" fontId="25" fillId="0" borderId="26" xfId="0" applyFont="1" applyBorder="1" applyAlignment="1">
      <alignment horizontal="center"/>
    </xf>
    <xf numFmtId="0" fontId="25" fillId="0" borderId="27" xfId="0" applyFont="1" applyBorder="1" applyAlignment="1">
      <alignment horizontal="center"/>
    </xf>
    <xf numFmtId="0" fontId="25" fillId="0" borderId="40" xfId="0" applyFont="1" applyBorder="1" applyAlignment="1">
      <alignment horizontal="center"/>
    </xf>
    <xf numFmtId="0" fontId="25" fillId="0" borderId="41" xfId="0" applyFont="1" applyBorder="1" applyAlignment="1">
      <alignment horizontal="center"/>
    </xf>
    <xf numFmtId="0" fontId="25" fillId="0" borderId="42" xfId="0" applyFont="1" applyBorder="1" applyAlignment="1">
      <alignment horizontal="center"/>
    </xf>
    <xf numFmtId="0" fontId="18" fillId="0" borderId="46" xfId="0" applyFont="1" applyBorder="1" applyAlignment="1">
      <alignment horizontal="center" vertical="center"/>
    </xf>
    <xf numFmtId="0" fontId="18" fillId="0" borderId="47" xfId="0" applyFont="1" applyBorder="1" applyAlignment="1">
      <alignment horizontal="center" vertical="center"/>
    </xf>
    <xf numFmtId="0" fontId="18" fillId="0" borderId="38" xfId="0" applyFont="1" applyBorder="1" applyAlignment="1">
      <alignment horizontal="center" vertical="center"/>
    </xf>
    <xf numFmtId="0" fontId="18" fillId="0" borderId="36" xfId="0" applyFont="1" applyBorder="1" applyAlignment="1">
      <alignment horizontal="center" vertical="center"/>
    </xf>
    <xf numFmtId="0" fontId="28" fillId="7" borderId="10" xfId="8" applyBorder="1" applyAlignment="1">
      <alignment horizontal="center"/>
    </xf>
    <xf numFmtId="0" fontId="28" fillId="7" borderId="12" xfId="8" applyBorder="1" applyAlignment="1">
      <alignment horizontal="center"/>
    </xf>
    <xf numFmtId="0" fontId="28" fillId="7" borderId="11" xfId="8" applyBorder="1" applyAlignment="1">
      <alignment horizontal="center"/>
    </xf>
    <xf numFmtId="0" fontId="4" fillId="2" borderId="28" xfId="0" applyFont="1" applyFill="1" applyBorder="1" applyAlignment="1">
      <alignment horizontal="center"/>
    </xf>
    <xf numFmtId="0" fontId="4" fillId="2" borderId="29" xfId="0" applyFont="1" applyFill="1" applyBorder="1" applyAlignment="1">
      <alignment horizontal="center"/>
    </xf>
    <xf numFmtId="0" fontId="4" fillId="2" borderId="30" xfId="0" applyFont="1" applyFill="1" applyBorder="1" applyAlignment="1">
      <alignment horizontal="center"/>
    </xf>
    <xf numFmtId="0" fontId="28" fillId="7" borderId="7" xfId="8" applyBorder="1" applyAlignment="1">
      <alignment horizontal="center"/>
    </xf>
    <xf numFmtId="0" fontId="28" fillId="7" borderId="8" xfId="8" applyBorder="1" applyAlignment="1">
      <alignment horizontal="center"/>
    </xf>
    <xf numFmtId="0" fontId="28" fillId="7" borderId="9" xfId="8" applyBorder="1" applyAlignment="1">
      <alignment horizontal="center"/>
    </xf>
    <xf numFmtId="0" fontId="4" fillId="4" borderId="10" xfId="0" applyFont="1" applyFill="1" applyBorder="1" applyAlignment="1">
      <alignment horizontal="center"/>
    </xf>
    <xf numFmtId="0" fontId="4" fillId="4" borderId="12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0" fontId="4" fillId="2" borderId="31" xfId="0" applyFont="1" applyFill="1" applyBorder="1" applyAlignment="1">
      <alignment horizontal="center"/>
    </xf>
    <xf numFmtId="0" fontId="4" fillId="2" borderId="32" xfId="0" applyFont="1" applyFill="1" applyBorder="1" applyAlignment="1">
      <alignment horizontal="center"/>
    </xf>
    <xf numFmtId="0" fontId="4" fillId="2" borderId="33" xfId="0" applyFont="1" applyFill="1" applyBorder="1" applyAlignment="1">
      <alignment horizontal="center"/>
    </xf>
  </cellXfs>
  <cellStyles count="9">
    <cellStyle name="Bueno" xfId="5" builtinId="26"/>
    <cellStyle name="Énfasis2" xfId="8" builtinId="33"/>
    <cellStyle name="Euro" xfId="4" xr:uid="{00000000-0005-0000-0000-000002000000}"/>
    <cellStyle name="Incorrecto" xfId="6" builtinId="27"/>
    <cellStyle name="Millares" xfId="1" builtinId="3"/>
    <cellStyle name="Moneda" xfId="2" builtinId="4"/>
    <cellStyle name="Normal" xfId="0" builtinId="0"/>
    <cellStyle name="Porcentaje" xfId="3" builtinId="5"/>
    <cellStyle name="Texto explicativo" xfId="7" builtinId="5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17/10/relationships/person" Target="persons/perso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Abstract!$E$9:$F$9</c:f>
              <c:strCache>
                <c:ptCount val="2"/>
                <c:pt idx="0">
                  <c:v>Unit cost of producing biomass</c:v>
                </c:pt>
                <c:pt idx="1">
                  <c:v>€/kg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Abstract!$G$2:$K$2</c:f>
              <c:strCache>
                <c:ptCount val="5"/>
                <c:pt idx="0">
                  <c:v>Fertilizer</c:v>
                </c:pt>
                <c:pt idx="1">
                  <c:v>Manure</c:v>
                </c:pt>
                <c:pt idx="2">
                  <c:v>Manpower/2</c:v>
                </c:pt>
                <c:pt idx="3">
                  <c:v>Productivity*1.5</c:v>
                </c:pt>
                <c:pt idx="4">
                  <c:v>Reactors cost/2</c:v>
                </c:pt>
              </c:strCache>
            </c:strRef>
          </c:cat>
          <c:val>
            <c:numRef>
              <c:f>Abstract!$G$9:$K$9</c:f>
              <c:numCache>
                <c:formatCode>0.00</c:formatCode>
                <c:ptCount val="5"/>
                <c:pt idx="0">
                  <c:v>2.9256860197110615</c:v>
                </c:pt>
                <c:pt idx="1">
                  <c:v>2.4197500197110617</c:v>
                </c:pt>
                <c:pt idx="2">
                  <c:v>2.0313938553274999</c:v>
                </c:pt>
                <c:pt idx="3">
                  <c:v>1.3964239035516666</c:v>
                </c:pt>
                <c:pt idx="4">
                  <c:v>1.3316597310706131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EF-4FAE-AE9C-D710ACC6E2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05702664"/>
        <c:axId val="505708240"/>
      </c:barChart>
      <c:catAx>
        <c:axId val="5057026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5708240"/>
        <c:crosses val="autoZero"/>
        <c:auto val="1"/>
        <c:lblAlgn val="ctr"/>
        <c:lblOffset val="100"/>
        <c:noMultiLvlLbl val="0"/>
      </c:catAx>
      <c:valAx>
        <c:axId val="5057082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57026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Operational costs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8B7A-4662-9EEE-7394F1FF571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8B7A-4662-9EEE-7394F1FF571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8B7A-4662-9EEE-7394F1FF571E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8B7A-4662-9EEE-7394F1FF571E}"/>
              </c:ext>
            </c:extLst>
          </c:dPt>
          <c:cat>
            <c:strRef>
              <c:f>'Block 2 (Bioestimulant)'!$V$19:$V$22</c:f>
              <c:strCache>
                <c:ptCount val="4"/>
                <c:pt idx="0">
                  <c:v>Depreciation</c:v>
                </c:pt>
                <c:pt idx="1">
                  <c:v>Raw materials</c:v>
                </c:pt>
                <c:pt idx="2">
                  <c:v>Utilities</c:v>
                </c:pt>
                <c:pt idx="3">
                  <c:v>Labor</c:v>
                </c:pt>
              </c:strCache>
            </c:strRef>
          </c:cat>
          <c:val>
            <c:numRef>
              <c:f>'Block 2 (Bioestimulant)'!$W$19:$W$22</c:f>
              <c:numCache>
                <c:formatCode>0.0%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B7A-4662-9EEE-7394F1FF57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0995928658523989E-2"/>
          <c:y val="3.4920634920634921E-2"/>
          <c:w val="0.88975647729073237"/>
          <c:h val="0.8684174478190225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Abstract!$E$19:$F$19</c:f>
              <c:strCache>
                <c:ptCount val="2"/>
                <c:pt idx="0">
                  <c:v>Depreciation</c:v>
                </c:pt>
                <c:pt idx="1">
                  <c:v>€/kg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Abstract!$G$10:$K$10</c:f>
              <c:strCache>
                <c:ptCount val="5"/>
                <c:pt idx="0">
                  <c:v>Fertilizer</c:v>
                </c:pt>
                <c:pt idx="1">
                  <c:v>Manure</c:v>
                </c:pt>
                <c:pt idx="2">
                  <c:v>Manpower/2</c:v>
                </c:pt>
                <c:pt idx="3">
                  <c:v>Productivity*1.5</c:v>
                </c:pt>
                <c:pt idx="4">
                  <c:v>Reactors cost/2</c:v>
                </c:pt>
              </c:strCache>
            </c:strRef>
          </c:cat>
          <c:val>
            <c:numRef>
              <c:f>Abstract!$G$19:$K$19</c:f>
              <c:numCache>
                <c:formatCode>0.00</c:formatCode>
                <c:ptCount val="5"/>
                <c:pt idx="0">
                  <c:v>0.63527390588188593</c:v>
                </c:pt>
                <c:pt idx="1">
                  <c:v>0.63527390588188593</c:v>
                </c:pt>
                <c:pt idx="2">
                  <c:v>0.63527390588188593</c:v>
                </c:pt>
                <c:pt idx="3">
                  <c:v>0.42351593725459064</c:v>
                </c:pt>
                <c:pt idx="4">
                  <c:v>0.36901008891263676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DE-47BF-A78E-12BF2D082509}"/>
            </c:ext>
          </c:extLst>
        </c:ser>
        <c:ser>
          <c:idx val="1"/>
          <c:order val="1"/>
          <c:tx>
            <c:strRef>
              <c:f>Abstract!$E$20:$F$20</c:f>
              <c:strCache>
                <c:ptCount val="2"/>
                <c:pt idx="0">
                  <c:v>Fertilizers</c:v>
                </c:pt>
                <c:pt idx="1">
                  <c:v>€/kg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Abstract!$G$10:$K$10</c:f>
              <c:strCache>
                <c:ptCount val="5"/>
                <c:pt idx="0">
                  <c:v>Fertilizer</c:v>
                </c:pt>
                <c:pt idx="1">
                  <c:v>Manure</c:v>
                </c:pt>
                <c:pt idx="2">
                  <c:v>Manpower/2</c:v>
                </c:pt>
                <c:pt idx="3">
                  <c:v>Productivity*1.5</c:v>
                </c:pt>
                <c:pt idx="4">
                  <c:v>Reactors cost/2</c:v>
                </c:pt>
              </c:strCache>
            </c:strRef>
          </c:cat>
          <c:val>
            <c:numRef>
              <c:f>Abstract!$G$20:$K$20</c:f>
              <c:numCache>
                <c:formatCode>0.00</c:formatCode>
                <c:ptCount val="5"/>
                <c:pt idx="0">
                  <c:v>0.3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8DE-47BF-A78E-12BF2D082509}"/>
            </c:ext>
          </c:extLst>
        </c:ser>
        <c:ser>
          <c:idx val="2"/>
          <c:order val="2"/>
          <c:tx>
            <c:strRef>
              <c:f>Abstract!$E$21:$F$21</c:f>
              <c:strCache>
                <c:ptCount val="2"/>
                <c:pt idx="0">
                  <c:v>Carbon dioxide</c:v>
                </c:pt>
                <c:pt idx="1">
                  <c:v>€/kg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Abstract!$G$10:$K$10</c:f>
              <c:strCache>
                <c:ptCount val="5"/>
                <c:pt idx="0">
                  <c:v>Fertilizer</c:v>
                </c:pt>
                <c:pt idx="1">
                  <c:v>Manure</c:v>
                </c:pt>
                <c:pt idx="2">
                  <c:v>Manpower/2</c:v>
                </c:pt>
                <c:pt idx="3">
                  <c:v>Productivity*1.5</c:v>
                </c:pt>
                <c:pt idx="4">
                  <c:v>Reactors cost/2</c:v>
                </c:pt>
              </c:strCache>
            </c:strRef>
          </c:cat>
          <c:val>
            <c:numRef>
              <c:f>Abstract!$G$21:$K$21</c:f>
              <c:numCache>
                <c:formatCode>0.00</c:formatCode>
                <c:ptCount val="5"/>
                <c:pt idx="0">
                  <c:v>0.2</c:v>
                </c:pt>
                <c:pt idx="1">
                  <c:v>0.1</c:v>
                </c:pt>
                <c:pt idx="2">
                  <c:v>0.1</c:v>
                </c:pt>
                <c:pt idx="3">
                  <c:v>0.1</c:v>
                </c:pt>
                <c:pt idx="4">
                  <c:v>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8DE-47BF-A78E-12BF2D082509}"/>
            </c:ext>
          </c:extLst>
        </c:ser>
        <c:ser>
          <c:idx val="3"/>
          <c:order val="3"/>
          <c:tx>
            <c:strRef>
              <c:f>Abstract!$E$22:$F$22</c:f>
              <c:strCache>
                <c:ptCount val="2"/>
                <c:pt idx="0">
                  <c:v>Labor</c:v>
                </c:pt>
                <c:pt idx="1">
                  <c:v>€/kg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Abstract!$G$10:$K$10</c:f>
              <c:strCache>
                <c:ptCount val="5"/>
                <c:pt idx="0">
                  <c:v>Fertilizer</c:v>
                </c:pt>
                <c:pt idx="1">
                  <c:v>Manure</c:v>
                </c:pt>
                <c:pt idx="2">
                  <c:v>Manpower/2</c:v>
                </c:pt>
                <c:pt idx="3">
                  <c:v>Productivity*1.5</c:v>
                </c:pt>
                <c:pt idx="4">
                  <c:v>Reactors cost/2</c:v>
                </c:pt>
              </c:strCache>
            </c:strRef>
          </c:cat>
          <c:val>
            <c:numRef>
              <c:f>Abstract!$G$22:$K$22</c:f>
              <c:numCache>
                <c:formatCode>0.00</c:formatCode>
                <c:ptCount val="5"/>
                <c:pt idx="0">
                  <c:v>0.41095890410958902</c:v>
                </c:pt>
                <c:pt idx="1">
                  <c:v>0.41095890410958902</c:v>
                </c:pt>
                <c:pt idx="2">
                  <c:v>0.20547945205479451</c:v>
                </c:pt>
                <c:pt idx="3">
                  <c:v>0.13698630136986301</c:v>
                </c:pt>
                <c:pt idx="4">
                  <c:v>0.13698630136986301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8DE-47BF-A78E-12BF2D082509}"/>
            </c:ext>
          </c:extLst>
        </c:ser>
        <c:ser>
          <c:idx val="4"/>
          <c:order val="4"/>
          <c:tx>
            <c:strRef>
              <c:f>Abstract!$E$23:$F$23</c:f>
              <c:strCache>
                <c:ptCount val="2"/>
                <c:pt idx="0">
                  <c:v>Power</c:v>
                </c:pt>
                <c:pt idx="1">
                  <c:v>€/kg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Abstract!$G$10:$K$10</c:f>
              <c:strCache>
                <c:ptCount val="5"/>
                <c:pt idx="0">
                  <c:v>Fertilizer</c:v>
                </c:pt>
                <c:pt idx="1">
                  <c:v>Manure</c:v>
                </c:pt>
                <c:pt idx="2">
                  <c:v>Manpower/2</c:v>
                </c:pt>
                <c:pt idx="3">
                  <c:v>Productivity*1.5</c:v>
                </c:pt>
                <c:pt idx="4">
                  <c:v>Reactors cost/2</c:v>
                </c:pt>
              </c:strCache>
            </c:strRef>
          </c:cat>
          <c:val>
            <c:numRef>
              <c:f>Abstract!$G$23:$K$23</c:f>
              <c:numCache>
                <c:formatCode>0.00</c:formatCode>
                <c:ptCount val="5"/>
                <c:pt idx="0">
                  <c:v>0.48125000000000001</c:v>
                </c:pt>
                <c:pt idx="1">
                  <c:v>0.48125000000000001</c:v>
                </c:pt>
                <c:pt idx="2">
                  <c:v>0.48125000000000001</c:v>
                </c:pt>
                <c:pt idx="3">
                  <c:v>0.32083333333333336</c:v>
                </c:pt>
                <c:pt idx="4">
                  <c:v>0.32083333333333336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8DE-47BF-A78E-12BF2D082509}"/>
            </c:ext>
          </c:extLst>
        </c:ser>
        <c:ser>
          <c:idx val="5"/>
          <c:order val="5"/>
          <c:tx>
            <c:strRef>
              <c:f>Abstract!$E$24:$F$24</c:f>
              <c:strCache>
                <c:ptCount val="2"/>
                <c:pt idx="0">
                  <c:v>General plant overheads</c:v>
                </c:pt>
                <c:pt idx="1">
                  <c:v>€/kg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Abstract!$G$10:$K$10</c:f>
              <c:strCache>
                <c:ptCount val="5"/>
                <c:pt idx="0">
                  <c:v>Fertilizer</c:v>
                </c:pt>
                <c:pt idx="1">
                  <c:v>Manure</c:v>
                </c:pt>
                <c:pt idx="2">
                  <c:v>Manpower/2</c:v>
                </c:pt>
                <c:pt idx="3">
                  <c:v>Productivity*1.5</c:v>
                </c:pt>
                <c:pt idx="4">
                  <c:v>Reactors cost/2</c:v>
                </c:pt>
              </c:strCache>
            </c:strRef>
          </c:cat>
          <c:val>
            <c:numRef>
              <c:f>Abstract!$G$24:$K$24</c:f>
              <c:numCache>
                <c:formatCode>0.00</c:formatCode>
                <c:ptCount val="5"/>
                <c:pt idx="0">
                  <c:v>0.30802128265344503</c:v>
                </c:pt>
                <c:pt idx="1">
                  <c:v>0.30802128265344503</c:v>
                </c:pt>
                <c:pt idx="2">
                  <c:v>0.19500758402330801</c:v>
                </c:pt>
                <c:pt idx="3">
                  <c:v>0.13000505601553866</c:v>
                </c:pt>
                <c:pt idx="4">
                  <c:v>0.12684864858812336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8DE-47BF-A78E-12BF2D082509}"/>
            </c:ext>
          </c:extLst>
        </c:ser>
        <c:ser>
          <c:idx val="6"/>
          <c:order val="6"/>
          <c:tx>
            <c:strRef>
              <c:f>Abstract!$E$25:$F$25</c:f>
              <c:strCache>
                <c:ptCount val="2"/>
                <c:pt idx="0">
                  <c:v>Rest of the costs</c:v>
                </c:pt>
                <c:pt idx="1">
                  <c:v>€/kg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Abstract!$G$10:$K$10</c:f>
              <c:strCache>
                <c:ptCount val="5"/>
                <c:pt idx="0">
                  <c:v>Fertilizer</c:v>
                </c:pt>
                <c:pt idx="1">
                  <c:v>Manure</c:v>
                </c:pt>
                <c:pt idx="2">
                  <c:v>Manpower/2</c:v>
                </c:pt>
                <c:pt idx="3">
                  <c:v>Productivity*1.5</c:v>
                </c:pt>
                <c:pt idx="4">
                  <c:v>Reactors cost/2</c:v>
                </c:pt>
              </c:strCache>
            </c:strRef>
          </c:cat>
          <c:val>
            <c:numRef>
              <c:f>Abstract!$G$25:$K$25</c:f>
              <c:numCache>
                <c:formatCode>0.00</c:formatCode>
                <c:ptCount val="5"/>
                <c:pt idx="0">
                  <c:v>0.59018192706614103</c:v>
                </c:pt>
                <c:pt idx="1">
                  <c:v>0.48424592706614189</c:v>
                </c:pt>
                <c:pt idx="2">
                  <c:v>0.41438291336751143</c:v>
                </c:pt>
                <c:pt idx="3">
                  <c:v>0.28508327557834101</c:v>
                </c:pt>
                <c:pt idx="4">
                  <c:v>0.27798135886665665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8DE-47BF-A78E-12BF2D0825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00400688"/>
        <c:axId val="500402328"/>
      </c:barChart>
      <c:catAx>
        <c:axId val="500400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0402328"/>
        <c:crosses val="autoZero"/>
        <c:auto val="1"/>
        <c:lblAlgn val="ctr"/>
        <c:lblOffset val="100"/>
        <c:noMultiLvlLbl val="0"/>
      </c:catAx>
      <c:valAx>
        <c:axId val="5004023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Biomass production cost, €/kg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0400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1072078588601617"/>
          <c:y val="4.0475440569928758E-2"/>
          <c:w val="0.26972203277739887"/>
          <c:h val="0.35634995625546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0995928658523989E-2"/>
          <c:y val="3.4920634920634921E-2"/>
          <c:w val="0.88975647729073237"/>
          <c:h val="0.8684174478190225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Abstract!$E$32:$F$32</c:f>
              <c:strCache>
                <c:ptCount val="2"/>
                <c:pt idx="0">
                  <c:v>Rest of the costs</c:v>
                </c:pt>
                <c:pt idx="1">
                  <c:v>Cost manure tretament, €/m3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Abstract!$G$10:$K$10</c:f>
              <c:strCache>
                <c:ptCount val="5"/>
                <c:pt idx="0">
                  <c:v>Fertilizer</c:v>
                </c:pt>
                <c:pt idx="1">
                  <c:v>Manure</c:v>
                </c:pt>
                <c:pt idx="2">
                  <c:v>Manpower/2</c:v>
                </c:pt>
                <c:pt idx="3">
                  <c:v>Productivity*1.5</c:v>
                </c:pt>
                <c:pt idx="4">
                  <c:v>Reactors cost/2</c:v>
                </c:pt>
              </c:strCache>
            </c:strRef>
          </c:cat>
          <c:val>
            <c:numRef>
              <c:f>Abstract!$G$32:$K$32</c:f>
              <c:numCache>
                <c:formatCode>0</c:formatCode>
                <c:ptCount val="5"/>
                <c:pt idx="1">
                  <c:v>9.679000078844247</c:v>
                </c:pt>
                <c:pt idx="2">
                  <c:v>8.1255754213099998</c:v>
                </c:pt>
                <c:pt idx="3">
                  <c:v>5.5856956142066663</c:v>
                </c:pt>
                <c:pt idx="4">
                  <c:v>5.3266389242824514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30-4795-AFA4-0D4D9B5C67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00400688"/>
        <c:axId val="500402328"/>
      </c:barChart>
      <c:catAx>
        <c:axId val="500400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0402328"/>
        <c:crosses val="autoZero"/>
        <c:auto val="1"/>
        <c:lblAlgn val="ctr"/>
        <c:lblOffset val="100"/>
        <c:noMultiLvlLbl val="0"/>
      </c:catAx>
      <c:valAx>
        <c:axId val="5004023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Manure</a:t>
                </a:r>
                <a:r>
                  <a:rPr lang="en-US" baseline="0"/>
                  <a:t> treatment cost, €/m3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04006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0995928658523989E-2"/>
          <c:y val="3.4920634920634921E-2"/>
          <c:w val="0.88975647729073237"/>
          <c:h val="0.8684174478190225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Abstract!$F$35</c:f>
              <c:strCache>
                <c:ptCount val="1"/>
                <c:pt idx="0">
                  <c:v>1 €/kg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Abstract!$G$10:$K$10</c:f>
              <c:strCache>
                <c:ptCount val="5"/>
                <c:pt idx="0">
                  <c:v>Fertilizer</c:v>
                </c:pt>
                <c:pt idx="1">
                  <c:v>Manure</c:v>
                </c:pt>
                <c:pt idx="2">
                  <c:v>Manpower/2</c:v>
                </c:pt>
                <c:pt idx="3">
                  <c:v>Productivity*1.5</c:v>
                </c:pt>
                <c:pt idx="4">
                  <c:v>Reactors cost/2</c:v>
                </c:pt>
              </c:strCache>
            </c:strRef>
          </c:cat>
          <c:val>
            <c:numRef>
              <c:f>Abstract!$G$35:$K$35</c:f>
              <c:numCache>
                <c:formatCode>0</c:formatCode>
                <c:ptCount val="5"/>
                <c:pt idx="0">
                  <c:v>-140.57507943890747</c:v>
                </c:pt>
                <c:pt idx="1">
                  <c:v>-103.64175143890751</c:v>
                </c:pt>
                <c:pt idx="2">
                  <c:v>-75.291751438907497</c:v>
                </c:pt>
                <c:pt idx="3">
                  <c:v>-43.408417438907492</c:v>
                </c:pt>
                <c:pt idx="4">
                  <c:v>-36.316740552232133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C1-4971-8D81-723AA1C2A88F}"/>
            </c:ext>
          </c:extLst>
        </c:ser>
        <c:ser>
          <c:idx val="1"/>
          <c:order val="1"/>
          <c:tx>
            <c:strRef>
              <c:f>Abstract!$F$36</c:f>
              <c:strCache>
                <c:ptCount val="1"/>
                <c:pt idx="0">
                  <c:v>2 €/kg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Abstract!$G$10:$K$10</c:f>
              <c:strCache>
                <c:ptCount val="5"/>
                <c:pt idx="0">
                  <c:v>Fertilizer</c:v>
                </c:pt>
                <c:pt idx="1">
                  <c:v>Manure</c:v>
                </c:pt>
                <c:pt idx="2">
                  <c:v>Manpower/2</c:v>
                </c:pt>
                <c:pt idx="3">
                  <c:v>Productivity*1.5</c:v>
                </c:pt>
                <c:pt idx="4">
                  <c:v>Reactors cost/2</c:v>
                </c:pt>
              </c:strCache>
            </c:strRef>
          </c:cat>
          <c:val>
            <c:numRef>
              <c:f>Abstract!$G$36:$K$36</c:f>
              <c:numCache>
                <c:formatCode>0</c:formatCode>
                <c:ptCount val="5"/>
                <c:pt idx="0">
                  <c:v>-67.575079438907494</c:v>
                </c:pt>
                <c:pt idx="1">
                  <c:v>-30.641751438907509</c:v>
                </c:pt>
                <c:pt idx="2">
                  <c:v>-2.2917514389074958</c:v>
                </c:pt>
                <c:pt idx="3">
                  <c:v>66.091582561092508</c:v>
                </c:pt>
                <c:pt idx="4">
                  <c:v>73.183259447767867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7C1-4971-8D81-723AA1C2A88F}"/>
            </c:ext>
          </c:extLst>
        </c:ser>
        <c:ser>
          <c:idx val="2"/>
          <c:order val="2"/>
          <c:tx>
            <c:strRef>
              <c:f>Abstract!$F$37</c:f>
              <c:strCache>
                <c:ptCount val="1"/>
                <c:pt idx="0">
                  <c:v>5 €/kg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Abstract!$G$10:$K$10</c:f>
              <c:strCache>
                <c:ptCount val="5"/>
                <c:pt idx="0">
                  <c:v>Fertilizer</c:v>
                </c:pt>
                <c:pt idx="1">
                  <c:v>Manure</c:v>
                </c:pt>
                <c:pt idx="2">
                  <c:v>Manpower/2</c:v>
                </c:pt>
                <c:pt idx="3">
                  <c:v>Productivity*1.5</c:v>
                </c:pt>
                <c:pt idx="4">
                  <c:v>Reactors cost/2</c:v>
                </c:pt>
              </c:strCache>
            </c:strRef>
          </c:cat>
          <c:val>
            <c:numRef>
              <c:f>Abstract!$G$37:$K$37</c:f>
              <c:numCache>
                <c:formatCode>0</c:formatCode>
                <c:ptCount val="5"/>
                <c:pt idx="0">
                  <c:v>151.42492056109253</c:v>
                </c:pt>
                <c:pt idx="1">
                  <c:v>188.35824856109249</c:v>
                </c:pt>
                <c:pt idx="2">
                  <c:v>216.70824856109252</c:v>
                </c:pt>
                <c:pt idx="3">
                  <c:v>394.59158256109254</c:v>
                </c:pt>
                <c:pt idx="4">
                  <c:v>401.68325944776785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7C1-4971-8D81-723AA1C2A88F}"/>
            </c:ext>
          </c:extLst>
        </c:ser>
        <c:ser>
          <c:idx val="3"/>
          <c:order val="3"/>
          <c:tx>
            <c:strRef>
              <c:f>Abstract!$F$38</c:f>
              <c:strCache>
                <c:ptCount val="1"/>
                <c:pt idx="0">
                  <c:v>10 €/kg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Abstract!$G$10:$K$10</c:f>
              <c:strCache>
                <c:ptCount val="5"/>
                <c:pt idx="0">
                  <c:v>Fertilizer</c:v>
                </c:pt>
                <c:pt idx="1">
                  <c:v>Manure</c:v>
                </c:pt>
                <c:pt idx="2">
                  <c:v>Manpower/2</c:v>
                </c:pt>
                <c:pt idx="3">
                  <c:v>Productivity*1.5</c:v>
                </c:pt>
                <c:pt idx="4">
                  <c:v>Reactors cost/2</c:v>
                </c:pt>
              </c:strCache>
            </c:strRef>
          </c:cat>
          <c:val>
            <c:numRef>
              <c:f>Abstract!$G$38:$K$38</c:f>
              <c:numCache>
                <c:formatCode>0</c:formatCode>
                <c:ptCount val="5"/>
                <c:pt idx="0">
                  <c:v>516.42492056109245</c:v>
                </c:pt>
                <c:pt idx="1">
                  <c:v>553.35824856109252</c:v>
                </c:pt>
                <c:pt idx="2">
                  <c:v>581.70824856109255</c:v>
                </c:pt>
                <c:pt idx="3">
                  <c:v>942.09158256109254</c:v>
                </c:pt>
                <c:pt idx="4">
                  <c:v>949.18325944776802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7C1-4971-8D81-723AA1C2A8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0400688"/>
        <c:axId val="500402328"/>
      </c:barChart>
      <c:catAx>
        <c:axId val="500400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0402328"/>
        <c:crosses val="autoZero"/>
        <c:auto val="1"/>
        <c:lblAlgn val="ctr"/>
        <c:lblOffset val="100"/>
        <c:noMultiLvlLbl val="0"/>
      </c:catAx>
      <c:valAx>
        <c:axId val="5004023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Turnover, k€/ha·year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0400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3140581836719226"/>
          <c:y val="4.5039120109986258E-2"/>
          <c:w val="7.5943262997637109E-2"/>
          <c:h val="0.2142872140982377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Operational costs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v>Indirect costs</c:v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669-41FB-917F-41CA42A6ABA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669-41FB-917F-41CA42A6ABA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0669-41FB-917F-41CA42A6ABA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0669-41FB-917F-41CA42A6ABA1}"/>
              </c:ext>
            </c:extLst>
          </c:dPt>
          <c:cat>
            <c:strRef>
              <c:f>Fertilizer!$V$19:$V$22</c:f>
              <c:strCache>
                <c:ptCount val="4"/>
                <c:pt idx="0">
                  <c:v>Depreciation</c:v>
                </c:pt>
                <c:pt idx="1">
                  <c:v>Raw materials</c:v>
                </c:pt>
                <c:pt idx="2">
                  <c:v>Utilities</c:v>
                </c:pt>
                <c:pt idx="3">
                  <c:v>Labor</c:v>
                </c:pt>
              </c:strCache>
            </c:strRef>
          </c:cat>
          <c:val>
            <c:numRef>
              <c:f>Fertilizer!$W$19:$W$22</c:f>
              <c:numCache>
                <c:formatCode>0.0%</c:formatCode>
                <c:ptCount val="4"/>
                <c:pt idx="0">
                  <c:v>0.21713673360773866</c:v>
                </c:pt>
                <c:pt idx="1">
                  <c:v>0.17090008860533148</c:v>
                </c:pt>
                <c:pt idx="2">
                  <c:v>0.16449133528263157</c:v>
                </c:pt>
                <c:pt idx="3">
                  <c:v>0.44747184250429839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669-41FB-917F-41CA42A6AB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Operational costs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v>Indirect costs</c:v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17E-48A1-A3B6-4C3870233EA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17E-48A1-A3B6-4C3870233EA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17E-48A1-A3B6-4C3870233EAE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617E-48A1-A3B6-4C3870233EAE}"/>
              </c:ext>
            </c:extLst>
          </c:dPt>
          <c:cat>
            <c:strRef>
              <c:f>Manure!$V$19:$V$22</c:f>
              <c:strCache>
                <c:ptCount val="4"/>
                <c:pt idx="0">
                  <c:v>Depreciation</c:v>
                </c:pt>
                <c:pt idx="1">
                  <c:v>Raw materials</c:v>
                </c:pt>
                <c:pt idx="2">
                  <c:v>Utilities</c:v>
                </c:pt>
                <c:pt idx="3">
                  <c:v>Labor</c:v>
                </c:pt>
              </c:strCache>
            </c:strRef>
          </c:cat>
          <c:val>
            <c:numRef>
              <c:f>Manure!$W$19:$W$22</c:f>
              <c:numCache>
                <c:formatCode>0.0%</c:formatCode>
                <c:ptCount val="4"/>
                <c:pt idx="0">
                  <c:v>0.26253699791590168</c:v>
                </c:pt>
                <c:pt idx="1">
                  <c:v>4.1326582988081076E-2</c:v>
                </c:pt>
                <c:pt idx="2">
                  <c:v>0.19888418063014016</c:v>
                </c:pt>
                <c:pt idx="3">
                  <c:v>0.49725223846587713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33-461E-8EC5-8DFEA8AE34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Operational costs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v>Indirect costs</c:v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7B6-4DC0-BBB4-FA149E1080E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7B6-4DC0-BBB4-FA149E1080E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27B6-4DC0-BBB4-FA149E1080E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27B6-4DC0-BBB4-FA149E1080E5}"/>
              </c:ext>
            </c:extLst>
          </c:dPt>
          <c:cat>
            <c:strRef>
              <c:f>Manpower!$V$19:$V$22</c:f>
              <c:strCache>
                <c:ptCount val="4"/>
                <c:pt idx="0">
                  <c:v>Depreciation</c:v>
                </c:pt>
                <c:pt idx="1">
                  <c:v>Raw materials</c:v>
                </c:pt>
                <c:pt idx="2">
                  <c:v>Utilities</c:v>
                </c:pt>
                <c:pt idx="3">
                  <c:v>Labor</c:v>
                </c:pt>
              </c:strCache>
            </c:strRef>
          </c:cat>
          <c:val>
            <c:numRef>
              <c:f>Manpower!$W$19:$W$22</c:f>
              <c:numCache>
                <c:formatCode>0.0%</c:formatCode>
                <c:ptCount val="4"/>
                <c:pt idx="0">
                  <c:v>0.31272808284608478</c:v>
                </c:pt>
                <c:pt idx="1">
                  <c:v>4.9227282901216647E-2</c:v>
                </c:pt>
                <c:pt idx="2">
                  <c:v>0.23690629896210511</c:v>
                </c:pt>
                <c:pt idx="3">
                  <c:v>0.40113833529059351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7B6-4DC0-BBB4-FA149E1080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Operational costs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v>Indirect costs</c:v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627-49A3-A149-6D7D42276EE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627-49A3-A149-6D7D42276EE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B627-49A3-A149-6D7D42276EE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B627-49A3-A149-6D7D42276EE4}"/>
              </c:ext>
            </c:extLst>
          </c:dPt>
          <c:cat>
            <c:strRef>
              <c:f>Productivity!$V$19:$V$22</c:f>
              <c:strCache>
                <c:ptCount val="4"/>
                <c:pt idx="0">
                  <c:v>Depreciation</c:v>
                </c:pt>
                <c:pt idx="1">
                  <c:v>Raw materials</c:v>
                </c:pt>
                <c:pt idx="2">
                  <c:v>Utilities</c:v>
                </c:pt>
                <c:pt idx="3">
                  <c:v>Labor</c:v>
                </c:pt>
              </c:strCache>
            </c:strRef>
          </c:cat>
          <c:val>
            <c:numRef>
              <c:f>Productivity!$W$19:$W$22</c:f>
              <c:numCache>
                <c:formatCode>0.0%</c:formatCode>
                <c:ptCount val="4"/>
                <c:pt idx="0">
                  <c:v>0.30328608395876039</c:v>
                </c:pt>
                <c:pt idx="1">
                  <c:v>7.1611492574468152E-2</c:v>
                </c:pt>
                <c:pt idx="2">
                  <c:v>0.22975353867641865</c:v>
                </c:pt>
                <c:pt idx="3">
                  <c:v>0.39534888479035285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627-49A3-A149-6D7D42276E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Operational costs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v>Indirect costs</c:v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C8A-4250-8640-1F52B579477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5C8A-4250-8640-1F52B579477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5C8A-4250-8640-1F52B579477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5C8A-4250-8640-1F52B5794771}"/>
              </c:ext>
            </c:extLst>
          </c:dPt>
          <c:cat>
            <c:strRef>
              <c:f>Reactor!$V$19:$V$22</c:f>
              <c:strCache>
                <c:ptCount val="4"/>
                <c:pt idx="0">
                  <c:v>Depreciation</c:v>
                </c:pt>
                <c:pt idx="1">
                  <c:v>Raw materials</c:v>
                </c:pt>
                <c:pt idx="2">
                  <c:v>Utilities</c:v>
                </c:pt>
                <c:pt idx="3">
                  <c:v>Labor</c:v>
                </c:pt>
              </c:strCache>
            </c:strRef>
          </c:cat>
          <c:val>
            <c:numRef>
              <c:f>Reactor!$W$19:$W$22</c:f>
              <c:numCache>
                <c:formatCode>0.0%</c:formatCode>
                <c:ptCount val="4"/>
                <c:pt idx="0">
                  <c:v>0.27710538984006378</c:v>
                </c:pt>
                <c:pt idx="1">
                  <c:v>7.5094258440632652E-2</c:v>
                </c:pt>
                <c:pt idx="2">
                  <c:v>0.24092741249702976</c:v>
                </c:pt>
                <c:pt idx="3">
                  <c:v>0.40687293922227369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C8A-4250-8640-1F52B57947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142875</xdr:colOff>
      <xdr:row>2</xdr:row>
      <xdr:rowOff>123825</xdr:rowOff>
    </xdr:from>
    <xdr:to>
      <xdr:col>21</xdr:col>
      <xdr:colOff>619125</xdr:colOff>
      <xdr:row>19</xdr:row>
      <xdr:rowOff>66675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152400</xdr:colOff>
      <xdr:row>19</xdr:row>
      <xdr:rowOff>76200</xdr:rowOff>
    </xdr:from>
    <xdr:to>
      <xdr:col>21</xdr:col>
      <xdr:colOff>552450</xdr:colOff>
      <xdr:row>40</xdr:row>
      <xdr:rowOff>76200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0</xdr:colOff>
      <xdr:row>41</xdr:row>
      <xdr:rowOff>0</xdr:rowOff>
    </xdr:from>
    <xdr:to>
      <xdr:col>21</xdr:col>
      <xdr:colOff>400050</xdr:colOff>
      <xdr:row>62</xdr:row>
      <xdr:rowOff>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9525</xdr:colOff>
      <xdr:row>62</xdr:row>
      <xdr:rowOff>133350</xdr:rowOff>
    </xdr:from>
    <xdr:to>
      <xdr:col>21</xdr:col>
      <xdr:colOff>409575</xdr:colOff>
      <xdr:row>83</xdr:row>
      <xdr:rowOff>133350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430893</xdr:colOff>
      <xdr:row>24</xdr:row>
      <xdr:rowOff>29936</xdr:rowOff>
    </xdr:from>
    <xdr:to>
      <xdr:col>25</xdr:col>
      <xdr:colOff>585107</xdr:colOff>
      <xdr:row>40</xdr:row>
      <xdr:rowOff>78921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430893</xdr:colOff>
      <xdr:row>24</xdr:row>
      <xdr:rowOff>29936</xdr:rowOff>
    </xdr:from>
    <xdr:to>
      <xdr:col>25</xdr:col>
      <xdr:colOff>585107</xdr:colOff>
      <xdr:row>40</xdr:row>
      <xdr:rowOff>78921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430893</xdr:colOff>
      <xdr:row>24</xdr:row>
      <xdr:rowOff>29936</xdr:rowOff>
    </xdr:from>
    <xdr:to>
      <xdr:col>25</xdr:col>
      <xdr:colOff>585107</xdr:colOff>
      <xdr:row>40</xdr:row>
      <xdr:rowOff>78921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430893</xdr:colOff>
      <xdr:row>24</xdr:row>
      <xdr:rowOff>29936</xdr:rowOff>
    </xdr:from>
    <xdr:to>
      <xdr:col>25</xdr:col>
      <xdr:colOff>585107</xdr:colOff>
      <xdr:row>40</xdr:row>
      <xdr:rowOff>78921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430893</xdr:colOff>
      <xdr:row>24</xdr:row>
      <xdr:rowOff>29936</xdr:rowOff>
    </xdr:from>
    <xdr:to>
      <xdr:col>25</xdr:col>
      <xdr:colOff>585107</xdr:colOff>
      <xdr:row>40</xdr:row>
      <xdr:rowOff>78921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430893</xdr:colOff>
      <xdr:row>23</xdr:row>
      <xdr:rowOff>138792</xdr:rowOff>
    </xdr:from>
    <xdr:to>
      <xdr:col>25</xdr:col>
      <xdr:colOff>585107</xdr:colOff>
      <xdr:row>40</xdr:row>
      <xdr:rowOff>69849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lena\Dropbox\Doctorado\Analisis%20tecnoeconomico\Economic%20analysis_Gabri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lock diagram"/>
      <sheetName val="Block 1 (Model)"/>
      <sheetName val="Block 1 (Raceway)"/>
      <sheetName val="Block 1 (Thin layer)"/>
      <sheetName val="Block 2 (Model)"/>
      <sheetName val="Block 2 (UAEE)"/>
    </sheetNames>
    <sheetDataSet>
      <sheetData sheetId="0"/>
      <sheetData sheetId="1">
        <row r="5">
          <cell r="D5" t="str">
            <v>Technical parameters</v>
          </cell>
        </row>
        <row r="28">
          <cell r="D28" t="str">
            <v>Equipment Capacity</v>
          </cell>
        </row>
        <row r="39">
          <cell r="D39" t="str">
            <v>Equipment Costs</v>
          </cell>
        </row>
        <row r="40">
          <cell r="E40" t="str">
            <v>€</v>
          </cell>
        </row>
        <row r="41">
          <cell r="E41" t="str">
            <v>€</v>
          </cell>
        </row>
        <row r="42">
          <cell r="E42" t="str">
            <v>€</v>
          </cell>
        </row>
        <row r="43">
          <cell r="E43" t="str">
            <v>€</v>
          </cell>
        </row>
        <row r="50">
          <cell r="D50" t="str">
            <v>Fix Capital Costs</v>
          </cell>
        </row>
        <row r="51">
          <cell r="D51" t="str">
            <v>Major purchased equipment</v>
          </cell>
        </row>
        <row r="52">
          <cell r="D52" t="str">
            <v>Installation costs</v>
          </cell>
        </row>
        <row r="53">
          <cell r="D53" t="str">
            <v>Instrumentation and control</v>
          </cell>
        </row>
        <row r="54">
          <cell r="D54" t="str">
            <v>Piping</v>
          </cell>
        </row>
        <row r="55">
          <cell r="D55" t="str">
            <v>Electrical</v>
          </cell>
        </row>
        <row r="56">
          <cell r="D56" t="str">
            <v>Buildings</v>
          </cell>
        </row>
        <row r="57">
          <cell r="D57" t="str">
            <v>Yard improvements</v>
          </cell>
        </row>
        <row r="58">
          <cell r="D58" t="str">
            <v>Service facilities</v>
          </cell>
        </row>
        <row r="59">
          <cell r="D59" t="str">
            <v>Land</v>
          </cell>
        </row>
        <row r="60">
          <cell r="D60" t="str">
            <v>Engineering and supervision</v>
          </cell>
        </row>
        <row r="61">
          <cell r="D61" t="str">
            <v>Construction expenses</v>
          </cell>
        </row>
        <row r="62">
          <cell r="D62" t="str">
            <v>Contractor's fee</v>
          </cell>
        </row>
        <row r="63">
          <cell r="D63" t="str">
            <v>Contingency</v>
          </cell>
        </row>
        <row r="64">
          <cell r="D64" t="str">
            <v>Total fix capital</v>
          </cell>
        </row>
        <row r="66">
          <cell r="D66" t="str">
            <v>Fix Capital Costs per annun</v>
          </cell>
        </row>
        <row r="67">
          <cell r="D67" t="str">
            <v>Lifetime</v>
          </cell>
        </row>
        <row r="68">
          <cell r="D68" t="str">
            <v>Depreciation</v>
          </cell>
        </row>
        <row r="69">
          <cell r="D69" t="str">
            <v>Property tax (@ 0.01 depreciation)</v>
          </cell>
        </row>
        <row r="70">
          <cell r="D70" t="str">
            <v>Insurance (@ 0.006 depreciation)</v>
          </cell>
        </row>
        <row r="71">
          <cell r="D71" t="str">
            <v>Purchase tax (@ 0.16 of items 1-12/10)</v>
          </cell>
        </row>
        <row r="73">
          <cell r="D73" t="str">
            <v>Direct Production Costs</v>
          </cell>
        </row>
        <row r="74">
          <cell r="D74" t="str">
            <v>Raw materials</v>
          </cell>
        </row>
        <row r="78">
          <cell r="D78" t="str">
            <v>Utilities</v>
          </cell>
        </row>
        <row r="82">
          <cell r="D82" t="str">
            <v>Labor and others</v>
          </cell>
        </row>
        <row r="83">
          <cell r="E83" t="str">
            <v>€</v>
          </cell>
        </row>
        <row r="84">
          <cell r="E84" t="str">
            <v>€</v>
          </cell>
        </row>
        <row r="85">
          <cell r="E85" t="str">
            <v>€</v>
          </cell>
        </row>
        <row r="86">
          <cell r="E86" t="str">
            <v>€</v>
          </cell>
        </row>
        <row r="87">
          <cell r="E87" t="str">
            <v>€</v>
          </cell>
        </row>
        <row r="88">
          <cell r="E88" t="str">
            <v>€</v>
          </cell>
        </row>
        <row r="89">
          <cell r="E89" t="str">
            <v>€</v>
          </cell>
        </row>
        <row r="90">
          <cell r="E90" t="str">
            <v>€</v>
          </cell>
        </row>
        <row r="91">
          <cell r="E91" t="str">
            <v>€</v>
          </cell>
        </row>
        <row r="92">
          <cell r="E92" t="str">
            <v>€</v>
          </cell>
        </row>
        <row r="93">
          <cell r="E93" t="str">
            <v>€</v>
          </cell>
        </row>
        <row r="94">
          <cell r="E94" t="str">
            <v>€</v>
          </cell>
        </row>
        <row r="95">
          <cell r="E95" t="str">
            <v>€</v>
          </cell>
        </row>
      </sheetData>
      <sheetData sheetId="2"/>
      <sheetData sheetId="3"/>
      <sheetData sheetId="4"/>
      <sheetData sheetId="5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Elena María Rojo de Benito" id="{40260897-F013-43BC-9B8C-42A9FDCC74EB}" userId="Elena María Rojo de Benito" providerId="None"/>
  <person displayName="Elena María Rojo de Benito" id="{7BEA31BA-984A-4212-985C-9CD1E1A9F401}" userId="S::elenamaria.rojo@uva.es::8e30a15a-038a-4d57-a480-80842eddf8f1" providerId="AD"/>
</personList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M25" dT="2022-02-07T10:22:47.76" personId="{40260897-F013-43BC-9B8C-42A9FDCC74EB}" id="{BB41C2A5-0CC1-43D6-A87F-DD0F24027044}">
    <text>Si es un raceway, no haría falta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M25" dT="2022-02-07T10:22:47.76" personId="{40260897-F013-43BC-9B8C-42A9FDCC74EB}" id="{BB41C2A5-0CC1-43D7-A87F-DD0F24027044}">
    <text>Si es un raceway, no haría falta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M25" dT="2022-02-07T10:22:47.76" personId="{40260897-F013-43BC-9B8C-42A9FDCC74EB}" id="{BB41C2A5-0CC1-43D8-A87F-DD0F24027044}">
    <text>Si es un raceway, no haría falta</text>
  </threadedComment>
</ThreadedComments>
</file>

<file path=xl/threadedComments/threadedComment4.xml><?xml version="1.0" encoding="utf-8"?>
<ThreadedComments xmlns="http://schemas.microsoft.com/office/spreadsheetml/2018/threadedcomments" xmlns:x="http://schemas.openxmlformats.org/spreadsheetml/2006/main">
  <threadedComment ref="M25" dT="2022-02-07T10:22:47.76" personId="{40260897-F013-43BC-9B8C-42A9FDCC74EB}" id="{BB41C2A5-0CC1-43D9-A87F-DD0F24027044}">
    <text>Si es un raceway, no haría falta</text>
  </threadedComment>
</ThreadedComments>
</file>

<file path=xl/threadedComments/threadedComment5.xml><?xml version="1.0" encoding="utf-8"?>
<ThreadedComments xmlns="http://schemas.microsoft.com/office/spreadsheetml/2018/threadedcomments" xmlns:x="http://schemas.openxmlformats.org/spreadsheetml/2006/main">
  <threadedComment ref="M25" dT="2022-02-07T10:22:47.76" personId="{40260897-F013-43BC-9B8C-42A9FDCC74EB}" id="{BB41C2A5-0CC1-43DA-A87F-DD0F24027044}">
    <text>Si es un raceway, no haría falta</text>
  </threadedComment>
</ThreadedComments>
</file>

<file path=xl/threadedComments/threadedComment6.xml><?xml version="1.0" encoding="utf-8"?>
<ThreadedComments xmlns="http://schemas.microsoft.com/office/spreadsheetml/2018/threadedcomments" xmlns:x="http://schemas.openxmlformats.org/spreadsheetml/2006/main">
  <threadedComment ref="E16" dT="2022-04-11T10:51:27.69" personId="{7BEA31BA-984A-4212-985C-9CD1E1A9F401}" id="{CF6AD528-C28E-4723-ACDA-EB204E4C8C3F}">
    <text>Enzymatic hydrolysis of renewable vegetable proteins (pg 92)</text>
  </threadedComment>
  <threadedComment ref="E33" dT="2022-03-14T18:42:34.27" personId="{40260897-F013-43BC-9B8C-42A9FDCC74EB}" id="{85D724F9-DFF9-4CC2-B0F2-5AE7844AED44}">
    <text>https://www.moodydirect.com/wp-content/uploads/2017/05/tetra_pak_homogenizer_500_pd_41306.pdf</text>
  </threadedComment>
</ThreadedComments>
</file>

<file path=xl/threadedComments/threadedComment7.xml><?xml version="1.0" encoding="utf-8"?>
<ThreadedComments xmlns="http://schemas.microsoft.com/office/spreadsheetml/2018/threadedcomments" xmlns:x="http://schemas.openxmlformats.org/spreadsheetml/2006/main">
  <threadedComment ref="O9" dT="2022-03-24T10:10:11.12" personId="{40260897-F013-43BC-9B8C-42A9FDCC74EB}" id="{59F4A270-AC10-4203-A960-9628F3807664}">
    <text>HRT = 1 día</text>
  </threadedComment>
  <threadedComment ref="F25" dT="2022-03-14T18:44:28.23" personId="{40260897-F013-43BC-9B8C-42A9FDCC74EB}" id="{BB74B9C3-8303-4649-BB0A-AF85B5F43286}">
    <text>https://www.moodydirect.com/wp-content/uploads/2017/05/tetra_pak_homogenizer_500_pd_41306.pdf</text>
  </threadedComment>
  <threadedComment ref="H25" dT="2022-03-24T10:17:10.52" personId="{40260897-F013-43BC-9B8C-42A9FDCC74EB}" id="{EE975C15-E10F-47C6-A7B8-0B3111888D9C}">
    <text>https://homogenizers.net/pages/ac-high-pressure-homogenization</text>
  </threadedComment>
  <threadedComment ref="M27" dT="2022-02-08T12:30:18.70" personId="{40260897-F013-43BC-9B8C-42A9FDCC74EB}" id="{DD2CFB48-C4B1-405A-8E54-369CBC9F160B}">
    <text>Es una centrifuga??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microsoft.com/office/2017/10/relationships/threadedComment" Target="../threadedComments/threadedComment2.xml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5" Type="http://schemas.microsoft.com/office/2017/10/relationships/threadedComment" Target="../threadedComments/threadedComment3.xml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5" Type="http://schemas.microsoft.com/office/2017/10/relationships/threadedComment" Target="../threadedComments/threadedComment4.xml"/><Relationship Id="rId4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5" Type="http://schemas.microsoft.com/office/2017/10/relationships/threadedComment" Target="../threadedComments/threadedComment5.xml"/><Relationship Id="rId4" Type="http://schemas.openxmlformats.org/officeDocument/2006/relationships/comments" Target="../comments5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Relationship Id="rId4" Type="http://schemas.microsoft.com/office/2017/10/relationships/threadedComment" Target="../threadedComments/threadedComment6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drawing" Target="../drawings/drawing7.xml"/><Relationship Id="rId4" Type="http://schemas.microsoft.com/office/2017/10/relationships/threadedComment" Target="../threadedComments/threadedComment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E2:K44"/>
  <sheetViews>
    <sheetView topLeftCell="A4" zoomScaleNormal="100" workbookViewId="0">
      <selection activeCell="F44" sqref="F44"/>
    </sheetView>
  </sheetViews>
  <sheetFormatPr baseColWidth="10" defaultRowHeight="14.5" x14ac:dyDescent="0.35"/>
  <cols>
    <col min="1" max="1" width="28.7265625" bestFit="1" customWidth="1"/>
    <col min="5" max="5" width="25.453125" bestFit="1" customWidth="1"/>
    <col min="6" max="6" width="18.81640625" bestFit="1" customWidth="1"/>
    <col min="7" max="9" width="11.7265625" customWidth="1"/>
    <col min="12" max="12" width="13.26953125" bestFit="1" customWidth="1"/>
  </cols>
  <sheetData>
    <row r="2" spans="5:11" x14ac:dyDescent="0.35">
      <c r="G2" t="str">
        <f>+Model!E1</f>
        <v>Fertilizer</v>
      </c>
      <c r="H2" t="str">
        <f>+Model!G1</f>
        <v>Manure</v>
      </c>
      <c r="I2" t="s">
        <v>278</v>
      </c>
      <c r="J2" t="s">
        <v>285</v>
      </c>
      <c r="K2" t="s">
        <v>282</v>
      </c>
    </row>
    <row r="3" spans="5:11" x14ac:dyDescent="0.35">
      <c r="E3" t="str">
        <f>+Model!D90</f>
        <v>Total raw materials</v>
      </c>
      <c r="F3" t="str">
        <f>+Model!E90</f>
        <v>€</v>
      </c>
      <c r="G3" s="281">
        <f>+Model!F90</f>
        <v>36500</v>
      </c>
      <c r="H3" s="281">
        <f>+Model!H90</f>
        <v>7300</v>
      </c>
      <c r="I3" s="281">
        <f>+Model!J90</f>
        <v>7300</v>
      </c>
      <c r="J3" s="281">
        <f>+Model!L90</f>
        <v>10950</v>
      </c>
      <c r="K3" s="281">
        <f>+Model!N90</f>
        <v>10950</v>
      </c>
    </row>
    <row r="4" spans="5:11" x14ac:dyDescent="0.35">
      <c r="E4" t="str">
        <f>+Model!D91</f>
        <v>Total utilities</v>
      </c>
      <c r="F4" t="str">
        <f>+Model!E91</f>
        <v>€</v>
      </c>
      <c r="G4" s="281">
        <f>+Model!F91</f>
        <v>35131.25</v>
      </c>
      <c r="H4" s="281">
        <f>+Model!H91</f>
        <v>35131.25</v>
      </c>
      <c r="I4" s="281">
        <f>+Model!J91</f>
        <v>35131.25</v>
      </c>
      <c r="J4" s="281">
        <f>+Model!L91</f>
        <v>35131.25</v>
      </c>
      <c r="K4" s="281">
        <f>+Model!N91</f>
        <v>35131.25</v>
      </c>
    </row>
    <row r="5" spans="5:11" x14ac:dyDescent="0.35">
      <c r="E5" t="str">
        <f>+Model!D92</f>
        <v>Total labor and others</v>
      </c>
      <c r="F5" t="str">
        <f>+Model!E92</f>
        <v>€</v>
      </c>
      <c r="G5" s="281">
        <f>+Model!F92</f>
        <v>95568.834309529819</v>
      </c>
      <c r="H5" s="281">
        <f>+Model!H92</f>
        <v>87835.506309529825</v>
      </c>
      <c r="I5" s="281">
        <f>+Model!J92</f>
        <v>59485.506309529825</v>
      </c>
      <c r="J5" s="281">
        <f>+Model!L92</f>
        <v>60452.172309529822</v>
      </c>
      <c r="K5" s="281">
        <f>+Model!N92</f>
        <v>59328.885816298396</v>
      </c>
    </row>
    <row r="6" spans="5:11" x14ac:dyDescent="0.35">
      <c r="E6" t="str">
        <f>+Model!D93</f>
        <v>Total fix capital per annun</v>
      </c>
      <c r="F6" t="str">
        <f>+Model!E93</f>
        <v>€</v>
      </c>
      <c r="G6" s="281">
        <f>+Model!F93</f>
        <v>46374.995129377676</v>
      </c>
      <c r="H6" s="281">
        <f>+Model!H93</f>
        <v>46374.995129377676</v>
      </c>
      <c r="I6" s="281">
        <f>+Model!J93</f>
        <v>46374.995129377676</v>
      </c>
      <c r="J6" s="281">
        <f>+Model!L93</f>
        <v>46374.995129377676</v>
      </c>
      <c r="K6" s="281">
        <f>+Model!N93</f>
        <v>40406.604735933724</v>
      </c>
    </row>
    <row r="7" spans="5:11" x14ac:dyDescent="0.35">
      <c r="E7" t="str">
        <f>+Model!D94</f>
        <v>Total direct production costs</v>
      </c>
      <c r="F7" t="str">
        <f>+Model!E94</f>
        <v>€</v>
      </c>
      <c r="G7" s="281">
        <f>+Model!F94</f>
        <v>167200.0843095298</v>
      </c>
      <c r="H7" s="281">
        <f>+Model!H94</f>
        <v>130266.75630952982</v>
      </c>
      <c r="I7" s="281">
        <f>+Model!J94</f>
        <v>101916.75630952982</v>
      </c>
      <c r="J7" s="281">
        <f>+Model!L94</f>
        <v>106533.42230952982</v>
      </c>
      <c r="K7" s="281">
        <f>+Model!N94</f>
        <v>105410.1358162984</v>
      </c>
    </row>
    <row r="8" spans="5:11" x14ac:dyDescent="0.35">
      <c r="E8" t="str">
        <f>+Model!D95</f>
        <v>Total production costs</v>
      </c>
      <c r="F8" t="str">
        <f>+Model!E95</f>
        <v>€</v>
      </c>
      <c r="G8" s="281">
        <f>+Model!F95</f>
        <v>213575.07943890747</v>
      </c>
      <c r="H8" s="281">
        <f>+Model!H95</f>
        <v>176641.75143890749</v>
      </c>
      <c r="I8" s="281">
        <f>+Model!J95</f>
        <v>148291.75143890749</v>
      </c>
      <c r="J8" s="281">
        <f>+Model!L95</f>
        <v>152908.41743890749</v>
      </c>
      <c r="K8" s="281">
        <f>+Model!N95</f>
        <v>145816.74055223214</v>
      </c>
    </row>
    <row r="9" spans="5:11" x14ac:dyDescent="0.35">
      <c r="E9" t="str">
        <f>+Model!D96</f>
        <v>Unit cost of producing biomass</v>
      </c>
      <c r="F9" t="str">
        <f>+Model!E96</f>
        <v>€/kg</v>
      </c>
      <c r="G9" s="280">
        <f>+Model!F96</f>
        <v>2.9256860197110615</v>
      </c>
      <c r="H9" s="280">
        <f>+Model!H96</f>
        <v>2.4197500197110617</v>
      </c>
      <c r="I9" s="280">
        <f>+Model!J96</f>
        <v>2.0313938553274999</v>
      </c>
      <c r="J9" s="280">
        <f>+Model!L96</f>
        <v>1.3964239035516666</v>
      </c>
      <c r="K9" s="280">
        <f>+Model!N96</f>
        <v>1.3316597310706131</v>
      </c>
    </row>
    <row r="10" spans="5:11" x14ac:dyDescent="0.35">
      <c r="G10" t="str">
        <f>+G2</f>
        <v>Fertilizer</v>
      </c>
      <c r="H10" t="str">
        <f t="shared" ref="H10:K10" si="0">+H2</f>
        <v>Manure</v>
      </c>
      <c r="I10" t="str">
        <f t="shared" si="0"/>
        <v>Manpower/2</v>
      </c>
      <c r="J10" t="str">
        <f t="shared" si="0"/>
        <v>Productivity*1.5</v>
      </c>
      <c r="K10" t="str">
        <f t="shared" si="0"/>
        <v>Reactors cost/2</v>
      </c>
    </row>
    <row r="11" spans="5:11" x14ac:dyDescent="0.35">
      <c r="E11" t="str">
        <f>+Model!D98</f>
        <v>Total raw materials</v>
      </c>
      <c r="G11" s="279">
        <f>+Model!F98</f>
        <v>0.17090008860533148</v>
      </c>
      <c r="H11" s="279">
        <f>+Model!H98</f>
        <v>4.1326582988081076E-2</v>
      </c>
      <c r="I11" s="279">
        <f>+Model!J98</f>
        <v>4.9227282901216647E-2</v>
      </c>
      <c r="J11" s="279">
        <f>+Model!L98</f>
        <v>7.1611492574468152E-2</v>
      </c>
      <c r="K11" s="279">
        <f>+Model!N98</f>
        <v>7.5094258440632652E-2</v>
      </c>
    </row>
    <row r="12" spans="5:11" x14ac:dyDescent="0.35">
      <c r="E12" t="str">
        <f>+Model!D99</f>
        <v>Total utilities</v>
      </c>
      <c r="G12" s="279">
        <f>+Model!F99</f>
        <v>0.16449133528263157</v>
      </c>
      <c r="H12" s="279">
        <f>+Model!H99</f>
        <v>0.19888418063014016</v>
      </c>
      <c r="I12" s="279">
        <f>+Model!J99</f>
        <v>0.23690629896210511</v>
      </c>
      <c r="J12" s="279">
        <f>+Model!L99</f>
        <v>0.22975353867641865</v>
      </c>
      <c r="K12" s="279">
        <f>+Model!N99</f>
        <v>0.24092741249702976</v>
      </c>
    </row>
    <row r="13" spans="5:11" x14ac:dyDescent="0.35">
      <c r="E13" t="str">
        <f>+Model!D100</f>
        <v>Total labor and others</v>
      </c>
      <c r="G13" s="279">
        <f>+Model!F100</f>
        <v>0.44747184250429839</v>
      </c>
      <c r="H13" s="279">
        <f>+Model!H100</f>
        <v>0.49725223846587713</v>
      </c>
      <c r="I13" s="279">
        <f>+Model!J100</f>
        <v>0.40113833529059351</v>
      </c>
      <c r="J13" s="279">
        <f>+Model!L100</f>
        <v>0.39534888479035285</v>
      </c>
      <c r="K13" s="279">
        <f>+Model!N100</f>
        <v>0.40687293922227369</v>
      </c>
    </row>
    <row r="14" spans="5:11" x14ac:dyDescent="0.35">
      <c r="E14" t="str">
        <f>+Model!D101</f>
        <v>Total fix capital per annun</v>
      </c>
      <c r="G14" s="279">
        <f>+Model!F101</f>
        <v>0.21713673360773866</v>
      </c>
      <c r="H14" s="279">
        <f>+Model!H101</f>
        <v>0.26253699791590168</v>
      </c>
      <c r="I14" s="279">
        <f>+Model!J101</f>
        <v>0.31272808284608478</v>
      </c>
      <c r="J14" s="279">
        <f>+Model!L101</f>
        <v>0.30328608395876039</v>
      </c>
      <c r="K14" s="279">
        <f>+Model!N101</f>
        <v>0.27710538984006378</v>
      </c>
    </row>
    <row r="15" spans="5:11" x14ac:dyDescent="0.35">
      <c r="E15" t="str">
        <f>+Model!D102</f>
        <v>Total direct production costs</v>
      </c>
      <c r="G15" s="279">
        <f>+Model!F102</f>
        <v>0.78286326639226134</v>
      </c>
      <c r="H15" s="279">
        <f>+Model!H102</f>
        <v>0.73746300208409843</v>
      </c>
      <c r="I15" s="279">
        <f>+Model!J102</f>
        <v>0.68727191715391522</v>
      </c>
      <c r="J15" s="279">
        <f>+Model!L102</f>
        <v>0.69671391604123967</v>
      </c>
      <c r="K15" s="279">
        <f>+Model!N102</f>
        <v>0.72289461015993606</v>
      </c>
    </row>
    <row r="16" spans="5:11" x14ac:dyDescent="0.35">
      <c r="E16" t="str">
        <f>+Model!D103</f>
        <v>Total production costs</v>
      </c>
      <c r="G16" s="279">
        <f>+Model!F103</f>
        <v>1</v>
      </c>
      <c r="H16" s="279">
        <f>+Model!H103</f>
        <v>1</v>
      </c>
      <c r="I16" s="279">
        <f>+Model!J103</f>
        <v>1</v>
      </c>
      <c r="J16" s="279">
        <f>+Model!L103</f>
        <v>1</v>
      </c>
      <c r="K16" s="279">
        <f>+Model!N103</f>
        <v>1</v>
      </c>
    </row>
    <row r="19" spans="5:11" x14ac:dyDescent="0.35">
      <c r="E19" t="str">
        <f>+Model!D106</f>
        <v>Depreciation</v>
      </c>
      <c r="F19" t="str">
        <f>+Model!E106</f>
        <v>€/kg</v>
      </c>
      <c r="G19" s="280">
        <f>+Model!F106</f>
        <v>0.63527390588188593</v>
      </c>
      <c r="H19" s="280">
        <f>+Model!H106</f>
        <v>0.63527390588188593</v>
      </c>
      <c r="I19" s="280">
        <f>+Model!J106</f>
        <v>0.63527390588188593</v>
      </c>
      <c r="J19" s="280">
        <f>+Model!L106</f>
        <v>0.42351593725459064</v>
      </c>
      <c r="K19" s="280">
        <f>+Model!N106</f>
        <v>0.36901008891263676</v>
      </c>
    </row>
    <row r="20" spans="5:11" x14ac:dyDescent="0.35">
      <c r="E20" t="str">
        <f>+Model!D107</f>
        <v>Fertilizers</v>
      </c>
      <c r="F20" t="str">
        <f>+Model!E107</f>
        <v>€/kg</v>
      </c>
      <c r="G20" s="280">
        <f>+Model!F107</f>
        <v>0.3</v>
      </c>
      <c r="H20" s="280">
        <f>+Model!H107</f>
        <v>0</v>
      </c>
      <c r="I20" s="280">
        <f>+Model!J107</f>
        <v>0</v>
      </c>
      <c r="J20" s="280">
        <f>+Model!L107</f>
        <v>0</v>
      </c>
      <c r="K20" s="280">
        <f>+Model!N107</f>
        <v>0</v>
      </c>
    </row>
    <row r="21" spans="5:11" x14ac:dyDescent="0.35">
      <c r="E21" t="str">
        <f>+Model!D108</f>
        <v>Carbon dioxide</v>
      </c>
      <c r="F21" t="str">
        <f>+Model!E108</f>
        <v>€/kg</v>
      </c>
      <c r="G21" s="280">
        <f>+Model!F108</f>
        <v>0.2</v>
      </c>
      <c r="H21" s="280">
        <f>+Model!H108</f>
        <v>0.1</v>
      </c>
      <c r="I21" s="280">
        <f>+Model!J108</f>
        <v>0.1</v>
      </c>
      <c r="J21" s="280">
        <f>+Model!L108</f>
        <v>0.1</v>
      </c>
      <c r="K21" s="280">
        <f>+Model!N108</f>
        <v>0.1</v>
      </c>
    </row>
    <row r="22" spans="5:11" x14ac:dyDescent="0.35">
      <c r="E22" t="str">
        <f>+Model!D109</f>
        <v>Labor</v>
      </c>
      <c r="F22" t="str">
        <f>+Model!E109</f>
        <v>€/kg</v>
      </c>
      <c r="G22" s="280">
        <f>+Model!F109</f>
        <v>0.41095890410958902</v>
      </c>
      <c r="H22" s="280">
        <f>+Model!H109</f>
        <v>0.41095890410958902</v>
      </c>
      <c r="I22" s="280">
        <f>+Model!J109</f>
        <v>0.20547945205479451</v>
      </c>
      <c r="J22" s="280">
        <f>+Model!L109</f>
        <v>0.13698630136986301</v>
      </c>
      <c r="K22" s="280">
        <f>+Model!N109</f>
        <v>0.13698630136986301</v>
      </c>
    </row>
    <row r="23" spans="5:11" x14ac:dyDescent="0.35">
      <c r="E23" t="str">
        <f>+Model!D110</f>
        <v>Power</v>
      </c>
      <c r="F23" t="str">
        <f>+Model!E110</f>
        <v>€/kg</v>
      </c>
      <c r="G23" s="280">
        <f>+Model!F110</f>
        <v>0.48125000000000001</v>
      </c>
      <c r="H23" s="280">
        <f>+Model!H110</f>
        <v>0.48125000000000001</v>
      </c>
      <c r="I23" s="280">
        <f>+Model!J110</f>
        <v>0.48125000000000001</v>
      </c>
      <c r="J23" s="280">
        <f>+Model!L110</f>
        <v>0.32083333333333336</v>
      </c>
      <c r="K23" s="280">
        <f>+Model!N110</f>
        <v>0.32083333333333336</v>
      </c>
    </row>
    <row r="24" spans="5:11" x14ac:dyDescent="0.35">
      <c r="E24" t="str">
        <f>+Model!D111</f>
        <v>General plant overheads</v>
      </c>
      <c r="F24" t="str">
        <f>+Model!E111</f>
        <v>€/kg</v>
      </c>
      <c r="G24" s="280">
        <f>+Model!F111</f>
        <v>0.30802128265344503</v>
      </c>
      <c r="H24" s="280">
        <f>+Model!H111</f>
        <v>0.30802128265344503</v>
      </c>
      <c r="I24" s="280">
        <f>+Model!J111</f>
        <v>0.19500758402330801</v>
      </c>
      <c r="J24" s="280">
        <f>+Model!L111</f>
        <v>0.13000505601553866</v>
      </c>
      <c r="K24" s="280">
        <f>+Model!N111</f>
        <v>0.12684864858812336</v>
      </c>
    </row>
    <row r="25" spans="5:11" x14ac:dyDescent="0.35">
      <c r="E25" t="str">
        <f>+Model!D112</f>
        <v>Rest of the costs</v>
      </c>
      <c r="F25" t="str">
        <f>+Model!E112</f>
        <v>€/kg</v>
      </c>
      <c r="G25" s="280">
        <f>+Model!F112</f>
        <v>0.59018192706614103</v>
      </c>
      <c r="H25" s="280">
        <f>+Model!H112</f>
        <v>0.48424592706614189</v>
      </c>
      <c r="I25" s="280">
        <f>+Model!J112</f>
        <v>0.41438291336751143</v>
      </c>
      <c r="J25" s="280">
        <f>+Model!L112</f>
        <v>0.28508327557834101</v>
      </c>
      <c r="K25" s="280">
        <f>+Model!N112</f>
        <v>0.27798135886665665</v>
      </c>
    </row>
    <row r="28" spans="5:11" x14ac:dyDescent="0.35">
      <c r="F28" t="s">
        <v>290</v>
      </c>
      <c r="G28">
        <f>+Model!F14*Model!F13*0.1*Model!F9</f>
        <v>18250</v>
      </c>
      <c r="H28">
        <f>+Model!H14*Model!H13*0.1*Model!H9</f>
        <v>18250</v>
      </c>
      <c r="I28">
        <f>+Model!J14*Model!J13*0.1*Model!J9</f>
        <v>18250</v>
      </c>
      <c r="J28">
        <f>+Model!L14*Model!L13*0.1*Model!L9*1.5</f>
        <v>27375</v>
      </c>
      <c r="K28">
        <f>+Model!N14*Model!N13*0.1*Model!N9*1.5</f>
        <v>27375</v>
      </c>
    </row>
    <row r="29" spans="5:11" x14ac:dyDescent="0.35">
      <c r="F29" t="s">
        <v>291</v>
      </c>
      <c r="G29">
        <f>+G30*1000/G28</f>
        <v>4</v>
      </c>
      <c r="H29">
        <f t="shared" ref="H29:K29" si="1">+H30*1000/H28</f>
        <v>4</v>
      </c>
      <c r="I29">
        <f t="shared" si="1"/>
        <v>4</v>
      </c>
      <c r="J29">
        <f t="shared" si="1"/>
        <v>4</v>
      </c>
      <c r="K29">
        <f t="shared" si="1"/>
        <v>4</v>
      </c>
    </row>
    <row r="30" spans="5:11" x14ac:dyDescent="0.35">
      <c r="F30" t="s">
        <v>283</v>
      </c>
      <c r="G30">
        <f>+Model!F15</f>
        <v>73</v>
      </c>
      <c r="H30">
        <f>+Model!H15</f>
        <v>73</v>
      </c>
      <c r="I30">
        <f>+Model!J15</f>
        <v>73</v>
      </c>
      <c r="J30">
        <f>+Model!L15</f>
        <v>109.5</v>
      </c>
      <c r="K30">
        <f>+Model!N15</f>
        <v>109.5</v>
      </c>
    </row>
    <row r="31" spans="5:11" x14ac:dyDescent="0.35">
      <c r="F31" t="s">
        <v>284</v>
      </c>
      <c r="G31">
        <f>+G30*1000/G29</f>
        <v>18250</v>
      </c>
      <c r="H31">
        <f t="shared" ref="H31:K31" si="2">+H30*1000/H29</f>
        <v>18250</v>
      </c>
      <c r="I31">
        <f t="shared" si="2"/>
        <v>18250</v>
      </c>
      <c r="J31">
        <f t="shared" si="2"/>
        <v>27375</v>
      </c>
      <c r="K31">
        <f t="shared" si="2"/>
        <v>27375</v>
      </c>
    </row>
    <row r="32" spans="5:11" x14ac:dyDescent="0.35">
      <c r="F32" t="s">
        <v>292</v>
      </c>
      <c r="G32" s="281"/>
      <c r="H32" s="281">
        <f>+H9*H30*1000/H31</f>
        <v>9.679000078844247</v>
      </c>
      <c r="I32" s="281">
        <f>+I9*I30*1000/I31</f>
        <v>8.1255754213099998</v>
      </c>
      <c r="J32" s="281">
        <f>+J9*J30*1000/J31</f>
        <v>5.5856956142066663</v>
      </c>
      <c r="K32" s="281">
        <f>+K9*K30*1000/K31</f>
        <v>5.3266389242824514</v>
      </c>
    </row>
    <row r="35" spans="5:11" x14ac:dyDescent="0.35">
      <c r="E35">
        <v>1</v>
      </c>
      <c r="F35" t="s">
        <v>286</v>
      </c>
      <c r="G35" s="281">
        <f>+G$30*1000*($E35-G$9)/1000</f>
        <v>-140.57507943890747</v>
      </c>
      <c r="H35" s="281">
        <f t="shared" ref="H35:K35" si="3">+H$30*1000*($E35-H$9)/1000</f>
        <v>-103.64175143890751</v>
      </c>
      <c r="I35" s="281">
        <f t="shared" si="3"/>
        <v>-75.291751438907497</v>
      </c>
      <c r="J35" s="281">
        <f t="shared" si="3"/>
        <v>-43.408417438907492</v>
      </c>
      <c r="K35" s="281">
        <f t="shared" si="3"/>
        <v>-36.316740552232133</v>
      </c>
    </row>
    <row r="36" spans="5:11" x14ac:dyDescent="0.35">
      <c r="E36">
        <v>2</v>
      </c>
      <c r="F36" t="s">
        <v>288</v>
      </c>
      <c r="G36" s="281">
        <f t="shared" ref="G36:K38" si="4">+G$30*1000*($E36-G$9)/1000</f>
        <v>-67.575079438907494</v>
      </c>
      <c r="H36" s="281">
        <f t="shared" si="4"/>
        <v>-30.641751438907509</v>
      </c>
      <c r="I36" s="281">
        <f t="shared" si="4"/>
        <v>-2.2917514389074958</v>
      </c>
      <c r="J36" s="281">
        <f t="shared" si="4"/>
        <v>66.091582561092508</v>
      </c>
      <c r="K36" s="281">
        <f t="shared" si="4"/>
        <v>73.183259447767867</v>
      </c>
    </row>
    <row r="37" spans="5:11" x14ac:dyDescent="0.35">
      <c r="E37">
        <v>5</v>
      </c>
      <c r="F37" t="s">
        <v>287</v>
      </c>
      <c r="G37" s="281">
        <f t="shared" si="4"/>
        <v>151.42492056109253</v>
      </c>
      <c r="H37" s="281">
        <f t="shared" si="4"/>
        <v>188.35824856109249</v>
      </c>
      <c r="I37" s="281">
        <f t="shared" si="4"/>
        <v>216.70824856109252</v>
      </c>
      <c r="J37" s="281">
        <f t="shared" si="4"/>
        <v>394.59158256109254</v>
      </c>
      <c r="K37" s="281">
        <f t="shared" si="4"/>
        <v>401.68325944776785</v>
      </c>
    </row>
    <row r="38" spans="5:11" x14ac:dyDescent="0.35">
      <c r="E38">
        <v>10</v>
      </c>
      <c r="F38" t="s">
        <v>289</v>
      </c>
      <c r="G38" s="281">
        <f t="shared" si="4"/>
        <v>516.42492056109245</v>
      </c>
      <c r="H38" s="281">
        <f t="shared" si="4"/>
        <v>553.35824856109252</v>
      </c>
      <c r="I38" s="281">
        <f t="shared" si="4"/>
        <v>581.70824856109255</v>
      </c>
      <c r="J38" s="281">
        <f t="shared" si="4"/>
        <v>942.09158256109254</v>
      </c>
      <c r="K38" s="281">
        <f t="shared" si="4"/>
        <v>949.18325944776802</v>
      </c>
    </row>
    <row r="41" spans="5:11" x14ac:dyDescent="0.35">
      <c r="E41">
        <v>8</v>
      </c>
      <c r="F41" t="s">
        <v>99</v>
      </c>
    </row>
    <row r="42" spans="5:11" x14ac:dyDescent="0.35">
      <c r="E42">
        <v>8000</v>
      </c>
      <c r="F42" t="s">
        <v>293</v>
      </c>
    </row>
    <row r="43" spans="5:11" x14ac:dyDescent="0.35">
      <c r="E43">
        <f>+E42*1000*8/1000</f>
        <v>64000</v>
      </c>
      <c r="F43" t="s">
        <v>294</v>
      </c>
    </row>
    <row r="44" spans="5:11" x14ac:dyDescent="0.35">
      <c r="E44">
        <f>+E43*10/1000</f>
        <v>640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IL112"/>
  <sheetViews>
    <sheetView topLeftCell="D75" zoomScaleNormal="100" zoomScaleSheetLayoutView="70" workbookViewId="0">
      <selection activeCell="K1" sqref="K1:L1"/>
    </sheetView>
  </sheetViews>
  <sheetFormatPr baseColWidth="10" defaultColWidth="9.1796875" defaultRowHeight="14.5" x14ac:dyDescent="0.35"/>
  <cols>
    <col min="2" max="2" width="29" bestFit="1" customWidth="1"/>
    <col min="4" max="4" width="44.81640625" style="1" customWidth="1"/>
    <col min="5" max="5" width="18.81640625" style="145" bestFit="1" customWidth="1"/>
    <col min="6" max="6" width="23.81640625" style="145" bestFit="1" customWidth="1"/>
    <col min="7" max="7" width="18.81640625" style="145" bestFit="1" customWidth="1"/>
    <col min="8" max="8" width="23.81640625" style="145" bestFit="1" customWidth="1"/>
    <col min="9" max="9" width="18.81640625" style="145" bestFit="1" customWidth="1"/>
    <col min="10" max="10" width="23.81640625" style="145" bestFit="1" customWidth="1"/>
    <col min="11" max="11" width="18.81640625" style="145" bestFit="1" customWidth="1"/>
    <col min="12" max="12" width="23.81640625" style="145" bestFit="1" customWidth="1"/>
    <col min="13" max="13" width="18.81640625" style="145" bestFit="1" customWidth="1"/>
    <col min="14" max="14" width="23.81640625" style="145" bestFit="1" customWidth="1"/>
  </cols>
  <sheetData>
    <row r="1" spans="1:14" ht="15" thickBot="1" x14ac:dyDescent="0.4">
      <c r="D1" s="164" t="s">
        <v>2</v>
      </c>
      <c r="E1" s="288" t="s">
        <v>272</v>
      </c>
      <c r="F1" s="289"/>
      <c r="G1" s="288" t="s">
        <v>277</v>
      </c>
      <c r="H1" s="289"/>
      <c r="I1" s="288" t="s">
        <v>279</v>
      </c>
      <c r="J1" s="289"/>
      <c r="K1" s="288" t="s">
        <v>280</v>
      </c>
      <c r="L1" s="289"/>
      <c r="M1" s="288" t="s">
        <v>281</v>
      </c>
      <c r="N1" s="289"/>
    </row>
    <row r="2" spans="1:14" x14ac:dyDescent="0.35">
      <c r="A2" t="s">
        <v>168</v>
      </c>
      <c r="D2" s="168"/>
      <c r="E2" s="4" t="s">
        <v>0</v>
      </c>
      <c r="F2" s="1" t="s">
        <v>1</v>
      </c>
      <c r="G2" s="4" t="s">
        <v>0</v>
      </c>
      <c r="H2" s="1" t="s">
        <v>1</v>
      </c>
      <c r="I2" s="4" t="s">
        <v>0</v>
      </c>
      <c r="J2" s="1" t="s">
        <v>1</v>
      </c>
      <c r="K2" s="4" t="s">
        <v>0</v>
      </c>
      <c r="L2" s="1" t="s">
        <v>1</v>
      </c>
      <c r="M2" s="4" t="s">
        <v>0</v>
      </c>
      <c r="N2" s="4" t="s">
        <v>1</v>
      </c>
    </row>
    <row r="3" spans="1:14" x14ac:dyDescent="0.35">
      <c r="A3" s="184" t="s">
        <v>169</v>
      </c>
      <c r="B3" s="184" t="s">
        <v>170</v>
      </c>
      <c r="D3" s="165" t="s">
        <v>20</v>
      </c>
      <c r="E3" s="5"/>
      <c r="F3" s="3"/>
      <c r="G3" s="5"/>
      <c r="H3" s="3"/>
      <c r="I3" s="5"/>
      <c r="J3" s="3"/>
      <c r="K3" s="5"/>
      <c r="L3" s="3"/>
      <c r="M3" s="5"/>
      <c r="N3" s="5"/>
    </row>
    <row r="4" spans="1:14" x14ac:dyDescent="0.35">
      <c r="A4" s="185" t="s">
        <v>171</v>
      </c>
      <c r="B4" s="185" t="s">
        <v>172</v>
      </c>
      <c r="D4" s="166" t="s">
        <v>3</v>
      </c>
      <c r="E4" s="146" t="s">
        <v>4</v>
      </c>
      <c r="F4" s="144">
        <v>20</v>
      </c>
      <c r="G4" s="146" t="s">
        <v>4</v>
      </c>
      <c r="H4" s="144">
        <v>20</v>
      </c>
      <c r="I4" s="146" t="str">
        <f>+E4</f>
        <v>g/m2/day</v>
      </c>
      <c r="J4" s="144">
        <v>20</v>
      </c>
      <c r="K4" s="146" t="str">
        <f>+I4</f>
        <v>g/m2/day</v>
      </c>
      <c r="L4" s="144">
        <v>30</v>
      </c>
      <c r="M4" s="146" t="str">
        <f>+K4</f>
        <v>g/m2/day</v>
      </c>
      <c r="N4" s="146">
        <v>30</v>
      </c>
    </row>
    <row r="5" spans="1:14" x14ac:dyDescent="0.35">
      <c r="A5" s="2" t="s">
        <v>173</v>
      </c>
      <c r="B5" s="2" t="s">
        <v>181</v>
      </c>
      <c r="D5" s="167" t="s">
        <v>14</v>
      </c>
      <c r="E5" s="156" t="s">
        <v>15</v>
      </c>
      <c r="F5" s="157">
        <v>2</v>
      </c>
      <c r="G5" s="156" t="s">
        <v>15</v>
      </c>
      <c r="H5" s="157">
        <v>1</v>
      </c>
      <c r="I5" s="156" t="str">
        <f>+E5</f>
        <v>kg/kg algae biomass</v>
      </c>
      <c r="J5" s="157">
        <v>1</v>
      </c>
      <c r="K5" s="156" t="str">
        <f>+I5</f>
        <v>kg/kg algae biomass</v>
      </c>
      <c r="L5" s="157">
        <v>1</v>
      </c>
      <c r="M5" s="156" t="str">
        <f>+K5</f>
        <v>kg/kg algae biomass</v>
      </c>
      <c r="N5" s="156">
        <v>1</v>
      </c>
    </row>
    <row r="6" spans="1:14" s="142" customFormat="1" x14ac:dyDescent="0.35">
      <c r="D6" s="167" t="s">
        <v>6</v>
      </c>
      <c r="E6" s="156" t="s">
        <v>7</v>
      </c>
      <c r="F6" s="157">
        <v>6</v>
      </c>
      <c r="G6" s="156" t="s">
        <v>7</v>
      </c>
      <c r="H6" s="157">
        <v>6</v>
      </c>
      <c r="I6" s="156" t="str">
        <f t="shared" ref="I6:I24" si="0">+E6</f>
        <v>L/m2/day</v>
      </c>
      <c r="J6" s="157">
        <v>6</v>
      </c>
      <c r="K6" s="156" t="str">
        <f t="shared" ref="K6:K24" si="1">+I6</f>
        <v>L/m2/day</v>
      </c>
      <c r="L6" s="157">
        <v>6</v>
      </c>
      <c r="M6" s="156" t="str">
        <f t="shared" ref="M6:M24" si="2">+K6</f>
        <v>L/m2/day</v>
      </c>
      <c r="N6" s="156">
        <v>6</v>
      </c>
    </row>
    <row r="7" spans="1:14" s="158" customFormat="1" x14ac:dyDescent="0.35">
      <c r="D7" s="167" t="s">
        <v>21</v>
      </c>
      <c r="E7" s="156" t="s">
        <v>92</v>
      </c>
      <c r="F7" s="194">
        <v>20</v>
      </c>
      <c r="G7" s="156" t="s">
        <v>92</v>
      </c>
      <c r="H7" s="194">
        <v>20</v>
      </c>
      <c r="I7" s="156" t="str">
        <f t="shared" si="0"/>
        <v>W/m3</v>
      </c>
      <c r="J7" s="194">
        <v>20</v>
      </c>
      <c r="K7" s="156" t="str">
        <f t="shared" si="1"/>
        <v>W/m3</v>
      </c>
      <c r="L7" s="194">
        <v>20</v>
      </c>
      <c r="M7" s="156" t="str">
        <f t="shared" si="2"/>
        <v>W/m3</v>
      </c>
      <c r="N7" s="196">
        <v>20</v>
      </c>
    </row>
    <row r="8" spans="1:14" s="158" customFormat="1" x14ac:dyDescent="0.35">
      <c r="D8" s="167" t="s">
        <v>8</v>
      </c>
      <c r="E8" s="156" t="s">
        <v>9</v>
      </c>
      <c r="F8" s="157">
        <v>1</v>
      </c>
      <c r="G8" s="156" t="s">
        <v>9</v>
      </c>
      <c r="H8" s="157">
        <v>1</v>
      </c>
      <c r="I8" s="156" t="str">
        <f t="shared" si="0"/>
        <v>people/ha</v>
      </c>
      <c r="J8" s="157">
        <v>0.5</v>
      </c>
      <c r="K8" s="156" t="str">
        <f t="shared" si="1"/>
        <v>people/ha</v>
      </c>
      <c r="L8" s="157">
        <v>0.5</v>
      </c>
      <c r="M8" s="156" t="str">
        <f t="shared" si="2"/>
        <v>people/ha</v>
      </c>
      <c r="N8" s="156">
        <v>0.5</v>
      </c>
    </row>
    <row r="9" spans="1:14" s="158" customFormat="1" x14ac:dyDescent="0.35">
      <c r="D9" s="166" t="s">
        <v>10</v>
      </c>
      <c r="E9" s="146" t="s">
        <v>11</v>
      </c>
      <c r="F9" s="144">
        <v>365</v>
      </c>
      <c r="G9" s="146" t="s">
        <v>11</v>
      </c>
      <c r="H9" s="144">
        <v>365</v>
      </c>
      <c r="I9" s="146" t="str">
        <f t="shared" si="0"/>
        <v>Days</v>
      </c>
      <c r="J9" s="144">
        <v>365</v>
      </c>
      <c r="K9" s="146" t="str">
        <f t="shared" si="1"/>
        <v>Days</v>
      </c>
      <c r="L9" s="144">
        <v>365</v>
      </c>
      <c r="M9" s="146" t="str">
        <f t="shared" si="2"/>
        <v>Days</v>
      </c>
      <c r="N9" s="146">
        <v>365</v>
      </c>
    </row>
    <row r="10" spans="1:14" s="158" customFormat="1" x14ac:dyDescent="0.35">
      <c r="D10" s="167" t="s">
        <v>12</v>
      </c>
      <c r="E10" s="156" t="s">
        <v>13</v>
      </c>
      <c r="F10" s="157">
        <v>1</v>
      </c>
      <c r="G10" s="156" t="s">
        <v>13</v>
      </c>
      <c r="H10" s="157">
        <f>+F10</f>
        <v>1</v>
      </c>
      <c r="I10" s="156" t="str">
        <f t="shared" si="0"/>
        <v>ha</v>
      </c>
      <c r="J10" s="157">
        <f>+H10</f>
        <v>1</v>
      </c>
      <c r="K10" s="156" t="str">
        <f t="shared" si="1"/>
        <v>ha</v>
      </c>
      <c r="L10" s="157">
        <f>+J10</f>
        <v>1</v>
      </c>
      <c r="M10" s="156" t="str">
        <f t="shared" si="2"/>
        <v>ha</v>
      </c>
      <c r="N10" s="156">
        <f>+L10</f>
        <v>1</v>
      </c>
    </row>
    <row r="11" spans="1:14" s="142" customFormat="1" x14ac:dyDescent="0.35">
      <c r="D11" s="167" t="s">
        <v>22</v>
      </c>
      <c r="E11" s="156" t="s">
        <v>88</v>
      </c>
      <c r="F11" s="193">
        <v>0.2</v>
      </c>
      <c r="G11" s="156" t="s">
        <v>88</v>
      </c>
      <c r="H11" s="193">
        <v>0.2</v>
      </c>
      <c r="I11" s="156" t="str">
        <f t="shared" si="0"/>
        <v>m3/m2</v>
      </c>
      <c r="J11" s="193">
        <v>0.2</v>
      </c>
      <c r="K11" s="156" t="str">
        <f t="shared" si="1"/>
        <v>m3/m2</v>
      </c>
      <c r="L11" s="193">
        <v>0.2</v>
      </c>
      <c r="M11" s="156" t="str">
        <f t="shared" si="2"/>
        <v>m3/m2</v>
      </c>
      <c r="N11" s="195">
        <v>0.2</v>
      </c>
    </row>
    <row r="12" spans="1:14" s="158" customFormat="1" x14ac:dyDescent="0.35">
      <c r="D12" s="168" t="s">
        <v>5</v>
      </c>
      <c r="E12" s="171"/>
      <c r="F12" s="172">
        <f>1.8/F5</f>
        <v>0.9</v>
      </c>
      <c r="G12" s="171"/>
      <c r="H12" s="172">
        <f>1.8/H5</f>
        <v>1.8</v>
      </c>
      <c r="I12" s="171">
        <f t="shared" si="0"/>
        <v>0</v>
      </c>
      <c r="J12" s="172">
        <f>1.8/J5</f>
        <v>1.8</v>
      </c>
      <c r="K12" s="171">
        <f t="shared" si="1"/>
        <v>0</v>
      </c>
      <c r="L12" s="172">
        <f>1.8/L5</f>
        <v>1.8</v>
      </c>
      <c r="M12" s="171">
        <f t="shared" si="2"/>
        <v>0</v>
      </c>
      <c r="N12" s="172">
        <f>1.8/N5</f>
        <v>1.8</v>
      </c>
    </row>
    <row r="13" spans="1:14" s="158" customFormat="1" x14ac:dyDescent="0.35">
      <c r="D13" s="167" t="s">
        <v>23</v>
      </c>
      <c r="E13" s="156" t="s">
        <v>24</v>
      </c>
      <c r="F13" s="157">
        <v>0.25</v>
      </c>
      <c r="G13" s="156" t="s">
        <v>24</v>
      </c>
      <c r="H13" s="157">
        <v>0.25</v>
      </c>
      <c r="I13" s="156" t="str">
        <f t="shared" si="0"/>
        <v>1/day</v>
      </c>
      <c r="J13" s="157">
        <v>0.25</v>
      </c>
      <c r="K13" s="156" t="str">
        <f t="shared" si="1"/>
        <v>1/day</v>
      </c>
      <c r="L13" s="157">
        <v>0.25</v>
      </c>
      <c r="M13" s="156" t="str">
        <f t="shared" si="2"/>
        <v>1/day</v>
      </c>
      <c r="N13" s="156">
        <v>0.25</v>
      </c>
    </row>
    <row r="14" spans="1:14" x14ac:dyDescent="0.35">
      <c r="D14" s="168" t="s">
        <v>25</v>
      </c>
      <c r="E14" s="171" t="s">
        <v>37</v>
      </c>
      <c r="F14" s="171">
        <f>+F11*F10*10000</f>
        <v>2000</v>
      </c>
      <c r="G14" s="171" t="s">
        <v>37</v>
      </c>
      <c r="H14" s="171">
        <f>+H11*H10*10000</f>
        <v>2000</v>
      </c>
      <c r="I14" s="171" t="str">
        <f t="shared" si="0"/>
        <v>m3</v>
      </c>
      <c r="J14" s="171">
        <f>+J11*J10*10000</f>
        <v>2000</v>
      </c>
      <c r="K14" s="171" t="str">
        <f t="shared" si="1"/>
        <v>m3</v>
      </c>
      <c r="L14" s="171">
        <f>+L11*L10*10000</f>
        <v>2000</v>
      </c>
      <c r="M14" s="171" t="str">
        <f t="shared" si="2"/>
        <v>m3</v>
      </c>
      <c r="N14" s="171">
        <f>+N11*N10*10000</f>
        <v>2000</v>
      </c>
    </row>
    <row r="15" spans="1:14" s="158" customFormat="1" x14ac:dyDescent="0.35">
      <c r="D15" s="168" t="s">
        <v>16</v>
      </c>
      <c r="E15" s="171" t="s">
        <v>17</v>
      </c>
      <c r="F15" s="171">
        <f>F4*F9*10000/1000000</f>
        <v>73</v>
      </c>
      <c r="G15" s="171" t="s">
        <v>17</v>
      </c>
      <c r="H15" s="171">
        <f>H4*H9*10000/1000000</f>
        <v>73</v>
      </c>
      <c r="I15" s="171" t="str">
        <f t="shared" si="0"/>
        <v>ton/ha/year</v>
      </c>
      <c r="J15" s="171">
        <f>J4*J9*10000/1000000</f>
        <v>73</v>
      </c>
      <c r="K15" s="171" t="str">
        <f t="shared" si="1"/>
        <v>ton/ha/year</v>
      </c>
      <c r="L15" s="171">
        <f>L4*L9*10000/1000000</f>
        <v>109.5</v>
      </c>
      <c r="M15" s="171" t="str">
        <f t="shared" si="2"/>
        <v>ton/ha/year</v>
      </c>
      <c r="N15" s="171">
        <f>N4*N9*10000/1000000</f>
        <v>109.5</v>
      </c>
    </row>
    <row r="16" spans="1:14" x14ac:dyDescent="0.35">
      <c r="D16" s="168" t="s">
        <v>18</v>
      </c>
      <c r="E16" s="171" t="s">
        <v>17</v>
      </c>
      <c r="F16" s="171">
        <f>F15*F5</f>
        <v>146</v>
      </c>
      <c r="G16" s="171" t="s">
        <v>17</v>
      </c>
      <c r="H16" s="171">
        <f>H15*H5</f>
        <v>73</v>
      </c>
      <c r="I16" s="171" t="str">
        <f t="shared" si="0"/>
        <v>ton/ha/year</v>
      </c>
      <c r="J16" s="171">
        <f>J15*J5</f>
        <v>73</v>
      </c>
      <c r="K16" s="171" t="str">
        <f t="shared" si="1"/>
        <v>ton/ha/year</v>
      </c>
      <c r="L16" s="171">
        <f>L15*L5</f>
        <v>109.5</v>
      </c>
      <c r="M16" s="171" t="str">
        <f t="shared" si="2"/>
        <v>ton/ha/year</v>
      </c>
      <c r="N16" s="171">
        <f>N15*N5</f>
        <v>109.5</v>
      </c>
    </row>
    <row r="17" spans="4:14" x14ac:dyDescent="0.35">
      <c r="D17" s="168" t="s">
        <v>19</v>
      </c>
      <c r="E17" s="171" t="s">
        <v>17</v>
      </c>
      <c r="F17" s="171">
        <f>F6*10000*F9/1000</f>
        <v>21900</v>
      </c>
      <c r="G17" s="171" t="s">
        <v>17</v>
      </c>
      <c r="H17" s="171">
        <f>H6*10000*H9/1000</f>
        <v>21900</v>
      </c>
      <c r="I17" s="171" t="str">
        <f t="shared" si="0"/>
        <v>ton/ha/year</v>
      </c>
      <c r="J17" s="171">
        <f>J6*10000*J9/1000</f>
        <v>21900</v>
      </c>
      <c r="K17" s="171" t="str">
        <f t="shared" si="1"/>
        <v>ton/ha/year</v>
      </c>
      <c r="L17" s="171">
        <f>L6*10000*L9/1000</f>
        <v>21900</v>
      </c>
      <c r="M17" s="171" t="str">
        <f t="shared" si="2"/>
        <v>ton/ha/year</v>
      </c>
      <c r="N17" s="171">
        <f>N6*10000*N9/1000</f>
        <v>21900</v>
      </c>
    </row>
    <row r="18" spans="4:14" x14ac:dyDescent="0.35">
      <c r="D18" s="166" t="s">
        <v>161</v>
      </c>
      <c r="E18" s="146" t="s">
        <v>87</v>
      </c>
      <c r="F18" s="202">
        <v>0</v>
      </c>
      <c r="G18" s="146" t="s">
        <v>87</v>
      </c>
      <c r="H18" s="202">
        <v>0</v>
      </c>
      <c r="I18" s="146" t="str">
        <f t="shared" si="0"/>
        <v>€/kg</v>
      </c>
      <c r="J18" s="202">
        <v>0</v>
      </c>
      <c r="K18" s="146" t="str">
        <f t="shared" si="1"/>
        <v>€/kg</v>
      </c>
      <c r="L18" s="202">
        <v>0</v>
      </c>
      <c r="M18" s="146" t="str">
        <f t="shared" si="2"/>
        <v>€/kg</v>
      </c>
      <c r="N18" s="203">
        <v>0</v>
      </c>
    </row>
    <row r="19" spans="4:14" x14ac:dyDescent="0.35">
      <c r="D19" s="166" t="s">
        <v>162</v>
      </c>
      <c r="E19" s="146" t="s">
        <v>87</v>
      </c>
      <c r="F19" s="144">
        <v>0.1</v>
      </c>
      <c r="G19" s="146" t="s">
        <v>87</v>
      </c>
      <c r="H19" s="144">
        <v>0.1</v>
      </c>
      <c r="I19" s="146" t="str">
        <f t="shared" si="0"/>
        <v>€/kg</v>
      </c>
      <c r="J19" s="144">
        <v>0.1</v>
      </c>
      <c r="K19" s="146" t="str">
        <f t="shared" si="1"/>
        <v>€/kg</v>
      </c>
      <c r="L19" s="144">
        <v>0.1</v>
      </c>
      <c r="M19" s="146" t="str">
        <f t="shared" si="2"/>
        <v>€/kg</v>
      </c>
      <c r="N19" s="146">
        <v>0.1</v>
      </c>
    </row>
    <row r="20" spans="4:14" s="142" customFormat="1" x14ac:dyDescent="0.35">
      <c r="D20" s="166" t="s">
        <v>163</v>
      </c>
      <c r="E20" s="146" t="s">
        <v>87</v>
      </c>
      <c r="F20" s="202">
        <v>1</v>
      </c>
      <c r="G20" s="146" t="s">
        <v>87</v>
      </c>
      <c r="H20" s="202">
        <v>0</v>
      </c>
      <c r="I20" s="146" t="str">
        <f t="shared" si="0"/>
        <v>€/kg</v>
      </c>
      <c r="J20" s="202">
        <v>0</v>
      </c>
      <c r="K20" s="146" t="str">
        <f t="shared" si="1"/>
        <v>€/kg</v>
      </c>
      <c r="L20" s="202">
        <v>0</v>
      </c>
      <c r="M20" s="146" t="str">
        <f t="shared" si="2"/>
        <v>€/kg</v>
      </c>
      <c r="N20" s="203">
        <v>0</v>
      </c>
    </row>
    <row r="21" spans="4:14" s="142" customFormat="1" x14ac:dyDescent="0.35">
      <c r="D21" s="167" t="s">
        <v>164</v>
      </c>
      <c r="E21" s="156" t="s">
        <v>15</v>
      </c>
      <c r="F21" s="157">
        <v>0.3</v>
      </c>
      <c r="G21" s="156" t="s">
        <v>15</v>
      </c>
      <c r="H21" s="157">
        <v>0.3</v>
      </c>
      <c r="I21" s="156" t="str">
        <f t="shared" si="0"/>
        <v>kg/kg algae biomass</v>
      </c>
      <c r="J21" s="157">
        <v>0.3</v>
      </c>
      <c r="K21" s="156" t="str">
        <f t="shared" si="1"/>
        <v>kg/kg algae biomass</v>
      </c>
      <c r="L21" s="157">
        <v>0.3</v>
      </c>
      <c r="M21" s="156" t="str">
        <f t="shared" si="2"/>
        <v>kg/kg algae biomass</v>
      </c>
      <c r="N21" s="156">
        <v>0.3</v>
      </c>
    </row>
    <row r="22" spans="4:14" s="142" customFormat="1" x14ac:dyDescent="0.35">
      <c r="D22" s="167" t="s">
        <v>165</v>
      </c>
      <c r="E22" s="156" t="s">
        <v>149</v>
      </c>
      <c r="F22" s="157">
        <v>0.1</v>
      </c>
      <c r="G22" s="156" t="s">
        <v>149</v>
      </c>
      <c r="H22" s="157">
        <v>0.1</v>
      </c>
      <c r="I22" s="156" t="str">
        <f t="shared" si="0"/>
        <v>€/kWh</v>
      </c>
      <c r="J22" s="157">
        <v>0.1</v>
      </c>
      <c r="K22" s="156" t="str">
        <f t="shared" si="1"/>
        <v>€/kWh</v>
      </c>
      <c r="L22" s="157">
        <v>0.1</v>
      </c>
      <c r="M22" s="156" t="str">
        <f t="shared" si="2"/>
        <v>€/kWh</v>
      </c>
      <c r="N22" s="156">
        <v>0.1</v>
      </c>
    </row>
    <row r="23" spans="4:14" s="158" customFormat="1" x14ac:dyDescent="0.35">
      <c r="D23" s="167" t="s">
        <v>166</v>
      </c>
      <c r="E23" s="156" t="s">
        <v>167</v>
      </c>
      <c r="F23" s="157">
        <v>0.1</v>
      </c>
      <c r="G23" s="156" t="s">
        <v>167</v>
      </c>
      <c r="H23" s="157">
        <v>0.1</v>
      </c>
      <c r="I23" s="156" t="str">
        <f t="shared" si="0"/>
        <v>kWh/m3 harvest</v>
      </c>
      <c r="J23" s="157">
        <v>0.1</v>
      </c>
      <c r="K23" s="156" t="str">
        <f t="shared" si="1"/>
        <v>kWh/m3 harvest</v>
      </c>
      <c r="L23" s="157">
        <v>0.1</v>
      </c>
      <c r="M23" s="156" t="str">
        <f t="shared" si="2"/>
        <v>kWh/m3 harvest</v>
      </c>
      <c r="N23" s="156">
        <v>0.1</v>
      </c>
    </row>
    <row r="24" spans="4:14" s="158" customFormat="1" x14ac:dyDescent="0.35">
      <c r="D24" s="167" t="s">
        <v>83</v>
      </c>
      <c r="E24" s="156" t="s">
        <v>91</v>
      </c>
      <c r="F24" s="157">
        <v>20</v>
      </c>
      <c r="G24" s="156" t="s">
        <v>91</v>
      </c>
      <c r="H24" s="157">
        <v>20</v>
      </c>
      <c r="I24" s="156" t="str">
        <f t="shared" si="0"/>
        <v>€/m3</v>
      </c>
      <c r="J24" s="157">
        <v>20</v>
      </c>
      <c r="K24" s="156" t="str">
        <f t="shared" si="1"/>
        <v>€/m3</v>
      </c>
      <c r="L24" s="157">
        <v>20</v>
      </c>
      <c r="M24" s="156" t="str">
        <f t="shared" si="2"/>
        <v>€/m3</v>
      </c>
      <c r="N24" s="156">
        <v>10</v>
      </c>
    </row>
    <row r="25" spans="4:14" s="158" customFormat="1" x14ac:dyDescent="0.35">
      <c r="D25" s="168"/>
      <c r="E25" s="171"/>
      <c r="F25" s="145"/>
      <c r="G25" s="171"/>
      <c r="H25" s="145"/>
      <c r="I25" s="171"/>
      <c r="J25" s="145"/>
      <c r="K25" s="171"/>
      <c r="L25" s="145"/>
      <c r="M25" s="171"/>
      <c r="N25" s="171"/>
    </row>
    <row r="26" spans="4:14" s="158" customFormat="1" x14ac:dyDescent="0.35">
      <c r="D26" s="165" t="s">
        <v>35</v>
      </c>
      <c r="E26" s="5"/>
      <c r="F26" s="3"/>
      <c r="G26" s="5"/>
      <c r="H26" s="3"/>
      <c r="I26" s="5"/>
      <c r="J26" s="3"/>
      <c r="K26" s="5"/>
      <c r="L26" s="3"/>
      <c r="M26" s="5"/>
      <c r="N26" s="5"/>
    </row>
    <row r="27" spans="4:14" x14ac:dyDescent="0.35">
      <c r="D27" s="2" t="s">
        <v>26</v>
      </c>
      <c r="E27" s="171" t="s">
        <v>36</v>
      </c>
      <c r="F27" s="152">
        <f>+Fertilizer!C29</f>
        <v>50</v>
      </c>
      <c r="G27" s="171" t="s">
        <v>36</v>
      </c>
      <c r="H27" s="152">
        <f>+Manure!C29</f>
        <v>50</v>
      </c>
      <c r="I27" s="171" t="str">
        <f>+E27</f>
        <v>m3/h</v>
      </c>
      <c r="J27" s="152">
        <f>+Manpower!C29</f>
        <v>50</v>
      </c>
      <c r="K27" s="171" t="str">
        <f>+I27</f>
        <v>m3/h</v>
      </c>
      <c r="L27" s="152">
        <f>+Productivity!C29</f>
        <v>50</v>
      </c>
      <c r="M27" s="171" t="str">
        <f>+K27</f>
        <v>m3/h</v>
      </c>
      <c r="N27" s="152">
        <f>+Reactor!C29</f>
        <v>50</v>
      </c>
    </row>
    <row r="28" spans="4:14" x14ac:dyDescent="0.35">
      <c r="D28" s="2" t="s">
        <v>27</v>
      </c>
      <c r="E28" s="171" t="s">
        <v>36</v>
      </c>
      <c r="F28" s="152">
        <f>+Fertilizer!C30</f>
        <v>0</v>
      </c>
      <c r="G28" s="171" t="s">
        <v>36</v>
      </c>
      <c r="H28" s="152">
        <f>+Manure!C30</f>
        <v>0</v>
      </c>
      <c r="I28" s="171" t="str">
        <f t="shared" ref="I28:I91" si="3">+E28</f>
        <v>m3/h</v>
      </c>
      <c r="J28" s="152">
        <f>+Manpower!C30</f>
        <v>0</v>
      </c>
      <c r="K28" s="171" t="str">
        <f t="shared" ref="K28:K36" si="4">+I28</f>
        <v>m3/h</v>
      </c>
      <c r="L28" s="152">
        <f>+Productivity!C30</f>
        <v>0</v>
      </c>
      <c r="M28" s="171" t="str">
        <f t="shared" ref="M28:M36" si="5">+K28</f>
        <v>m3/h</v>
      </c>
      <c r="N28" s="152">
        <f>+Reactor!C30</f>
        <v>0</v>
      </c>
    </row>
    <row r="29" spans="4:14" x14ac:dyDescent="0.35">
      <c r="D29" s="2" t="s">
        <v>28</v>
      </c>
      <c r="E29" s="171" t="s">
        <v>36</v>
      </c>
      <c r="F29" s="152">
        <f>+Fertilizer!C31</f>
        <v>1200</v>
      </c>
      <c r="G29" s="171" t="s">
        <v>36</v>
      </c>
      <c r="H29" s="152">
        <f>+Manure!C31</f>
        <v>1200</v>
      </c>
      <c r="I29" s="171" t="str">
        <f t="shared" si="3"/>
        <v>m3/h</v>
      </c>
      <c r="J29" s="152">
        <f>+Manpower!C31</f>
        <v>1200</v>
      </c>
      <c r="K29" s="171" t="str">
        <f t="shared" si="4"/>
        <v>m3/h</v>
      </c>
      <c r="L29" s="152">
        <f>+Productivity!C31</f>
        <v>1200</v>
      </c>
      <c r="M29" s="171" t="str">
        <f t="shared" si="5"/>
        <v>m3/h</v>
      </c>
      <c r="N29" s="152">
        <f>+Reactor!C31</f>
        <v>1200</v>
      </c>
    </row>
    <row r="30" spans="4:14" x14ac:dyDescent="0.35">
      <c r="D30" s="2" t="s">
        <v>29</v>
      </c>
      <c r="E30" s="171" t="s">
        <v>37</v>
      </c>
      <c r="F30" s="152">
        <f>+Fertilizer!C32</f>
        <v>2000</v>
      </c>
      <c r="G30" s="171" t="s">
        <v>37</v>
      </c>
      <c r="H30" s="152">
        <f>+Manure!C32</f>
        <v>2000</v>
      </c>
      <c r="I30" s="171" t="str">
        <f t="shared" si="3"/>
        <v>m3</v>
      </c>
      <c r="J30" s="152">
        <f>+Manpower!C32</f>
        <v>2000</v>
      </c>
      <c r="K30" s="171" t="str">
        <f t="shared" si="4"/>
        <v>m3</v>
      </c>
      <c r="L30" s="152">
        <f>+Productivity!C32</f>
        <v>2000</v>
      </c>
      <c r="M30" s="171" t="str">
        <f t="shared" si="5"/>
        <v>m3</v>
      </c>
      <c r="N30" s="152">
        <f>+Reactor!C32</f>
        <v>2000</v>
      </c>
    </row>
    <row r="31" spans="4:14" x14ac:dyDescent="0.35">
      <c r="D31" s="2" t="s">
        <v>30</v>
      </c>
      <c r="E31" s="171" t="s">
        <v>36</v>
      </c>
      <c r="F31" s="152">
        <f>+Fertilizer!C33</f>
        <v>50</v>
      </c>
      <c r="G31" s="171" t="s">
        <v>36</v>
      </c>
      <c r="H31" s="152">
        <f>+Manure!C33</f>
        <v>50</v>
      </c>
      <c r="I31" s="171" t="str">
        <f t="shared" si="3"/>
        <v>m3/h</v>
      </c>
      <c r="J31" s="152">
        <f>+Manpower!C33</f>
        <v>50</v>
      </c>
      <c r="K31" s="171" t="str">
        <f t="shared" si="4"/>
        <v>m3/h</v>
      </c>
      <c r="L31" s="152">
        <f>+Productivity!C33</f>
        <v>50</v>
      </c>
      <c r="M31" s="171" t="str">
        <f t="shared" si="5"/>
        <v>m3/h</v>
      </c>
      <c r="N31" s="152">
        <f>+Reactor!C33</f>
        <v>50</v>
      </c>
    </row>
    <row r="32" spans="4:14" x14ac:dyDescent="0.35">
      <c r="D32" s="2" t="s">
        <v>31</v>
      </c>
      <c r="E32" s="171" t="s">
        <v>37</v>
      </c>
      <c r="F32" s="152">
        <f>+Fertilizer!C34</f>
        <v>2.5</v>
      </c>
      <c r="G32" s="171" t="s">
        <v>37</v>
      </c>
      <c r="H32" s="152">
        <f>+Manure!C34</f>
        <v>2.5</v>
      </c>
      <c r="I32" s="171" t="str">
        <f t="shared" si="3"/>
        <v>m3</v>
      </c>
      <c r="J32" s="152">
        <f>+Manpower!C34</f>
        <v>2.5</v>
      </c>
      <c r="K32" s="171" t="str">
        <f t="shared" si="4"/>
        <v>m3</v>
      </c>
      <c r="L32" s="152">
        <f>+Productivity!C34</f>
        <v>2.5</v>
      </c>
      <c r="M32" s="171" t="str">
        <f t="shared" si="5"/>
        <v>m3</v>
      </c>
      <c r="N32" s="152">
        <f>+Reactor!C34</f>
        <v>2.5</v>
      </c>
    </row>
    <row r="33" spans="1:922" x14ac:dyDescent="0.35">
      <c r="D33" s="2" t="s">
        <v>32</v>
      </c>
      <c r="E33" s="171" t="s">
        <v>36</v>
      </c>
      <c r="F33" s="152">
        <f>+Fertilizer!C35</f>
        <v>2.5</v>
      </c>
      <c r="G33" s="171" t="s">
        <v>36</v>
      </c>
      <c r="H33" s="152">
        <f>+Manure!C35</f>
        <v>2.5</v>
      </c>
      <c r="I33" s="171" t="str">
        <f t="shared" si="3"/>
        <v>m3/h</v>
      </c>
      <c r="J33" s="152">
        <f>+Manpower!C35</f>
        <v>2.5</v>
      </c>
      <c r="K33" s="171" t="str">
        <f t="shared" si="4"/>
        <v>m3/h</v>
      </c>
      <c r="L33" s="152">
        <f>+Productivity!C35</f>
        <v>2.5</v>
      </c>
      <c r="M33" s="171" t="str">
        <f t="shared" si="5"/>
        <v>m3/h</v>
      </c>
      <c r="N33" s="152">
        <f>+Reactor!C35</f>
        <v>2.5</v>
      </c>
    </row>
    <row r="34" spans="1:922" x14ac:dyDescent="0.35">
      <c r="D34" s="2" t="s">
        <v>33</v>
      </c>
      <c r="E34" s="171" t="s">
        <v>36</v>
      </c>
      <c r="F34" s="152">
        <f>+Fertilizer!C36</f>
        <v>2.5</v>
      </c>
      <c r="G34" s="171" t="s">
        <v>36</v>
      </c>
      <c r="H34" s="152">
        <f>+Manure!C36</f>
        <v>2.5</v>
      </c>
      <c r="I34" s="171" t="str">
        <f t="shared" si="3"/>
        <v>m3/h</v>
      </c>
      <c r="J34" s="152">
        <f>+Manpower!C36</f>
        <v>2.5</v>
      </c>
      <c r="K34" s="171" t="str">
        <f t="shared" si="4"/>
        <v>m3/h</v>
      </c>
      <c r="L34" s="152">
        <f>+Productivity!C36</f>
        <v>2.5</v>
      </c>
      <c r="M34" s="171" t="str">
        <f t="shared" si="5"/>
        <v>m3/h</v>
      </c>
      <c r="N34" s="152">
        <f>+Reactor!C36</f>
        <v>2.5</v>
      </c>
    </row>
    <row r="35" spans="1:922" x14ac:dyDescent="0.35">
      <c r="D35" s="2" t="s">
        <v>34</v>
      </c>
      <c r="E35" s="171" t="s">
        <v>38</v>
      </c>
      <c r="F35" s="152">
        <f>+Fertilizer!C37</f>
        <v>40</v>
      </c>
      <c r="G35" s="171" t="s">
        <v>38</v>
      </c>
      <c r="H35" s="152">
        <f>+Manure!C37</f>
        <v>20</v>
      </c>
      <c r="I35" s="171" t="str">
        <f t="shared" si="3"/>
        <v>Kg/h</v>
      </c>
      <c r="J35" s="152">
        <f>+Manpower!C37</f>
        <v>20</v>
      </c>
      <c r="K35" s="171" t="str">
        <f t="shared" si="4"/>
        <v>Kg/h</v>
      </c>
      <c r="L35" s="152">
        <f>+Productivity!C37</f>
        <v>30</v>
      </c>
      <c r="M35" s="171" t="str">
        <f t="shared" si="5"/>
        <v>Kg/h</v>
      </c>
      <c r="N35" s="152">
        <f>+Reactor!C37</f>
        <v>30</v>
      </c>
    </row>
    <row r="36" spans="1:922" x14ac:dyDescent="0.35">
      <c r="D36" s="2"/>
      <c r="E36" s="171"/>
      <c r="F36" s="173">
        <f>+Fertilizer!C38</f>
        <v>0</v>
      </c>
      <c r="G36" s="171"/>
      <c r="H36" s="173">
        <f>+Manure!C38</f>
        <v>0</v>
      </c>
      <c r="I36" s="171">
        <f t="shared" si="3"/>
        <v>0</v>
      </c>
      <c r="J36" s="173">
        <f>+Manpower!C38</f>
        <v>0</v>
      </c>
      <c r="K36" s="171">
        <f t="shared" si="4"/>
        <v>0</v>
      </c>
      <c r="L36" s="173">
        <f>+Productivity!C38</f>
        <v>0</v>
      </c>
      <c r="M36" s="171">
        <f t="shared" si="5"/>
        <v>0</v>
      </c>
      <c r="N36" s="173">
        <f>+Reactor!C38</f>
        <v>0</v>
      </c>
    </row>
    <row r="37" spans="1:922" x14ac:dyDescent="0.35">
      <c r="D37" s="165" t="s">
        <v>39</v>
      </c>
      <c r="E37" s="5"/>
      <c r="F37" s="153">
        <f>+Fertilizer!C39</f>
        <v>0</v>
      </c>
      <c r="G37" s="5"/>
      <c r="H37" s="153">
        <f>+Manure!C39</f>
        <v>0</v>
      </c>
      <c r="I37" s="5"/>
      <c r="J37" s="153">
        <f>+Manpower!C39</f>
        <v>0</v>
      </c>
      <c r="K37" s="5"/>
      <c r="L37" s="153">
        <f>+Productivity!C39</f>
        <v>0</v>
      </c>
      <c r="M37" s="5"/>
      <c r="N37" s="153">
        <f>+Reactor!C39</f>
        <v>0</v>
      </c>
    </row>
    <row r="38" spans="1:922" x14ac:dyDescent="0.35">
      <c r="D38" s="2" t="s">
        <v>26</v>
      </c>
      <c r="E38" s="171" t="s">
        <v>40</v>
      </c>
      <c r="F38" s="152">
        <f>+Fertilizer!C40</f>
        <v>10000</v>
      </c>
      <c r="G38" s="171" t="s">
        <v>40</v>
      </c>
      <c r="H38" s="152">
        <f>+Manure!C40</f>
        <v>10000</v>
      </c>
      <c r="I38" s="171" t="str">
        <f t="shared" si="3"/>
        <v>€</v>
      </c>
      <c r="J38" s="152">
        <f>+Manpower!C40</f>
        <v>10000</v>
      </c>
      <c r="K38" s="171" t="str">
        <f t="shared" ref="K38:K46" si="6">+I38</f>
        <v>€</v>
      </c>
      <c r="L38" s="152">
        <f>+Productivity!C40</f>
        <v>10000</v>
      </c>
      <c r="M38" s="171" t="str">
        <f t="shared" ref="M38:M46" si="7">+K38</f>
        <v>€</v>
      </c>
      <c r="N38" s="152">
        <f>+Reactor!C40</f>
        <v>10000</v>
      </c>
    </row>
    <row r="39" spans="1:922" s="174" customFormat="1" x14ac:dyDescent="0.35">
      <c r="A39"/>
      <c r="B39"/>
      <c r="C39"/>
      <c r="D39" s="2" t="s">
        <v>27</v>
      </c>
      <c r="E39" s="171" t="s">
        <v>40</v>
      </c>
      <c r="F39" s="152">
        <f>+Fertilizer!C41</f>
        <v>0</v>
      </c>
      <c r="G39" s="171" t="s">
        <v>40</v>
      </c>
      <c r="H39" s="152">
        <f>+Manure!C41</f>
        <v>0</v>
      </c>
      <c r="I39" s="171" t="str">
        <f t="shared" si="3"/>
        <v>€</v>
      </c>
      <c r="J39" s="152">
        <f>+Manpower!C41</f>
        <v>0</v>
      </c>
      <c r="K39" s="171" t="str">
        <f t="shared" si="6"/>
        <v>€</v>
      </c>
      <c r="L39" s="152">
        <f>+Productivity!C41</f>
        <v>0</v>
      </c>
      <c r="M39" s="171" t="str">
        <f t="shared" si="7"/>
        <v>€</v>
      </c>
      <c r="N39" s="152">
        <f>+Reactor!C41</f>
        <v>0</v>
      </c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  <c r="FM39"/>
      <c r="FN39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  <c r="GL39"/>
      <c r="GM39"/>
      <c r="GN39"/>
      <c r="GO39"/>
      <c r="GP39"/>
      <c r="GQ39"/>
      <c r="GR39"/>
      <c r="GS39"/>
      <c r="GT39"/>
      <c r="GU39"/>
      <c r="GV39"/>
      <c r="GW39"/>
      <c r="GX39"/>
      <c r="GY39"/>
      <c r="GZ39"/>
      <c r="HA39"/>
      <c r="HB39"/>
      <c r="HC39"/>
      <c r="HD39"/>
      <c r="HE39"/>
      <c r="HF39"/>
      <c r="HG39"/>
      <c r="HH39"/>
      <c r="HI39"/>
      <c r="HJ39"/>
      <c r="HK39"/>
      <c r="HL39"/>
      <c r="HM39"/>
      <c r="HN39"/>
      <c r="HO39"/>
      <c r="HP39"/>
      <c r="HQ39"/>
      <c r="HR39"/>
      <c r="HS39"/>
      <c r="HT39"/>
      <c r="HU39"/>
      <c r="HV39"/>
      <c r="HW39"/>
      <c r="HX39"/>
      <c r="HY39"/>
      <c r="HZ39"/>
      <c r="IA39"/>
      <c r="IB39"/>
      <c r="IC39"/>
      <c r="ID39"/>
      <c r="IE39"/>
      <c r="IF39"/>
      <c r="IG39"/>
      <c r="IH39"/>
      <c r="II39"/>
      <c r="IJ39"/>
      <c r="IK39"/>
      <c r="IL39"/>
      <c r="IM39"/>
      <c r="IN39"/>
      <c r="IO39"/>
      <c r="IP39"/>
      <c r="IQ39"/>
      <c r="IR39"/>
      <c r="IS39"/>
      <c r="IT39"/>
      <c r="IU39"/>
      <c r="IV39"/>
      <c r="IW39"/>
      <c r="IX39"/>
      <c r="IY39"/>
      <c r="IZ39"/>
      <c r="JA39"/>
      <c r="JB39"/>
      <c r="JC39"/>
      <c r="JD39"/>
      <c r="JE39"/>
      <c r="JF39"/>
      <c r="JG39"/>
      <c r="JH39"/>
      <c r="JI39"/>
      <c r="JJ39"/>
      <c r="JK39"/>
      <c r="JL39"/>
      <c r="JM39"/>
      <c r="JN39"/>
      <c r="JO39"/>
      <c r="JP39"/>
      <c r="JQ39"/>
      <c r="JR39"/>
      <c r="JS39"/>
      <c r="JT39"/>
      <c r="JU39"/>
      <c r="JV39"/>
      <c r="JW39"/>
      <c r="JX39"/>
      <c r="JY39"/>
      <c r="JZ39"/>
      <c r="KA39"/>
      <c r="KB39"/>
      <c r="KC39"/>
      <c r="KD39"/>
      <c r="KE39"/>
      <c r="KF39"/>
      <c r="KG39"/>
      <c r="KH39"/>
      <c r="KI39"/>
      <c r="KJ39"/>
      <c r="KK39"/>
      <c r="KL39"/>
      <c r="KM39"/>
      <c r="KN39"/>
      <c r="KO39"/>
      <c r="KP39"/>
      <c r="KQ39"/>
      <c r="KR39"/>
      <c r="KS39"/>
      <c r="KT39"/>
      <c r="KU39"/>
      <c r="KV39"/>
      <c r="KW39"/>
      <c r="KX39"/>
      <c r="KY39"/>
      <c r="KZ39"/>
      <c r="LA39"/>
      <c r="LB39"/>
      <c r="LC39"/>
      <c r="LD39"/>
      <c r="LE39"/>
      <c r="LF39"/>
      <c r="LG39"/>
      <c r="LH39"/>
      <c r="LI39"/>
      <c r="LJ39"/>
      <c r="LK39"/>
      <c r="LL39"/>
      <c r="LM39"/>
      <c r="LN39"/>
      <c r="LO39"/>
      <c r="LP39"/>
      <c r="LQ39"/>
      <c r="LR39"/>
      <c r="LS39"/>
      <c r="LT39"/>
      <c r="LU39"/>
      <c r="LV39"/>
      <c r="LW39"/>
      <c r="LX39"/>
      <c r="LY39"/>
      <c r="LZ39"/>
      <c r="MA39"/>
      <c r="MB39"/>
      <c r="MC39"/>
      <c r="MD39"/>
      <c r="ME39"/>
      <c r="MF39"/>
      <c r="MG39"/>
      <c r="MH39"/>
      <c r="MI39"/>
      <c r="MJ39"/>
      <c r="MK39"/>
      <c r="ML39"/>
      <c r="MM39"/>
      <c r="MN39"/>
      <c r="MO39"/>
      <c r="MP39"/>
      <c r="MQ39"/>
      <c r="MR39"/>
      <c r="MS39"/>
      <c r="MT39"/>
      <c r="MU39"/>
      <c r="MV39"/>
      <c r="MW39"/>
      <c r="MX39"/>
      <c r="MY39"/>
      <c r="MZ39"/>
      <c r="NA39"/>
      <c r="NB39"/>
      <c r="NC39"/>
      <c r="ND39"/>
      <c r="NE39"/>
      <c r="NF39"/>
      <c r="NG39"/>
      <c r="NH39"/>
      <c r="NI39"/>
      <c r="NJ39"/>
      <c r="NK39"/>
      <c r="NL39"/>
      <c r="NM39"/>
      <c r="NN39"/>
      <c r="NO39"/>
      <c r="NP39"/>
      <c r="NQ39"/>
      <c r="NR39"/>
      <c r="NS39"/>
      <c r="NT39"/>
      <c r="NU39"/>
      <c r="NV39"/>
      <c r="NW39"/>
      <c r="NX39"/>
      <c r="NY39"/>
      <c r="NZ39"/>
      <c r="OA39"/>
      <c r="OB39"/>
      <c r="OC39"/>
      <c r="OD39"/>
      <c r="OE39"/>
      <c r="OF39"/>
      <c r="OG39"/>
      <c r="OH39"/>
      <c r="OI39"/>
      <c r="OJ39"/>
      <c r="OK39"/>
      <c r="OL39"/>
      <c r="OM39"/>
      <c r="ON39"/>
      <c r="OO39"/>
      <c r="OP39"/>
      <c r="OQ39"/>
      <c r="OR39"/>
      <c r="OS39"/>
      <c r="OT39"/>
      <c r="OU39"/>
      <c r="OV39"/>
      <c r="OW39"/>
      <c r="OX39"/>
      <c r="OY39"/>
      <c r="OZ39"/>
      <c r="PA39"/>
      <c r="PB39"/>
      <c r="PC39"/>
      <c r="PD39"/>
      <c r="PE39"/>
      <c r="PF39"/>
      <c r="PG39"/>
      <c r="PH39"/>
      <c r="PI39"/>
      <c r="PJ39"/>
      <c r="PK39"/>
      <c r="PL39"/>
      <c r="PM39"/>
      <c r="PN39"/>
      <c r="PO39"/>
      <c r="PP39"/>
      <c r="PQ39"/>
      <c r="PR39"/>
      <c r="PS39"/>
      <c r="PT39"/>
      <c r="PU39"/>
      <c r="PV39"/>
      <c r="PW39"/>
      <c r="PX39"/>
      <c r="PY39"/>
      <c r="PZ39"/>
      <c r="QA39"/>
      <c r="QB39"/>
      <c r="QC39"/>
      <c r="QD39"/>
      <c r="QE39"/>
      <c r="QF39"/>
      <c r="QG39"/>
      <c r="QH39"/>
      <c r="QI39"/>
      <c r="QJ39"/>
      <c r="QK39"/>
      <c r="QL39"/>
      <c r="QM39"/>
      <c r="QN39"/>
      <c r="QO39"/>
      <c r="QP39"/>
      <c r="QQ39"/>
      <c r="QR39"/>
      <c r="QS39"/>
      <c r="QT39"/>
      <c r="QU39"/>
      <c r="QV39"/>
      <c r="QW39"/>
      <c r="QX39"/>
      <c r="QY39"/>
      <c r="QZ39"/>
      <c r="RA39"/>
      <c r="RB39"/>
      <c r="RC39"/>
      <c r="RD39"/>
      <c r="RE39"/>
      <c r="RF39"/>
      <c r="RG39"/>
      <c r="RH39"/>
      <c r="RI39"/>
      <c r="RJ39"/>
      <c r="RK39"/>
      <c r="RL39"/>
      <c r="RM39"/>
      <c r="RN39"/>
      <c r="RO39"/>
      <c r="RP39"/>
      <c r="RQ39"/>
      <c r="RR39"/>
      <c r="RS39"/>
      <c r="RT39"/>
      <c r="RU39"/>
      <c r="RV39"/>
      <c r="RW39"/>
      <c r="RX39"/>
      <c r="RY39"/>
      <c r="RZ39"/>
      <c r="SA39"/>
      <c r="SB39"/>
      <c r="SC39"/>
      <c r="SD39"/>
      <c r="SE39"/>
      <c r="SF39"/>
      <c r="SG39"/>
      <c r="SH39"/>
      <c r="SI39"/>
      <c r="SJ39"/>
      <c r="SK39"/>
      <c r="SL39"/>
      <c r="SM39"/>
      <c r="SN39"/>
      <c r="SO39"/>
      <c r="SP39"/>
      <c r="SQ39"/>
      <c r="SR39"/>
      <c r="SS39"/>
      <c r="ST39"/>
      <c r="SU39"/>
      <c r="SV39"/>
      <c r="SW39"/>
      <c r="SX39"/>
      <c r="SY39"/>
      <c r="SZ39"/>
      <c r="TA39"/>
      <c r="TB39"/>
      <c r="TC39"/>
      <c r="TD39"/>
      <c r="TE39"/>
      <c r="TF39"/>
      <c r="TG39"/>
      <c r="TH39"/>
      <c r="TI39"/>
      <c r="TJ39"/>
      <c r="TK39"/>
      <c r="TL39"/>
      <c r="TM39"/>
      <c r="TN39"/>
      <c r="TO39"/>
      <c r="TP39"/>
      <c r="TQ39"/>
      <c r="TR39"/>
      <c r="TS39"/>
      <c r="TT39"/>
      <c r="TU39"/>
      <c r="TV39"/>
      <c r="TW39"/>
      <c r="TX39"/>
      <c r="TY39"/>
      <c r="TZ39"/>
      <c r="UA39"/>
      <c r="UB39"/>
      <c r="UC39"/>
      <c r="UD39"/>
      <c r="UE39"/>
      <c r="UF39"/>
      <c r="UG39"/>
      <c r="UH39"/>
      <c r="UI39"/>
      <c r="UJ39"/>
      <c r="UK39"/>
      <c r="UL39"/>
      <c r="UM39"/>
      <c r="UN39"/>
      <c r="UO39"/>
      <c r="UP39"/>
      <c r="UQ39"/>
      <c r="UR39"/>
      <c r="US39"/>
      <c r="UT39"/>
      <c r="UU39"/>
      <c r="UV39"/>
      <c r="UW39"/>
      <c r="UX39"/>
      <c r="UY39"/>
      <c r="UZ39"/>
      <c r="VA39"/>
      <c r="VB39"/>
      <c r="VC39"/>
      <c r="VD39"/>
      <c r="VE39"/>
      <c r="VF39"/>
      <c r="VG39"/>
      <c r="VH39"/>
      <c r="VI39"/>
      <c r="VJ39"/>
      <c r="VK39"/>
      <c r="VL39"/>
      <c r="VM39"/>
      <c r="VN39"/>
      <c r="VO39"/>
      <c r="VP39"/>
      <c r="VQ39"/>
      <c r="VR39"/>
      <c r="VS39"/>
      <c r="VT39"/>
      <c r="VU39"/>
      <c r="VV39"/>
      <c r="VW39"/>
      <c r="VX39"/>
      <c r="VY39"/>
      <c r="VZ39"/>
      <c r="WA39"/>
      <c r="WB39"/>
      <c r="WC39"/>
      <c r="WD39"/>
      <c r="WE39"/>
      <c r="WF39"/>
      <c r="WG39"/>
      <c r="WH39"/>
      <c r="WI39"/>
      <c r="WJ39"/>
      <c r="WK39"/>
      <c r="WL39"/>
      <c r="WM39"/>
      <c r="WN39"/>
      <c r="WO39"/>
      <c r="WP39"/>
      <c r="WQ39"/>
      <c r="WR39"/>
      <c r="WS39"/>
      <c r="WT39"/>
      <c r="WU39"/>
      <c r="WV39"/>
      <c r="WW39"/>
      <c r="WX39"/>
      <c r="WY39"/>
      <c r="WZ39"/>
      <c r="XA39"/>
      <c r="XB39"/>
      <c r="XC39"/>
      <c r="XD39"/>
      <c r="XE39"/>
      <c r="XF39"/>
      <c r="XG39"/>
      <c r="XH39"/>
      <c r="XI39"/>
      <c r="XJ39"/>
      <c r="XK39"/>
      <c r="XL39"/>
      <c r="XM39"/>
      <c r="XN39"/>
      <c r="XO39"/>
      <c r="XP39"/>
      <c r="XQ39"/>
      <c r="XR39"/>
      <c r="XS39"/>
      <c r="XT39"/>
      <c r="XU39"/>
      <c r="XV39"/>
      <c r="XW39"/>
      <c r="XX39"/>
      <c r="XY39"/>
      <c r="XZ39"/>
      <c r="YA39"/>
      <c r="YB39"/>
      <c r="YC39"/>
      <c r="YD39"/>
      <c r="YE39"/>
      <c r="YF39"/>
      <c r="YG39"/>
      <c r="YH39"/>
      <c r="YI39"/>
      <c r="YJ39"/>
      <c r="YK39"/>
      <c r="YL39"/>
      <c r="YM39"/>
      <c r="YN39"/>
      <c r="YO39"/>
      <c r="YP39"/>
      <c r="YQ39"/>
      <c r="YR39"/>
      <c r="YS39"/>
      <c r="YT39"/>
      <c r="YU39"/>
      <c r="YV39"/>
      <c r="YW39"/>
      <c r="YX39"/>
      <c r="YY39"/>
      <c r="YZ39"/>
      <c r="ZA39"/>
      <c r="ZB39"/>
      <c r="ZC39"/>
      <c r="ZD39"/>
      <c r="ZE39"/>
      <c r="ZF39"/>
      <c r="ZG39"/>
      <c r="ZH39"/>
      <c r="ZI39"/>
      <c r="ZJ39"/>
      <c r="ZK39"/>
      <c r="ZL39"/>
      <c r="ZM39"/>
      <c r="ZN39"/>
      <c r="ZO39"/>
      <c r="ZP39"/>
      <c r="ZQ39"/>
      <c r="ZR39"/>
      <c r="ZS39"/>
      <c r="ZT39"/>
      <c r="ZU39"/>
      <c r="ZV39"/>
      <c r="ZW39"/>
      <c r="ZX39"/>
      <c r="ZY39"/>
      <c r="ZZ39"/>
      <c r="AAA39"/>
      <c r="AAB39"/>
      <c r="AAC39"/>
      <c r="AAD39"/>
      <c r="AAE39"/>
      <c r="AAF39"/>
      <c r="AAG39"/>
      <c r="AAH39"/>
      <c r="AAI39"/>
      <c r="AAJ39"/>
      <c r="AAK39"/>
      <c r="AAL39"/>
      <c r="AAM39"/>
      <c r="AAN39"/>
      <c r="AAO39"/>
      <c r="AAP39"/>
      <c r="AAQ39"/>
      <c r="AAR39"/>
      <c r="AAS39"/>
      <c r="AAT39"/>
      <c r="AAU39"/>
      <c r="AAV39"/>
      <c r="AAW39"/>
      <c r="AAX39"/>
      <c r="AAY39"/>
      <c r="AAZ39"/>
      <c r="ABA39"/>
      <c r="ABB39"/>
      <c r="ABC39"/>
      <c r="ABD39"/>
      <c r="ABE39"/>
      <c r="ABF39"/>
      <c r="ABG39"/>
      <c r="ABH39"/>
      <c r="ABI39"/>
      <c r="ABJ39"/>
      <c r="ABK39"/>
      <c r="ABL39"/>
      <c r="ABM39"/>
      <c r="ABN39"/>
      <c r="ABO39"/>
      <c r="ABP39"/>
      <c r="ABQ39"/>
      <c r="ABR39"/>
      <c r="ABS39"/>
      <c r="ABT39"/>
      <c r="ABU39"/>
      <c r="ABV39"/>
      <c r="ABW39"/>
      <c r="ABX39"/>
      <c r="ABY39"/>
      <c r="ABZ39"/>
      <c r="ACA39"/>
      <c r="ACB39"/>
      <c r="ACC39"/>
      <c r="ACD39"/>
      <c r="ACE39"/>
      <c r="ACF39"/>
      <c r="ACG39"/>
      <c r="ACH39"/>
      <c r="ACI39"/>
      <c r="ACJ39"/>
      <c r="ACK39"/>
      <c r="ACL39"/>
      <c r="ACM39"/>
      <c r="ACN39"/>
      <c r="ACO39"/>
      <c r="ACP39"/>
      <c r="ACQ39"/>
      <c r="ACR39"/>
      <c r="ACS39"/>
      <c r="ACT39"/>
      <c r="ACU39"/>
      <c r="ACV39"/>
      <c r="ACW39"/>
      <c r="ACX39"/>
      <c r="ACY39"/>
      <c r="ACZ39"/>
      <c r="ADA39"/>
      <c r="ADB39"/>
      <c r="ADC39"/>
      <c r="ADD39"/>
      <c r="ADE39"/>
      <c r="ADF39"/>
      <c r="ADG39"/>
      <c r="ADH39"/>
      <c r="ADI39"/>
      <c r="ADJ39"/>
      <c r="ADK39"/>
      <c r="ADL39"/>
      <c r="ADM39"/>
      <c r="ADN39"/>
      <c r="ADO39"/>
      <c r="ADP39"/>
      <c r="ADQ39"/>
      <c r="ADR39"/>
      <c r="ADS39"/>
      <c r="ADT39"/>
      <c r="ADU39"/>
      <c r="ADV39"/>
      <c r="ADW39"/>
      <c r="ADX39"/>
      <c r="ADY39"/>
      <c r="ADZ39"/>
      <c r="AEA39"/>
      <c r="AEB39"/>
      <c r="AEC39"/>
      <c r="AED39"/>
      <c r="AEE39"/>
      <c r="AEF39"/>
      <c r="AEG39"/>
      <c r="AEH39"/>
      <c r="AEI39"/>
      <c r="AEJ39"/>
      <c r="AEK39"/>
      <c r="AEL39"/>
      <c r="AEM39"/>
      <c r="AEN39"/>
      <c r="AEO39"/>
      <c r="AEP39"/>
      <c r="AEQ39"/>
      <c r="AER39"/>
      <c r="AES39"/>
      <c r="AET39"/>
      <c r="AEU39"/>
      <c r="AEV39"/>
      <c r="AEW39"/>
      <c r="AEX39"/>
      <c r="AEY39"/>
      <c r="AEZ39"/>
      <c r="AFA39"/>
      <c r="AFB39"/>
      <c r="AFC39"/>
      <c r="AFD39"/>
      <c r="AFE39"/>
      <c r="AFF39"/>
      <c r="AFG39"/>
      <c r="AFH39"/>
      <c r="AFI39"/>
      <c r="AFJ39"/>
      <c r="AFK39"/>
      <c r="AFL39"/>
      <c r="AFM39"/>
      <c r="AFN39"/>
      <c r="AFO39"/>
      <c r="AFP39"/>
      <c r="AFQ39"/>
      <c r="AFR39"/>
      <c r="AFS39"/>
      <c r="AFT39"/>
      <c r="AFU39"/>
      <c r="AFV39"/>
      <c r="AFW39"/>
      <c r="AFX39"/>
      <c r="AFY39"/>
      <c r="AFZ39"/>
      <c r="AGA39"/>
      <c r="AGB39"/>
      <c r="AGC39"/>
      <c r="AGD39"/>
      <c r="AGE39"/>
      <c r="AGF39"/>
      <c r="AGG39"/>
      <c r="AGH39"/>
      <c r="AGI39"/>
      <c r="AGJ39"/>
      <c r="AGK39"/>
      <c r="AGL39"/>
      <c r="AGM39"/>
      <c r="AGN39"/>
      <c r="AGO39"/>
      <c r="AGP39"/>
      <c r="AGQ39"/>
      <c r="AGR39"/>
      <c r="AGS39"/>
      <c r="AGT39"/>
      <c r="AGU39"/>
      <c r="AGV39"/>
      <c r="AGW39"/>
      <c r="AGX39"/>
      <c r="AGY39"/>
      <c r="AGZ39"/>
      <c r="AHA39"/>
      <c r="AHB39"/>
      <c r="AHC39"/>
      <c r="AHD39"/>
      <c r="AHE39"/>
      <c r="AHF39"/>
      <c r="AHG39"/>
      <c r="AHH39"/>
      <c r="AHI39"/>
      <c r="AHJ39"/>
      <c r="AHK39"/>
      <c r="AHL39"/>
      <c r="AHM39"/>
      <c r="AHN39"/>
      <c r="AHO39"/>
      <c r="AHP39"/>
      <c r="AHQ39"/>
      <c r="AHR39"/>
      <c r="AHS39"/>
      <c r="AHT39"/>
      <c r="AHU39"/>
      <c r="AHV39"/>
      <c r="AHW39"/>
      <c r="AHX39"/>
      <c r="AHY39"/>
      <c r="AHZ39"/>
      <c r="AIA39"/>
      <c r="AIB39"/>
      <c r="AIC39"/>
      <c r="AID39"/>
      <c r="AIE39"/>
      <c r="AIF39"/>
      <c r="AIG39"/>
      <c r="AIH39"/>
      <c r="AII39"/>
      <c r="AIJ39"/>
      <c r="AIK39"/>
      <c r="AIL39"/>
    </row>
    <row r="40" spans="1:922" x14ac:dyDescent="0.35">
      <c r="D40" s="2" t="s">
        <v>28</v>
      </c>
      <c r="E40" s="171" t="s">
        <v>40</v>
      </c>
      <c r="F40" s="152">
        <f>+Fertilizer!C42</f>
        <v>0</v>
      </c>
      <c r="G40" s="171" t="s">
        <v>40</v>
      </c>
      <c r="H40" s="152">
        <f>+Manure!C42</f>
        <v>0</v>
      </c>
      <c r="I40" s="171" t="str">
        <f t="shared" si="3"/>
        <v>€</v>
      </c>
      <c r="J40" s="152">
        <f>+Manpower!C42</f>
        <v>0</v>
      </c>
      <c r="K40" s="171" t="str">
        <f t="shared" si="6"/>
        <v>€</v>
      </c>
      <c r="L40" s="152">
        <f>+Productivity!C42</f>
        <v>0</v>
      </c>
      <c r="M40" s="171" t="str">
        <f t="shared" si="7"/>
        <v>€</v>
      </c>
      <c r="N40" s="152">
        <f>+Reactor!C42</f>
        <v>0</v>
      </c>
    </row>
    <row r="41" spans="1:922" x14ac:dyDescent="0.35">
      <c r="D41" s="2" t="s">
        <v>29</v>
      </c>
      <c r="E41" s="171" t="s">
        <v>40</v>
      </c>
      <c r="F41" s="152">
        <f>+Fertilizer!C43</f>
        <v>31420.601209270568</v>
      </c>
      <c r="G41" s="171" t="s">
        <v>40</v>
      </c>
      <c r="H41" s="152">
        <f>+Manure!C43</f>
        <v>31420.601209270568</v>
      </c>
      <c r="I41" s="171" t="str">
        <f t="shared" si="3"/>
        <v>€</v>
      </c>
      <c r="J41" s="152">
        <f>+Manpower!C43</f>
        <v>31420.601209270568</v>
      </c>
      <c r="K41" s="171" t="str">
        <f t="shared" si="6"/>
        <v>€</v>
      </c>
      <c r="L41" s="152">
        <f>+Productivity!C43</f>
        <v>31420.601209270568</v>
      </c>
      <c r="M41" s="171" t="str">
        <f t="shared" si="7"/>
        <v>€</v>
      </c>
      <c r="N41" s="152">
        <f>+Reactor!C43</f>
        <v>15710.300604635284</v>
      </c>
    </row>
    <row r="42" spans="1:922" x14ac:dyDescent="0.35">
      <c r="D42" s="2" t="s">
        <v>30</v>
      </c>
      <c r="E42" s="171" t="s">
        <v>40</v>
      </c>
      <c r="F42" s="152">
        <f>+Fertilizer!C44</f>
        <v>36050.01850443321</v>
      </c>
      <c r="G42" s="171" t="s">
        <v>40</v>
      </c>
      <c r="H42" s="152">
        <f>+Manure!C44</f>
        <v>36050.01850443321</v>
      </c>
      <c r="I42" s="171" t="str">
        <f t="shared" si="3"/>
        <v>€</v>
      </c>
      <c r="J42" s="152">
        <f>+Manpower!C44</f>
        <v>36050.01850443321</v>
      </c>
      <c r="K42" s="171" t="str">
        <f t="shared" si="6"/>
        <v>€</v>
      </c>
      <c r="L42" s="152">
        <f>+Productivity!C44</f>
        <v>36050.01850443321</v>
      </c>
      <c r="M42" s="171" t="str">
        <f t="shared" si="7"/>
        <v>€</v>
      </c>
      <c r="N42" s="152">
        <f>+Reactor!C44</f>
        <v>36050.01850443321</v>
      </c>
    </row>
    <row r="43" spans="1:922" x14ac:dyDescent="0.35">
      <c r="D43" s="2" t="s">
        <v>31</v>
      </c>
      <c r="E43" s="171" t="s">
        <v>40</v>
      </c>
      <c r="F43" s="152">
        <f>+Fertilizer!C45</f>
        <v>600</v>
      </c>
      <c r="G43" s="171" t="s">
        <v>40</v>
      </c>
      <c r="H43" s="152">
        <f>+Manure!C45</f>
        <v>600</v>
      </c>
      <c r="I43" s="171" t="str">
        <f t="shared" si="3"/>
        <v>€</v>
      </c>
      <c r="J43" s="152">
        <f>+Manpower!C45</f>
        <v>600</v>
      </c>
      <c r="K43" s="171" t="str">
        <f t="shared" si="6"/>
        <v>€</v>
      </c>
      <c r="L43" s="152">
        <f>+Productivity!C45</f>
        <v>600</v>
      </c>
      <c r="M43" s="171" t="str">
        <f t="shared" si="7"/>
        <v>€</v>
      </c>
      <c r="N43" s="152">
        <f>+Reactor!C45</f>
        <v>600</v>
      </c>
    </row>
    <row r="44" spans="1:922" x14ac:dyDescent="0.35">
      <c r="D44" s="2" t="s">
        <v>32</v>
      </c>
      <c r="E44" s="171" t="s">
        <v>40</v>
      </c>
      <c r="F44" s="152">
        <f>+Fertilizer!C46</f>
        <v>40000</v>
      </c>
      <c r="G44" s="171" t="s">
        <v>40</v>
      </c>
      <c r="H44" s="152">
        <f>+Manure!C46</f>
        <v>40000</v>
      </c>
      <c r="I44" s="171" t="str">
        <f t="shared" si="3"/>
        <v>€</v>
      </c>
      <c r="J44" s="152">
        <f>+Manpower!C46</f>
        <v>40000</v>
      </c>
      <c r="K44" s="171" t="str">
        <f t="shared" si="6"/>
        <v>€</v>
      </c>
      <c r="L44" s="152">
        <f>+Productivity!C46</f>
        <v>40000</v>
      </c>
      <c r="M44" s="171" t="str">
        <f t="shared" si="7"/>
        <v>€</v>
      </c>
      <c r="N44" s="152">
        <f>+Reactor!C46</f>
        <v>40000</v>
      </c>
    </row>
    <row r="45" spans="1:922" x14ac:dyDescent="0.35">
      <c r="D45" s="2" t="s">
        <v>33</v>
      </c>
      <c r="E45" s="171" t="s">
        <v>40</v>
      </c>
      <c r="F45" s="152">
        <f>+Fertilizer!C47</f>
        <v>1000</v>
      </c>
      <c r="G45" s="171" t="s">
        <v>40</v>
      </c>
      <c r="H45" s="152">
        <f>+Manure!C47</f>
        <v>1000</v>
      </c>
      <c r="I45" s="171" t="str">
        <f t="shared" si="3"/>
        <v>€</v>
      </c>
      <c r="J45" s="152">
        <f>+Manpower!C47</f>
        <v>1000</v>
      </c>
      <c r="K45" s="171" t="str">
        <f t="shared" si="6"/>
        <v>€</v>
      </c>
      <c r="L45" s="152">
        <f>+Productivity!C47</f>
        <v>1000</v>
      </c>
      <c r="M45" s="171" t="str">
        <f t="shared" si="7"/>
        <v>€</v>
      </c>
      <c r="N45" s="152">
        <f>+Reactor!C47</f>
        <v>1000</v>
      </c>
    </row>
    <row r="46" spans="1:922" x14ac:dyDescent="0.35">
      <c r="D46" s="2" t="s">
        <v>34</v>
      </c>
      <c r="E46" s="171" t="s">
        <v>40</v>
      </c>
      <c r="F46" s="152">
        <f>+Fertilizer!C48</f>
        <v>3000</v>
      </c>
      <c r="G46" s="171" t="s">
        <v>40</v>
      </c>
      <c r="H46" s="152">
        <f>+Manure!C48</f>
        <v>3000</v>
      </c>
      <c r="I46" s="171" t="str">
        <f t="shared" si="3"/>
        <v>€</v>
      </c>
      <c r="J46" s="152">
        <f>+Manpower!C48</f>
        <v>3000</v>
      </c>
      <c r="K46" s="171" t="str">
        <f t="shared" si="6"/>
        <v>€</v>
      </c>
      <c r="L46" s="152">
        <f>+Productivity!C48</f>
        <v>3000</v>
      </c>
      <c r="M46" s="171" t="str">
        <f t="shared" si="7"/>
        <v>€</v>
      </c>
      <c r="N46" s="152">
        <f>+Reactor!C48</f>
        <v>3000</v>
      </c>
    </row>
    <row r="47" spans="1:922" x14ac:dyDescent="0.35">
      <c r="E47" s="171"/>
      <c r="F47" s="152">
        <f>+Fertilizer!C49</f>
        <v>0</v>
      </c>
      <c r="G47" s="171"/>
      <c r="H47" s="152">
        <f>+Manure!C49</f>
        <v>0</v>
      </c>
      <c r="I47" s="171"/>
      <c r="J47" s="152">
        <f>+Manpower!C49</f>
        <v>0</v>
      </c>
      <c r="K47" s="171"/>
      <c r="L47" s="152">
        <f>+Productivity!C49</f>
        <v>0</v>
      </c>
      <c r="M47" s="171"/>
      <c r="N47" s="152">
        <f>+Reactor!C49</f>
        <v>0</v>
      </c>
    </row>
    <row r="48" spans="1:922" x14ac:dyDescent="0.35">
      <c r="D48" s="165" t="s">
        <v>41</v>
      </c>
      <c r="E48" s="5"/>
      <c r="F48" s="153">
        <f>+Fertilizer!C50</f>
        <v>0</v>
      </c>
      <c r="G48" s="5"/>
      <c r="H48" s="153">
        <f>+Manure!C50</f>
        <v>0</v>
      </c>
      <c r="I48" s="5"/>
      <c r="J48" s="153">
        <f>+Manpower!C50</f>
        <v>0</v>
      </c>
      <c r="K48" s="5"/>
      <c r="L48" s="153">
        <f>+Productivity!C50</f>
        <v>0</v>
      </c>
      <c r="M48" s="5"/>
      <c r="N48" s="153">
        <f>+Reactor!C50</f>
        <v>0</v>
      </c>
    </row>
    <row r="49" spans="1:922" x14ac:dyDescent="0.35">
      <c r="D49" s="2" t="s">
        <v>42</v>
      </c>
      <c r="E49" s="171" t="s">
        <v>40</v>
      </c>
      <c r="F49" s="152">
        <f>+Fertilizer!C51</f>
        <v>122070.61971370378</v>
      </c>
      <c r="G49" s="171" t="s">
        <v>40</v>
      </c>
      <c r="H49" s="152">
        <f>+Manure!C51</f>
        <v>122070.61971370378</v>
      </c>
      <c r="I49" s="171" t="str">
        <f t="shared" si="3"/>
        <v>€</v>
      </c>
      <c r="J49" s="152">
        <f>+Manpower!C51</f>
        <v>122070.61971370378</v>
      </c>
      <c r="K49" s="171" t="str">
        <f t="shared" ref="K49:K62" si="8">+I49</f>
        <v>€</v>
      </c>
      <c r="L49" s="152">
        <f>+Productivity!C51</f>
        <v>122070.61971370378</v>
      </c>
      <c r="M49" s="171" t="str">
        <f t="shared" ref="M49:M62" si="9">+K49</f>
        <v>€</v>
      </c>
      <c r="N49" s="152">
        <f>+Reactor!C51</f>
        <v>106360.31910906848</v>
      </c>
    </row>
    <row r="50" spans="1:922" s="174" customFormat="1" x14ac:dyDescent="0.35">
      <c r="A50"/>
      <c r="B50"/>
      <c r="C50"/>
      <c r="D50" s="2" t="s">
        <v>43</v>
      </c>
      <c r="E50" s="171" t="s">
        <v>40</v>
      </c>
      <c r="F50" s="152">
        <f>+Fertilizer!C52</f>
        <v>24414.123942740756</v>
      </c>
      <c r="G50" s="171" t="s">
        <v>40</v>
      </c>
      <c r="H50" s="152">
        <f>+Manure!C52</f>
        <v>24414.123942740756</v>
      </c>
      <c r="I50" s="171" t="str">
        <f t="shared" si="3"/>
        <v>€</v>
      </c>
      <c r="J50" s="152">
        <f>+Manpower!C52</f>
        <v>24414.123942740756</v>
      </c>
      <c r="K50" s="171" t="str">
        <f t="shared" si="8"/>
        <v>€</v>
      </c>
      <c r="L50" s="152">
        <f>+Productivity!C52</f>
        <v>24414.123942740756</v>
      </c>
      <c r="M50" s="171" t="str">
        <f t="shared" si="9"/>
        <v>€</v>
      </c>
      <c r="N50" s="152">
        <f>+Reactor!C52</f>
        <v>21272.063821813699</v>
      </c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  <c r="GL50"/>
      <c r="GM50"/>
      <c r="GN50"/>
      <c r="GO50"/>
      <c r="GP50"/>
      <c r="GQ50"/>
      <c r="GR50"/>
      <c r="GS50"/>
      <c r="GT50"/>
      <c r="GU50"/>
      <c r="GV50"/>
      <c r="GW50"/>
      <c r="GX50"/>
      <c r="GY50"/>
      <c r="GZ50"/>
      <c r="HA50"/>
      <c r="HB50"/>
      <c r="HC50"/>
      <c r="HD50"/>
      <c r="HE50"/>
      <c r="HF50"/>
      <c r="HG50"/>
      <c r="HH50"/>
      <c r="HI50"/>
      <c r="HJ50"/>
      <c r="HK50"/>
      <c r="HL50"/>
      <c r="HM50"/>
      <c r="HN50"/>
      <c r="HO50"/>
      <c r="HP50"/>
      <c r="HQ50"/>
      <c r="HR50"/>
      <c r="HS50"/>
      <c r="HT50"/>
      <c r="HU50"/>
      <c r="HV50"/>
      <c r="HW50"/>
      <c r="HX50"/>
      <c r="HY50"/>
      <c r="HZ50"/>
      <c r="IA50"/>
      <c r="IB50"/>
      <c r="IC50"/>
      <c r="ID50"/>
      <c r="IE50"/>
      <c r="IF50"/>
      <c r="IG50"/>
      <c r="IH50"/>
      <c r="II50"/>
      <c r="IJ50"/>
      <c r="IK50"/>
      <c r="IL50"/>
      <c r="IM50"/>
      <c r="IN50"/>
      <c r="IO50"/>
      <c r="IP50"/>
      <c r="IQ50"/>
      <c r="IR50"/>
      <c r="IS50"/>
      <c r="IT50"/>
      <c r="IU50"/>
      <c r="IV50"/>
      <c r="IW50"/>
      <c r="IX50"/>
      <c r="IY50"/>
      <c r="IZ50"/>
      <c r="JA50"/>
      <c r="JB50"/>
      <c r="JC50"/>
      <c r="JD50"/>
      <c r="JE50"/>
      <c r="JF50"/>
      <c r="JG50"/>
      <c r="JH50"/>
      <c r="JI50"/>
      <c r="JJ50"/>
      <c r="JK50"/>
      <c r="JL50"/>
      <c r="JM50"/>
      <c r="JN50"/>
      <c r="JO50"/>
      <c r="JP50"/>
      <c r="JQ50"/>
      <c r="JR50"/>
      <c r="JS50"/>
      <c r="JT50"/>
      <c r="JU50"/>
      <c r="JV50"/>
      <c r="JW50"/>
      <c r="JX50"/>
      <c r="JY50"/>
      <c r="JZ50"/>
      <c r="KA50"/>
      <c r="KB50"/>
      <c r="KC50"/>
      <c r="KD50"/>
      <c r="KE50"/>
      <c r="KF50"/>
      <c r="KG50"/>
      <c r="KH50"/>
      <c r="KI50"/>
      <c r="KJ50"/>
      <c r="KK50"/>
      <c r="KL50"/>
      <c r="KM50"/>
      <c r="KN50"/>
      <c r="KO50"/>
      <c r="KP50"/>
      <c r="KQ50"/>
      <c r="KR50"/>
      <c r="KS50"/>
      <c r="KT50"/>
      <c r="KU50"/>
      <c r="KV50"/>
      <c r="KW50"/>
      <c r="KX50"/>
      <c r="KY50"/>
      <c r="KZ50"/>
      <c r="LA50"/>
      <c r="LB50"/>
      <c r="LC50"/>
      <c r="LD50"/>
      <c r="LE50"/>
      <c r="LF50"/>
      <c r="LG50"/>
      <c r="LH50"/>
      <c r="LI50"/>
      <c r="LJ50"/>
      <c r="LK50"/>
      <c r="LL50"/>
      <c r="LM50"/>
      <c r="LN50"/>
      <c r="LO50"/>
      <c r="LP50"/>
      <c r="LQ50"/>
      <c r="LR50"/>
      <c r="LS50"/>
      <c r="LT50"/>
      <c r="LU50"/>
      <c r="LV50"/>
      <c r="LW50"/>
      <c r="LX50"/>
      <c r="LY50"/>
      <c r="LZ50"/>
      <c r="MA50"/>
      <c r="MB50"/>
      <c r="MC50"/>
      <c r="MD50"/>
      <c r="ME50"/>
      <c r="MF50"/>
      <c r="MG50"/>
      <c r="MH50"/>
      <c r="MI50"/>
      <c r="MJ50"/>
      <c r="MK50"/>
      <c r="ML50"/>
      <c r="MM50"/>
      <c r="MN50"/>
      <c r="MO50"/>
      <c r="MP50"/>
      <c r="MQ50"/>
      <c r="MR50"/>
      <c r="MS50"/>
      <c r="MT50"/>
      <c r="MU50"/>
      <c r="MV50"/>
      <c r="MW50"/>
      <c r="MX50"/>
      <c r="MY50"/>
      <c r="MZ50"/>
      <c r="NA50"/>
      <c r="NB50"/>
      <c r="NC50"/>
      <c r="ND50"/>
      <c r="NE50"/>
      <c r="NF50"/>
      <c r="NG50"/>
      <c r="NH50"/>
      <c r="NI50"/>
      <c r="NJ50"/>
      <c r="NK50"/>
      <c r="NL50"/>
      <c r="NM50"/>
      <c r="NN50"/>
      <c r="NO50"/>
      <c r="NP50"/>
      <c r="NQ50"/>
      <c r="NR50"/>
      <c r="NS50"/>
      <c r="NT50"/>
      <c r="NU50"/>
      <c r="NV50"/>
      <c r="NW50"/>
      <c r="NX50"/>
      <c r="NY50"/>
      <c r="NZ50"/>
      <c r="OA50"/>
      <c r="OB50"/>
      <c r="OC50"/>
      <c r="OD50"/>
      <c r="OE50"/>
      <c r="OF50"/>
      <c r="OG50"/>
      <c r="OH50"/>
      <c r="OI50"/>
      <c r="OJ50"/>
      <c r="OK50"/>
      <c r="OL50"/>
      <c r="OM50"/>
      <c r="ON50"/>
      <c r="OO50"/>
      <c r="OP50"/>
      <c r="OQ50"/>
      <c r="OR50"/>
      <c r="OS50"/>
      <c r="OT50"/>
      <c r="OU50"/>
      <c r="OV50"/>
      <c r="OW50"/>
      <c r="OX50"/>
      <c r="OY50"/>
      <c r="OZ50"/>
      <c r="PA50"/>
      <c r="PB50"/>
      <c r="PC50"/>
      <c r="PD50"/>
      <c r="PE50"/>
      <c r="PF50"/>
      <c r="PG50"/>
      <c r="PH50"/>
      <c r="PI50"/>
      <c r="PJ50"/>
      <c r="PK50"/>
      <c r="PL50"/>
      <c r="PM50"/>
      <c r="PN50"/>
      <c r="PO50"/>
      <c r="PP50"/>
      <c r="PQ50"/>
      <c r="PR50"/>
      <c r="PS50"/>
      <c r="PT50"/>
      <c r="PU50"/>
      <c r="PV50"/>
      <c r="PW50"/>
      <c r="PX50"/>
      <c r="PY50"/>
      <c r="PZ50"/>
      <c r="QA50"/>
      <c r="QB50"/>
      <c r="QC50"/>
      <c r="QD50"/>
      <c r="QE50"/>
      <c r="QF50"/>
      <c r="QG50"/>
      <c r="QH50"/>
      <c r="QI50"/>
      <c r="QJ50"/>
      <c r="QK50"/>
      <c r="QL50"/>
      <c r="QM50"/>
      <c r="QN50"/>
      <c r="QO50"/>
      <c r="QP50"/>
      <c r="QQ50"/>
      <c r="QR50"/>
      <c r="QS50"/>
      <c r="QT50"/>
      <c r="QU50"/>
      <c r="QV50"/>
      <c r="QW50"/>
      <c r="QX50"/>
      <c r="QY50"/>
      <c r="QZ50"/>
      <c r="RA50"/>
      <c r="RB50"/>
      <c r="RC50"/>
      <c r="RD50"/>
      <c r="RE50"/>
      <c r="RF50"/>
      <c r="RG50"/>
      <c r="RH50"/>
      <c r="RI50"/>
      <c r="RJ50"/>
      <c r="RK50"/>
      <c r="RL50"/>
      <c r="RM50"/>
      <c r="RN50"/>
      <c r="RO50"/>
      <c r="RP50"/>
      <c r="RQ50"/>
      <c r="RR50"/>
      <c r="RS50"/>
      <c r="RT50"/>
      <c r="RU50"/>
      <c r="RV50"/>
      <c r="RW50"/>
      <c r="RX50"/>
      <c r="RY50"/>
      <c r="RZ50"/>
      <c r="SA50"/>
      <c r="SB50"/>
      <c r="SC50"/>
      <c r="SD50"/>
      <c r="SE50"/>
      <c r="SF50"/>
      <c r="SG50"/>
      <c r="SH50"/>
      <c r="SI50"/>
      <c r="SJ50"/>
      <c r="SK50"/>
      <c r="SL50"/>
      <c r="SM50"/>
      <c r="SN50"/>
      <c r="SO50"/>
      <c r="SP50"/>
      <c r="SQ50"/>
      <c r="SR50"/>
      <c r="SS50"/>
      <c r="ST50"/>
      <c r="SU50"/>
      <c r="SV50"/>
      <c r="SW50"/>
      <c r="SX50"/>
      <c r="SY50"/>
      <c r="SZ50"/>
      <c r="TA50"/>
      <c r="TB50"/>
      <c r="TC50"/>
      <c r="TD50"/>
      <c r="TE50"/>
      <c r="TF50"/>
      <c r="TG50"/>
      <c r="TH50"/>
      <c r="TI50"/>
      <c r="TJ50"/>
      <c r="TK50"/>
      <c r="TL50"/>
      <c r="TM50"/>
      <c r="TN50"/>
      <c r="TO50"/>
      <c r="TP50"/>
      <c r="TQ50"/>
      <c r="TR50"/>
      <c r="TS50"/>
      <c r="TT50"/>
      <c r="TU50"/>
      <c r="TV50"/>
      <c r="TW50"/>
      <c r="TX50"/>
      <c r="TY50"/>
      <c r="TZ50"/>
      <c r="UA50"/>
      <c r="UB50"/>
      <c r="UC50"/>
      <c r="UD50"/>
      <c r="UE50"/>
      <c r="UF50"/>
      <c r="UG50"/>
      <c r="UH50"/>
      <c r="UI50"/>
      <c r="UJ50"/>
      <c r="UK50"/>
      <c r="UL50"/>
      <c r="UM50"/>
      <c r="UN50"/>
      <c r="UO50"/>
      <c r="UP50"/>
      <c r="UQ50"/>
      <c r="UR50"/>
      <c r="US50"/>
      <c r="UT50"/>
      <c r="UU50"/>
      <c r="UV50"/>
      <c r="UW50"/>
      <c r="UX50"/>
      <c r="UY50"/>
      <c r="UZ50"/>
      <c r="VA50"/>
      <c r="VB50"/>
      <c r="VC50"/>
      <c r="VD50"/>
      <c r="VE50"/>
      <c r="VF50"/>
      <c r="VG50"/>
      <c r="VH50"/>
      <c r="VI50"/>
      <c r="VJ50"/>
      <c r="VK50"/>
      <c r="VL50"/>
      <c r="VM50"/>
      <c r="VN50"/>
      <c r="VO50"/>
      <c r="VP50"/>
      <c r="VQ50"/>
      <c r="VR50"/>
      <c r="VS50"/>
      <c r="VT50"/>
      <c r="VU50"/>
      <c r="VV50"/>
      <c r="VW50"/>
      <c r="VX50"/>
      <c r="VY50"/>
      <c r="VZ50"/>
      <c r="WA50"/>
      <c r="WB50"/>
      <c r="WC50"/>
      <c r="WD50"/>
      <c r="WE50"/>
      <c r="WF50"/>
      <c r="WG50"/>
      <c r="WH50"/>
      <c r="WI50"/>
      <c r="WJ50"/>
      <c r="WK50"/>
      <c r="WL50"/>
      <c r="WM50"/>
      <c r="WN50"/>
      <c r="WO50"/>
      <c r="WP50"/>
      <c r="WQ50"/>
      <c r="WR50"/>
      <c r="WS50"/>
      <c r="WT50"/>
      <c r="WU50"/>
      <c r="WV50"/>
      <c r="WW50"/>
      <c r="WX50"/>
      <c r="WY50"/>
      <c r="WZ50"/>
      <c r="XA50"/>
      <c r="XB50"/>
      <c r="XC50"/>
      <c r="XD50"/>
      <c r="XE50"/>
      <c r="XF50"/>
      <c r="XG50"/>
      <c r="XH50"/>
      <c r="XI50"/>
      <c r="XJ50"/>
      <c r="XK50"/>
      <c r="XL50"/>
      <c r="XM50"/>
      <c r="XN50"/>
      <c r="XO50"/>
      <c r="XP50"/>
      <c r="XQ50"/>
      <c r="XR50"/>
      <c r="XS50"/>
      <c r="XT50"/>
      <c r="XU50"/>
      <c r="XV50"/>
      <c r="XW50"/>
      <c r="XX50"/>
      <c r="XY50"/>
      <c r="XZ50"/>
      <c r="YA50"/>
      <c r="YB50"/>
      <c r="YC50"/>
      <c r="YD50"/>
      <c r="YE50"/>
      <c r="YF50"/>
      <c r="YG50"/>
      <c r="YH50"/>
      <c r="YI50"/>
      <c r="YJ50"/>
      <c r="YK50"/>
      <c r="YL50"/>
      <c r="YM50"/>
      <c r="YN50"/>
      <c r="YO50"/>
      <c r="YP50"/>
      <c r="YQ50"/>
      <c r="YR50"/>
      <c r="YS50"/>
      <c r="YT50"/>
      <c r="YU50"/>
      <c r="YV50"/>
      <c r="YW50"/>
      <c r="YX50"/>
      <c r="YY50"/>
      <c r="YZ50"/>
      <c r="ZA50"/>
      <c r="ZB50"/>
      <c r="ZC50"/>
      <c r="ZD50"/>
      <c r="ZE50"/>
      <c r="ZF50"/>
      <c r="ZG50"/>
      <c r="ZH50"/>
      <c r="ZI50"/>
      <c r="ZJ50"/>
      <c r="ZK50"/>
      <c r="ZL50"/>
      <c r="ZM50"/>
      <c r="ZN50"/>
      <c r="ZO50"/>
      <c r="ZP50"/>
      <c r="ZQ50"/>
      <c r="ZR50"/>
      <c r="ZS50"/>
      <c r="ZT50"/>
      <c r="ZU50"/>
      <c r="ZV50"/>
      <c r="ZW50"/>
      <c r="ZX50"/>
      <c r="ZY50"/>
      <c r="ZZ50"/>
      <c r="AAA50"/>
      <c r="AAB50"/>
      <c r="AAC50"/>
      <c r="AAD50"/>
      <c r="AAE50"/>
      <c r="AAF50"/>
      <c r="AAG50"/>
      <c r="AAH50"/>
      <c r="AAI50"/>
      <c r="AAJ50"/>
      <c r="AAK50"/>
      <c r="AAL50"/>
      <c r="AAM50"/>
      <c r="AAN50"/>
      <c r="AAO50"/>
      <c r="AAP50"/>
      <c r="AAQ50"/>
      <c r="AAR50"/>
      <c r="AAS50"/>
      <c r="AAT50"/>
      <c r="AAU50"/>
      <c r="AAV50"/>
      <c r="AAW50"/>
      <c r="AAX50"/>
      <c r="AAY50"/>
      <c r="AAZ50"/>
      <c r="ABA50"/>
      <c r="ABB50"/>
      <c r="ABC50"/>
      <c r="ABD50"/>
      <c r="ABE50"/>
      <c r="ABF50"/>
      <c r="ABG50"/>
      <c r="ABH50"/>
      <c r="ABI50"/>
      <c r="ABJ50"/>
      <c r="ABK50"/>
      <c r="ABL50"/>
      <c r="ABM50"/>
      <c r="ABN50"/>
      <c r="ABO50"/>
      <c r="ABP50"/>
      <c r="ABQ50"/>
      <c r="ABR50"/>
      <c r="ABS50"/>
      <c r="ABT50"/>
      <c r="ABU50"/>
      <c r="ABV50"/>
      <c r="ABW50"/>
      <c r="ABX50"/>
      <c r="ABY50"/>
      <c r="ABZ50"/>
      <c r="ACA50"/>
      <c r="ACB50"/>
      <c r="ACC50"/>
      <c r="ACD50"/>
      <c r="ACE50"/>
      <c r="ACF50"/>
      <c r="ACG50"/>
      <c r="ACH50"/>
      <c r="ACI50"/>
      <c r="ACJ50"/>
      <c r="ACK50"/>
      <c r="ACL50"/>
      <c r="ACM50"/>
      <c r="ACN50"/>
      <c r="ACO50"/>
      <c r="ACP50"/>
      <c r="ACQ50"/>
      <c r="ACR50"/>
      <c r="ACS50"/>
      <c r="ACT50"/>
      <c r="ACU50"/>
      <c r="ACV50"/>
      <c r="ACW50"/>
      <c r="ACX50"/>
      <c r="ACY50"/>
      <c r="ACZ50"/>
      <c r="ADA50"/>
      <c r="ADB50"/>
      <c r="ADC50"/>
      <c r="ADD50"/>
      <c r="ADE50"/>
      <c r="ADF50"/>
      <c r="ADG50"/>
      <c r="ADH50"/>
      <c r="ADI50"/>
      <c r="ADJ50"/>
      <c r="ADK50"/>
      <c r="ADL50"/>
      <c r="ADM50"/>
      <c r="ADN50"/>
      <c r="ADO50"/>
      <c r="ADP50"/>
      <c r="ADQ50"/>
      <c r="ADR50"/>
      <c r="ADS50"/>
      <c r="ADT50"/>
      <c r="ADU50"/>
      <c r="ADV50"/>
      <c r="ADW50"/>
      <c r="ADX50"/>
      <c r="ADY50"/>
      <c r="ADZ50"/>
      <c r="AEA50"/>
      <c r="AEB50"/>
      <c r="AEC50"/>
      <c r="AED50"/>
      <c r="AEE50"/>
      <c r="AEF50"/>
      <c r="AEG50"/>
      <c r="AEH50"/>
      <c r="AEI50"/>
      <c r="AEJ50"/>
      <c r="AEK50"/>
      <c r="AEL50"/>
      <c r="AEM50"/>
      <c r="AEN50"/>
      <c r="AEO50"/>
      <c r="AEP50"/>
      <c r="AEQ50"/>
      <c r="AER50"/>
      <c r="AES50"/>
      <c r="AET50"/>
      <c r="AEU50"/>
      <c r="AEV50"/>
      <c r="AEW50"/>
      <c r="AEX50"/>
      <c r="AEY50"/>
      <c r="AEZ50"/>
      <c r="AFA50"/>
      <c r="AFB50"/>
      <c r="AFC50"/>
      <c r="AFD50"/>
      <c r="AFE50"/>
      <c r="AFF50"/>
      <c r="AFG50"/>
      <c r="AFH50"/>
      <c r="AFI50"/>
      <c r="AFJ50"/>
      <c r="AFK50"/>
      <c r="AFL50"/>
      <c r="AFM50"/>
      <c r="AFN50"/>
      <c r="AFO50"/>
      <c r="AFP50"/>
      <c r="AFQ50"/>
      <c r="AFR50"/>
      <c r="AFS50"/>
      <c r="AFT50"/>
      <c r="AFU50"/>
      <c r="AFV50"/>
      <c r="AFW50"/>
      <c r="AFX50"/>
      <c r="AFY50"/>
      <c r="AFZ50"/>
      <c r="AGA50"/>
      <c r="AGB50"/>
      <c r="AGC50"/>
      <c r="AGD50"/>
      <c r="AGE50"/>
      <c r="AGF50"/>
      <c r="AGG50"/>
      <c r="AGH50"/>
      <c r="AGI50"/>
      <c r="AGJ50"/>
      <c r="AGK50"/>
      <c r="AGL50"/>
      <c r="AGM50"/>
      <c r="AGN50"/>
      <c r="AGO50"/>
      <c r="AGP50"/>
      <c r="AGQ50"/>
      <c r="AGR50"/>
      <c r="AGS50"/>
      <c r="AGT50"/>
      <c r="AGU50"/>
      <c r="AGV50"/>
      <c r="AGW50"/>
      <c r="AGX50"/>
      <c r="AGY50"/>
      <c r="AGZ50"/>
      <c r="AHA50"/>
      <c r="AHB50"/>
      <c r="AHC50"/>
      <c r="AHD50"/>
      <c r="AHE50"/>
      <c r="AHF50"/>
      <c r="AHG50"/>
      <c r="AHH50"/>
      <c r="AHI50"/>
      <c r="AHJ50"/>
      <c r="AHK50"/>
      <c r="AHL50"/>
      <c r="AHM50"/>
      <c r="AHN50"/>
      <c r="AHO50"/>
      <c r="AHP50"/>
      <c r="AHQ50"/>
      <c r="AHR50"/>
      <c r="AHS50"/>
      <c r="AHT50"/>
      <c r="AHU50"/>
      <c r="AHV50"/>
      <c r="AHW50"/>
      <c r="AHX50"/>
      <c r="AHY50"/>
      <c r="AHZ50"/>
      <c r="AIA50"/>
      <c r="AIB50"/>
      <c r="AIC50"/>
      <c r="AID50"/>
      <c r="AIE50"/>
      <c r="AIF50"/>
      <c r="AIG50"/>
      <c r="AIH50"/>
      <c r="AII50"/>
      <c r="AIJ50"/>
      <c r="AIK50"/>
      <c r="AIL50"/>
    </row>
    <row r="51" spans="1:922" x14ac:dyDescent="0.35">
      <c r="D51" s="2" t="s">
        <v>44</v>
      </c>
      <c r="E51" s="171" t="s">
        <v>40</v>
      </c>
      <c r="F51" s="152">
        <f>+Fertilizer!C53</f>
        <v>24414.123942740756</v>
      </c>
      <c r="G51" s="171" t="s">
        <v>40</v>
      </c>
      <c r="H51" s="152">
        <f>+Manure!C53</f>
        <v>24414.123942740756</v>
      </c>
      <c r="I51" s="171" t="str">
        <f t="shared" si="3"/>
        <v>€</v>
      </c>
      <c r="J51" s="152">
        <f>+Manpower!C53</f>
        <v>24414.123942740756</v>
      </c>
      <c r="K51" s="171" t="str">
        <f t="shared" si="8"/>
        <v>€</v>
      </c>
      <c r="L51" s="152">
        <f>+Productivity!C53</f>
        <v>24414.123942740756</v>
      </c>
      <c r="M51" s="171" t="str">
        <f t="shared" si="9"/>
        <v>€</v>
      </c>
      <c r="N51" s="152">
        <f>+Reactor!C53</f>
        <v>21272.063821813699</v>
      </c>
    </row>
    <row r="52" spans="1:922" x14ac:dyDescent="0.35">
      <c r="D52" s="2" t="s">
        <v>45</v>
      </c>
      <c r="E52" s="171" t="s">
        <v>40</v>
      </c>
      <c r="F52" s="152">
        <f>+Fertilizer!C54</f>
        <v>36621.185914111134</v>
      </c>
      <c r="G52" s="171" t="s">
        <v>40</v>
      </c>
      <c r="H52" s="152">
        <f>+Manure!C54</f>
        <v>36621.185914111134</v>
      </c>
      <c r="I52" s="171" t="str">
        <f t="shared" si="3"/>
        <v>€</v>
      </c>
      <c r="J52" s="152">
        <f>+Manpower!C54</f>
        <v>36621.185914111134</v>
      </c>
      <c r="K52" s="171" t="str">
        <f t="shared" si="8"/>
        <v>€</v>
      </c>
      <c r="L52" s="152">
        <f>+Productivity!C54</f>
        <v>36621.185914111134</v>
      </c>
      <c r="M52" s="171" t="str">
        <f t="shared" si="9"/>
        <v>€</v>
      </c>
      <c r="N52" s="152">
        <f>+Reactor!C54</f>
        <v>31908.095732720543</v>
      </c>
    </row>
    <row r="53" spans="1:922" x14ac:dyDescent="0.35">
      <c r="D53" s="2" t="s">
        <v>46</v>
      </c>
      <c r="E53" s="171" t="s">
        <v>40</v>
      </c>
      <c r="F53" s="152">
        <f>+Fertilizer!C55</f>
        <v>12207.061971370378</v>
      </c>
      <c r="G53" s="171" t="s">
        <v>40</v>
      </c>
      <c r="H53" s="152">
        <f>+Manure!C55</f>
        <v>12207.061971370378</v>
      </c>
      <c r="I53" s="171" t="str">
        <f t="shared" si="3"/>
        <v>€</v>
      </c>
      <c r="J53" s="152">
        <f>+Manpower!C55</f>
        <v>12207.061971370378</v>
      </c>
      <c r="K53" s="171" t="str">
        <f t="shared" si="8"/>
        <v>€</v>
      </c>
      <c r="L53" s="152">
        <f>+Productivity!C55</f>
        <v>12207.061971370378</v>
      </c>
      <c r="M53" s="171" t="str">
        <f t="shared" si="9"/>
        <v>€</v>
      </c>
      <c r="N53" s="152">
        <f>+Reactor!C55</f>
        <v>10636.03191090685</v>
      </c>
    </row>
    <row r="54" spans="1:922" x14ac:dyDescent="0.35">
      <c r="D54" s="2" t="s">
        <v>47</v>
      </c>
      <c r="E54" s="171" t="s">
        <v>40</v>
      </c>
      <c r="F54" s="152">
        <f>+Fertilizer!C56</f>
        <v>12207.061971370378</v>
      </c>
      <c r="G54" s="171" t="s">
        <v>40</v>
      </c>
      <c r="H54" s="152">
        <f>+Manure!C56</f>
        <v>12207.061971370378</v>
      </c>
      <c r="I54" s="171" t="str">
        <f t="shared" si="3"/>
        <v>€</v>
      </c>
      <c r="J54" s="152">
        <f>+Manpower!C56</f>
        <v>12207.061971370378</v>
      </c>
      <c r="K54" s="171" t="str">
        <f t="shared" si="8"/>
        <v>€</v>
      </c>
      <c r="L54" s="152">
        <f>+Productivity!C56</f>
        <v>12207.061971370378</v>
      </c>
      <c r="M54" s="171" t="str">
        <f t="shared" si="9"/>
        <v>€</v>
      </c>
      <c r="N54" s="152">
        <f>+Reactor!C56</f>
        <v>10636.03191090685</v>
      </c>
    </row>
    <row r="55" spans="1:922" x14ac:dyDescent="0.35">
      <c r="D55" s="2" t="s">
        <v>48</v>
      </c>
      <c r="E55" s="171" t="s">
        <v>40</v>
      </c>
      <c r="F55" s="152">
        <f>+Fertilizer!C57</f>
        <v>6103.5309856851891</v>
      </c>
      <c r="G55" s="171" t="s">
        <v>40</v>
      </c>
      <c r="H55" s="152">
        <f>+Manure!C57</f>
        <v>6103.5309856851891</v>
      </c>
      <c r="I55" s="171" t="str">
        <f t="shared" si="3"/>
        <v>€</v>
      </c>
      <c r="J55" s="152">
        <f>+Manpower!C57</f>
        <v>6103.5309856851891</v>
      </c>
      <c r="K55" s="171" t="str">
        <f t="shared" si="8"/>
        <v>€</v>
      </c>
      <c r="L55" s="152">
        <f>+Productivity!C57</f>
        <v>6103.5309856851891</v>
      </c>
      <c r="M55" s="171" t="str">
        <f t="shared" si="9"/>
        <v>€</v>
      </c>
      <c r="N55" s="152">
        <f>+Reactor!C57</f>
        <v>5318.0159554534248</v>
      </c>
    </row>
    <row r="56" spans="1:922" x14ac:dyDescent="0.35">
      <c r="D56" s="2" t="s">
        <v>49</v>
      </c>
      <c r="E56" s="171" t="s">
        <v>40</v>
      </c>
      <c r="F56" s="152">
        <f>+Fertilizer!C58</f>
        <v>24414.123942740756</v>
      </c>
      <c r="G56" s="171" t="s">
        <v>40</v>
      </c>
      <c r="H56" s="152">
        <f>+Manure!C58</f>
        <v>24414.123942740756</v>
      </c>
      <c r="I56" s="171" t="str">
        <f t="shared" si="3"/>
        <v>€</v>
      </c>
      <c r="J56" s="152">
        <f>+Manpower!C58</f>
        <v>24414.123942740756</v>
      </c>
      <c r="K56" s="171" t="str">
        <f t="shared" si="8"/>
        <v>€</v>
      </c>
      <c r="L56" s="152">
        <f>+Productivity!C58</f>
        <v>24414.123942740756</v>
      </c>
      <c r="M56" s="171" t="str">
        <f t="shared" si="9"/>
        <v>€</v>
      </c>
      <c r="N56" s="152">
        <f>+Reactor!C58</f>
        <v>21272.063821813699</v>
      </c>
    </row>
    <row r="57" spans="1:922" x14ac:dyDescent="0.35">
      <c r="D57" s="2" t="s">
        <v>50</v>
      </c>
      <c r="E57" s="171" t="s">
        <v>40</v>
      </c>
      <c r="F57" s="152">
        <f>+Fertilizer!C59</f>
        <v>0</v>
      </c>
      <c r="G57" s="171" t="s">
        <v>40</v>
      </c>
      <c r="H57" s="152">
        <f>+Manure!C59</f>
        <v>0</v>
      </c>
      <c r="I57" s="171" t="str">
        <f t="shared" si="3"/>
        <v>€</v>
      </c>
      <c r="J57" s="152">
        <f>+Manpower!C59</f>
        <v>0</v>
      </c>
      <c r="K57" s="171" t="str">
        <f t="shared" si="8"/>
        <v>€</v>
      </c>
      <c r="L57" s="152">
        <f>+Productivity!C59</f>
        <v>0</v>
      </c>
      <c r="M57" s="171" t="str">
        <f t="shared" si="9"/>
        <v>€</v>
      </c>
      <c r="N57" s="152">
        <f>+Reactor!C59</f>
        <v>0</v>
      </c>
    </row>
    <row r="58" spans="1:922" x14ac:dyDescent="0.35">
      <c r="D58" s="2" t="s">
        <v>51</v>
      </c>
      <c r="E58" s="171" t="s">
        <v>40</v>
      </c>
      <c r="F58" s="152">
        <f>+Fertilizer!C60</f>
        <v>24414.123942740756</v>
      </c>
      <c r="G58" s="171" t="s">
        <v>40</v>
      </c>
      <c r="H58" s="152">
        <f>+Manure!C60</f>
        <v>24414.123942740756</v>
      </c>
      <c r="I58" s="171" t="str">
        <f t="shared" si="3"/>
        <v>€</v>
      </c>
      <c r="J58" s="152">
        <f>+Manpower!C60</f>
        <v>24414.123942740756</v>
      </c>
      <c r="K58" s="171" t="str">
        <f t="shared" si="8"/>
        <v>€</v>
      </c>
      <c r="L58" s="152">
        <f>+Productivity!C60</f>
        <v>24414.123942740756</v>
      </c>
      <c r="M58" s="171" t="str">
        <f t="shared" si="9"/>
        <v>€</v>
      </c>
      <c r="N58" s="152">
        <f>+Reactor!C60</f>
        <v>21272.063821813699</v>
      </c>
    </row>
    <row r="59" spans="1:922" x14ac:dyDescent="0.35">
      <c r="D59" s="2" t="s">
        <v>52</v>
      </c>
      <c r="E59" s="171" t="s">
        <v>40</v>
      </c>
      <c r="F59" s="152">
        <f>+Fertilizer!C61</f>
        <v>78735.549715338915</v>
      </c>
      <c r="G59" s="171" t="s">
        <v>40</v>
      </c>
      <c r="H59" s="152">
        <f>+Manure!C61</f>
        <v>78735.549715338915</v>
      </c>
      <c r="I59" s="171" t="str">
        <f t="shared" si="3"/>
        <v>€</v>
      </c>
      <c r="J59" s="152">
        <f>+Manpower!C61</f>
        <v>78735.549715338915</v>
      </c>
      <c r="K59" s="171" t="str">
        <f t="shared" si="8"/>
        <v>€</v>
      </c>
      <c r="L59" s="152">
        <f>+Productivity!C61</f>
        <v>78735.549715338915</v>
      </c>
      <c r="M59" s="171" t="str">
        <f t="shared" si="9"/>
        <v>€</v>
      </c>
      <c r="N59" s="152">
        <f>+Reactor!C61</f>
        <v>68602.405825349168</v>
      </c>
    </row>
    <row r="60" spans="1:922" x14ac:dyDescent="0.35">
      <c r="D60" s="2" t="s">
        <v>53</v>
      </c>
      <c r="E60" s="171" t="s">
        <v>40</v>
      </c>
      <c r="F60" s="152">
        <f>+Fertilizer!C62</f>
        <v>7873.5549715338911</v>
      </c>
      <c r="G60" s="171" t="s">
        <v>40</v>
      </c>
      <c r="H60" s="152">
        <f>+Manure!C62</f>
        <v>7873.5549715338911</v>
      </c>
      <c r="I60" s="171" t="str">
        <f t="shared" si="3"/>
        <v>€</v>
      </c>
      <c r="J60" s="152">
        <f>+Manpower!C62</f>
        <v>7873.5549715338911</v>
      </c>
      <c r="K60" s="171" t="str">
        <f t="shared" si="8"/>
        <v>€</v>
      </c>
      <c r="L60" s="152">
        <f>+Productivity!C62</f>
        <v>7873.5549715338911</v>
      </c>
      <c r="M60" s="171" t="str">
        <f t="shared" si="9"/>
        <v>€</v>
      </c>
      <c r="N60" s="152">
        <f>+Reactor!C62</f>
        <v>6860.2405825349169</v>
      </c>
    </row>
    <row r="61" spans="1:922" x14ac:dyDescent="0.35">
      <c r="D61" s="2" t="s">
        <v>54</v>
      </c>
      <c r="E61" s="171" t="s">
        <v>40</v>
      </c>
      <c r="F61" s="152">
        <f>+Fertilizer!C63</f>
        <v>26143.254270985362</v>
      </c>
      <c r="G61" s="171" t="s">
        <v>40</v>
      </c>
      <c r="H61" s="152">
        <f>+Manure!C63</f>
        <v>26143.254270985362</v>
      </c>
      <c r="I61" s="171" t="str">
        <f t="shared" si="3"/>
        <v>€</v>
      </c>
      <c r="J61" s="152">
        <f>+Manpower!C63</f>
        <v>26143.254270985362</v>
      </c>
      <c r="K61" s="171" t="str">
        <f t="shared" si="8"/>
        <v>€</v>
      </c>
      <c r="L61" s="152">
        <f>+Productivity!C63</f>
        <v>26143.254270985362</v>
      </c>
      <c r="M61" s="171" t="str">
        <f t="shared" si="9"/>
        <v>€</v>
      </c>
      <c r="N61" s="152">
        <f>+Reactor!C63</f>
        <v>22778.657741993651</v>
      </c>
    </row>
    <row r="62" spans="1:922" x14ac:dyDescent="0.35">
      <c r="D62" s="2" t="s">
        <v>130</v>
      </c>
      <c r="E62" s="182" t="s">
        <v>40</v>
      </c>
      <c r="F62" s="183">
        <f>+Fertilizer!C64</f>
        <v>399618.31528506195</v>
      </c>
      <c r="G62" s="182" t="s">
        <v>40</v>
      </c>
      <c r="H62" s="183">
        <f>+Manure!C64</f>
        <v>399618.31528506195</v>
      </c>
      <c r="I62" s="182" t="str">
        <f t="shared" si="3"/>
        <v>€</v>
      </c>
      <c r="J62" s="183">
        <f>+Manpower!C64</f>
        <v>399618.31528506195</v>
      </c>
      <c r="K62" s="182" t="str">
        <f t="shared" si="8"/>
        <v>€</v>
      </c>
      <c r="L62" s="183">
        <f>+Productivity!C64</f>
        <v>399618.31528506195</v>
      </c>
      <c r="M62" s="182" t="str">
        <f t="shared" si="9"/>
        <v>€</v>
      </c>
      <c r="N62" s="183">
        <f>+Reactor!C64</f>
        <v>348188.05405618867</v>
      </c>
    </row>
    <row r="63" spans="1:922" x14ac:dyDescent="0.35">
      <c r="D63" s="2"/>
      <c r="E63" s="171"/>
      <c r="F63" s="152">
        <f>+Fertilizer!C65</f>
        <v>0</v>
      </c>
      <c r="G63" s="171"/>
      <c r="H63" s="152">
        <f>+Manure!C65</f>
        <v>0</v>
      </c>
      <c r="I63" s="171"/>
      <c r="J63" s="152">
        <f>+Manpower!C65</f>
        <v>0</v>
      </c>
      <c r="K63" s="171"/>
      <c r="L63" s="152">
        <f>+Productivity!C65</f>
        <v>0</v>
      </c>
      <c r="M63" s="171"/>
      <c r="N63" s="152">
        <f>+Reactor!C65</f>
        <v>0</v>
      </c>
    </row>
    <row r="64" spans="1:922" s="2" customFormat="1" x14ac:dyDescent="0.35">
      <c r="D64" s="165" t="s">
        <v>60</v>
      </c>
      <c r="E64" s="175"/>
      <c r="F64" s="153">
        <f>+Fertilizer!C66</f>
        <v>0</v>
      </c>
      <c r="G64" s="175"/>
      <c r="H64" s="153">
        <f>+Manure!C66</f>
        <v>0</v>
      </c>
      <c r="I64" s="175"/>
      <c r="J64" s="153">
        <f>+Manpower!C66</f>
        <v>0</v>
      </c>
      <c r="K64" s="175"/>
      <c r="L64" s="153">
        <f>+Productivity!C66</f>
        <v>0</v>
      </c>
      <c r="M64" s="175"/>
      <c r="N64" s="153">
        <f>+Reactor!C66</f>
        <v>0</v>
      </c>
    </row>
    <row r="65" spans="1:922" x14ac:dyDescent="0.35">
      <c r="D65" s="2" t="s">
        <v>55</v>
      </c>
      <c r="E65" s="171" t="s">
        <v>40</v>
      </c>
      <c r="F65" s="152">
        <f>+Fertilizer!C67</f>
        <v>10</v>
      </c>
      <c r="G65" s="171" t="s">
        <v>40</v>
      </c>
      <c r="H65" s="152">
        <f>+Manure!C67</f>
        <v>10</v>
      </c>
      <c r="I65" s="171" t="str">
        <f t="shared" si="3"/>
        <v>€</v>
      </c>
      <c r="J65" s="152">
        <f>+Manpower!C67</f>
        <v>10</v>
      </c>
      <c r="K65" s="171" t="str">
        <f t="shared" ref="K65:K69" si="10">+I65</f>
        <v>€</v>
      </c>
      <c r="L65" s="152">
        <f>+Productivity!C67</f>
        <v>10</v>
      </c>
      <c r="M65" s="171" t="str">
        <f t="shared" ref="M65:M69" si="11">+K65</f>
        <v>€</v>
      </c>
      <c r="N65" s="152">
        <f>+Reactor!C67</f>
        <v>10</v>
      </c>
    </row>
    <row r="66" spans="1:922" s="174" customFormat="1" x14ac:dyDescent="0.35">
      <c r="A66"/>
      <c r="B66"/>
      <c r="C66"/>
      <c r="D66" s="2" t="s">
        <v>56</v>
      </c>
      <c r="E66" s="171" t="s">
        <v>40</v>
      </c>
      <c r="F66" s="152">
        <f>+Fertilizer!C68</f>
        <v>39351.478429937677</v>
      </c>
      <c r="G66" s="171" t="s">
        <v>40</v>
      </c>
      <c r="H66" s="152">
        <f>+Manure!C68</f>
        <v>39351.478429937677</v>
      </c>
      <c r="I66" s="171" t="str">
        <f t="shared" si="3"/>
        <v>€</v>
      </c>
      <c r="J66" s="152">
        <f>+Manpower!C68</f>
        <v>39351.478429937677</v>
      </c>
      <c r="K66" s="171" t="str">
        <f t="shared" si="10"/>
        <v>€</v>
      </c>
      <c r="L66" s="152">
        <f>+Productivity!C68</f>
        <v>39351.478429937677</v>
      </c>
      <c r="M66" s="171" t="str">
        <f t="shared" si="11"/>
        <v>€</v>
      </c>
      <c r="N66" s="152">
        <f>+Reactor!C68</f>
        <v>34287.003810073526</v>
      </c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  <c r="FE66"/>
      <c r="FF66"/>
      <c r="FG66"/>
      <c r="FH66"/>
      <c r="FI66"/>
      <c r="FJ66"/>
      <c r="FK66"/>
      <c r="FL66"/>
      <c r="FM66"/>
      <c r="FN66"/>
      <c r="FO66"/>
      <c r="FP66"/>
      <c r="FQ66"/>
      <c r="FR66"/>
      <c r="FS66"/>
      <c r="FT66"/>
      <c r="FU66"/>
      <c r="FV66"/>
      <c r="FW66"/>
      <c r="FX66"/>
      <c r="FY66"/>
      <c r="FZ66"/>
      <c r="GA66"/>
      <c r="GB66"/>
      <c r="GC66"/>
      <c r="GD66"/>
      <c r="GE66"/>
      <c r="GF66"/>
      <c r="GG66"/>
      <c r="GH66"/>
      <c r="GI66"/>
      <c r="GJ66"/>
      <c r="GK66"/>
      <c r="GL66"/>
      <c r="GM66"/>
      <c r="GN66"/>
      <c r="GO66"/>
      <c r="GP66"/>
      <c r="GQ66"/>
      <c r="GR66"/>
      <c r="GS66"/>
      <c r="GT66"/>
      <c r="GU66"/>
      <c r="GV66"/>
      <c r="GW66"/>
      <c r="GX66"/>
      <c r="GY66"/>
      <c r="GZ66"/>
      <c r="HA66"/>
      <c r="HB66"/>
      <c r="HC66"/>
      <c r="HD66"/>
      <c r="HE66"/>
      <c r="HF66"/>
      <c r="HG66"/>
      <c r="HH66"/>
      <c r="HI66"/>
      <c r="HJ66"/>
      <c r="HK66"/>
      <c r="HL66"/>
      <c r="HM66"/>
      <c r="HN66"/>
      <c r="HO66"/>
      <c r="HP66"/>
      <c r="HQ66"/>
      <c r="HR66"/>
      <c r="HS66"/>
      <c r="HT66"/>
      <c r="HU66"/>
      <c r="HV66"/>
      <c r="HW66"/>
      <c r="HX66"/>
      <c r="HY66"/>
      <c r="HZ66"/>
      <c r="IA66"/>
      <c r="IB66"/>
      <c r="IC66"/>
      <c r="ID66"/>
      <c r="IE66"/>
      <c r="IF66"/>
      <c r="IG66"/>
      <c r="IH66"/>
      <c r="II66"/>
      <c r="IJ66"/>
      <c r="IK66"/>
      <c r="IL66"/>
      <c r="IM66"/>
      <c r="IN66"/>
      <c r="IO66"/>
      <c r="IP66"/>
      <c r="IQ66"/>
      <c r="IR66"/>
      <c r="IS66"/>
      <c r="IT66"/>
      <c r="IU66"/>
      <c r="IV66"/>
      <c r="IW66"/>
      <c r="IX66"/>
      <c r="IY66"/>
      <c r="IZ66"/>
      <c r="JA66"/>
      <c r="JB66"/>
      <c r="JC66"/>
      <c r="JD66"/>
      <c r="JE66"/>
      <c r="JF66"/>
      <c r="JG66"/>
      <c r="JH66"/>
      <c r="JI66"/>
      <c r="JJ66"/>
      <c r="JK66"/>
      <c r="JL66"/>
      <c r="JM66"/>
      <c r="JN66"/>
      <c r="JO66"/>
      <c r="JP66"/>
      <c r="JQ66"/>
      <c r="JR66"/>
      <c r="JS66"/>
      <c r="JT66"/>
      <c r="JU66"/>
      <c r="JV66"/>
      <c r="JW66"/>
      <c r="JX66"/>
      <c r="JY66"/>
      <c r="JZ66"/>
      <c r="KA66"/>
      <c r="KB66"/>
      <c r="KC66"/>
      <c r="KD66"/>
      <c r="KE66"/>
      <c r="KF66"/>
      <c r="KG66"/>
      <c r="KH66"/>
      <c r="KI66"/>
      <c r="KJ66"/>
      <c r="KK66"/>
      <c r="KL66"/>
      <c r="KM66"/>
      <c r="KN66"/>
      <c r="KO66"/>
      <c r="KP66"/>
      <c r="KQ66"/>
      <c r="KR66"/>
      <c r="KS66"/>
      <c r="KT66"/>
      <c r="KU66"/>
      <c r="KV66"/>
      <c r="KW66"/>
      <c r="KX66"/>
      <c r="KY66"/>
      <c r="KZ66"/>
      <c r="LA66"/>
      <c r="LB66"/>
      <c r="LC66"/>
      <c r="LD66"/>
      <c r="LE66"/>
      <c r="LF66"/>
      <c r="LG66"/>
      <c r="LH66"/>
      <c r="LI66"/>
      <c r="LJ66"/>
      <c r="LK66"/>
      <c r="LL66"/>
      <c r="LM66"/>
      <c r="LN66"/>
      <c r="LO66"/>
      <c r="LP66"/>
      <c r="LQ66"/>
      <c r="LR66"/>
      <c r="LS66"/>
      <c r="LT66"/>
      <c r="LU66"/>
      <c r="LV66"/>
      <c r="LW66"/>
      <c r="LX66"/>
      <c r="LY66"/>
      <c r="LZ66"/>
      <c r="MA66"/>
      <c r="MB66"/>
      <c r="MC66"/>
      <c r="MD66"/>
      <c r="ME66"/>
      <c r="MF66"/>
      <c r="MG66"/>
      <c r="MH66"/>
      <c r="MI66"/>
      <c r="MJ66"/>
      <c r="MK66"/>
      <c r="ML66"/>
      <c r="MM66"/>
      <c r="MN66"/>
      <c r="MO66"/>
      <c r="MP66"/>
      <c r="MQ66"/>
      <c r="MR66"/>
      <c r="MS66"/>
      <c r="MT66"/>
      <c r="MU66"/>
      <c r="MV66"/>
      <c r="MW66"/>
      <c r="MX66"/>
      <c r="MY66"/>
      <c r="MZ66"/>
      <c r="NA66"/>
      <c r="NB66"/>
      <c r="NC66"/>
      <c r="ND66"/>
      <c r="NE66"/>
      <c r="NF66"/>
      <c r="NG66"/>
      <c r="NH66"/>
      <c r="NI66"/>
      <c r="NJ66"/>
      <c r="NK66"/>
      <c r="NL66"/>
      <c r="NM66"/>
      <c r="NN66"/>
      <c r="NO66"/>
      <c r="NP66"/>
      <c r="NQ66"/>
      <c r="NR66"/>
      <c r="NS66"/>
      <c r="NT66"/>
      <c r="NU66"/>
      <c r="NV66"/>
      <c r="NW66"/>
      <c r="NX66"/>
      <c r="NY66"/>
      <c r="NZ66"/>
      <c r="OA66"/>
      <c r="OB66"/>
      <c r="OC66"/>
      <c r="OD66"/>
      <c r="OE66"/>
      <c r="OF66"/>
      <c r="OG66"/>
      <c r="OH66"/>
      <c r="OI66"/>
      <c r="OJ66"/>
      <c r="OK66"/>
      <c r="OL66"/>
      <c r="OM66"/>
      <c r="ON66"/>
      <c r="OO66"/>
      <c r="OP66"/>
      <c r="OQ66"/>
      <c r="OR66"/>
      <c r="OS66"/>
      <c r="OT66"/>
      <c r="OU66"/>
      <c r="OV66"/>
      <c r="OW66"/>
      <c r="OX66"/>
      <c r="OY66"/>
      <c r="OZ66"/>
      <c r="PA66"/>
      <c r="PB66"/>
      <c r="PC66"/>
      <c r="PD66"/>
      <c r="PE66"/>
      <c r="PF66"/>
      <c r="PG66"/>
      <c r="PH66"/>
      <c r="PI66"/>
      <c r="PJ66"/>
      <c r="PK66"/>
      <c r="PL66"/>
      <c r="PM66"/>
      <c r="PN66"/>
      <c r="PO66"/>
      <c r="PP66"/>
      <c r="PQ66"/>
      <c r="PR66"/>
      <c r="PS66"/>
      <c r="PT66"/>
      <c r="PU66"/>
      <c r="PV66"/>
      <c r="PW66"/>
      <c r="PX66"/>
      <c r="PY66"/>
      <c r="PZ66"/>
      <c r="QA66"/>
      <c r="QB66"/>
      <c r="QC66"/>
      <c r="QD66"/>
      <c r="QE66"/>
      <c r="QF66"/>
      <c r="QG66"/>
      <c r="QH66"/>
      <c r="QI66"/>
      <c r="QJ66"/>
      <c r="QK66"/>
      <c r="QL66"/>
      <c r="QM66"/>
      <c r="QN66"/>
      <c r="QO66"/>
      <c r="QP66"/>
      <c r="QQ66"/>
      <c r="QR66"/>
      <c r="QS66"/>
      <c r="QT66"/>
      <c r="QU66"/>
      <c r="QV66"/>
      <c r="QW66"/>
      <c r="QX66"/>
      <c r="QY66"/>
      <c r="QZ66"/>
      <c r="RA66"/>
      <c r="RB66"/>
      <c r="RC66"/>
      <c r="RD66"/>
      <c r="RE66"/>
      <c r="RF66"/>
      <c r="RG66"/>
      <c r="RH66"/>
      <c r="RI66"/>
      <c r="RJ66"/>
      <c r="RK66"/>
      <c r="RL66"/>
      <c r="RM66"/>
      <c r="RN66"/>
      <c r="RO66"/>
      <c r="RP66"/>
      <c r="RQ66"/>
      <c r="RR66"/>
      <c r="RS66"/>
      <c r="RT66"/>
      <c r="RU66"/>
      <c r="RV66"/>
      <c r="RW66"/>
      <c r="RX66"/>
      <c r="RY66"/>
      <c r="RZ66"/>
      <c r="SA66"/>
      <c r="SB66"/>
      <c r="SC66"/>
      <c r="SD66"/>
      <c r="SE66"/>
      <c r="SF66"/>
      <c r="SG66"/>
      <c r="SH66"/>
      <c r="SI66"/>
      <c r="SJ66"/>
      <c r="SK66"/>
      <c r="SL66"/>
      <c r="SM66"/>
      <c r="SN66"/>
      <c r="SO66"/>
      <c r="SP66"/>
      <c r="SQ66"/>
      <c r="SR66"/>
      <c r="SS66"/>
      <c r="ST66"/>
      <c r="SU66"/>
      <c r="SV66"/>
      <c r="SW66"/>
      <c r="SX66"/>
      <c r="SY66"/>
      <c r="SZ66"/>
      <c r="TA66"/>
      <c r="TB66"/>
      <c r="TC66"/>
      <c r="TD66"/>
      <c r="TE66"/>
      <c r="TF66"/>
      <c r="TG66"/>
      <c r="TH66"/>
      <c r="TI66"/>
      <c r="TJ66"/>
      <c r="TK66"/>
      <c r="TL66"/>
      <c r="TM66"/>
      <c r="TN66"/>
      <c r="TO66"/>
      <c r="TP66"/>
      <c r="TQ66"/>
      <c r="TR66"/>
      <c r="TS66"/>
      <c r="TT66"/>
      <c r="TU66"/>
      <c r="TV66"/>
      <c r="TW66"/>
      <c r="TX66"/>
      <c r="TY66"/>
      <c r="TZ66"/>
      <c r="UA66"/>
      <c r="UB66"/>
      <c r="UC66"/>
      <c r="UD66"/>
      <c r="UE66"/>
      <c r="UF66"/>
      <c r="UG66"/>
      <c r="UH66"/>
      <c r="UI66"/>
      <c r="UJ66"/>
      <c r="UK66"/>
      <c r="UL66"/>
      <c r="UM66"/>
      <c r="UN66"/>
      <c r="UO66"/>
      <c r="UP66"/>
      <c r="UQ66"/>
      <c r="UR66"/>
      <c r="US66"/>
      <c r="UT66"/>
      <c r="UU66"/>
      <c r="UV66"/>
      <c r="UW66"/>
      <c r="UX66"/>
      <c r="UY66"/>
      <c r="UZ66"/>
      <c r="VA66"/>
      <c r="VB66"/>
      <c r="VC66"/>
      <c r="VD66"/>
      <c r="VE66"/>
      <c r="VF66"/>
      <c r="VG66"/>
      <c r="VH66"/>
      <c r="VI66"/>
      <c r="VJ66"/>
      <c r="VK66"/>
      <c r="VL66"/>
      <c r="VM66"/>
      <c r="VN66"/>
      <c r="VO66"/>
      <c r="VP66"/>
      <c r="VQ66"/>
      <c r="VR66"/>
      <c r="VS66"/>
      <c r="VT66"/>
      <c r="VU66"/>
      <c r="VV66"/>
      <c r="VW66"/>
      <c r="VX66"/>
      <c r="VY66"/>
      <c r="VZ66"/>
      <c r="WA66"/>
      <c r="WB66"/>
      <c r="WC66"/>
      <c r="WD66"/>
      <c r="WE66"/>
      <c r="WF66"/>
      <c r="WG66"/>
      <c r="WH66"/>
      <c r="WI66"/>
      <c r="WJ66"/>
      <c r="WK66"/>
      <c r="WL66"/>
      <c r="WM66"/>
      <c r="WN66"/>
      <c r="WO66"/>
      <c r="WP66"/>
      <c r="WQ66"/>
      <c r="WR66"/>
      <c r="WS66"/>
      <c r="WT66"/>
      <c r="WU66"/>
      <c r="WV66"/>
      <c r="WW66"/>
      <c r="WX66"/>
      <c r="WY66"/>
      <c r="WZ66"/>
      <c r="XA66"/>
      <c r="XB66"/>
      <c r="XC66"/>
      <c r="XD66"/>
      <c r="XE66"/>
      <c r="XF66"/>
      <c r="XG66"/>
      <c r="XH66"/>
      <c r="XI66"/>
      <c r="XJ66"/>
      <c r="XK66"/>
      <c r="XL66"/>
      <c r="XM66"/>
      <c r="XN66"/>
      <c r="XO66"/>
      <c r="XP66"/>
      <c r="XQ66"/>
      <c r="XR66"/>
      <c r="XS66"/>
      <c r="XT66"/>
      <c r="XU66"/>
      <c r="XV66"/>
      <c r="XW66"/>
      <c r="XX66"/>
      <c r="XY66"/>
      <c r="XZ66"/>
      <c r="YA66"/>
      <c r="YB66"/>
      <c r="YC66"/>
      <c r="YD66"/>
      <c r="YE66"/>
      <c r="YF66"/>
      <c r="YG66"/>
      <c r="YH66"/>
      <c r="YI66"/>
      <c r="YJ66"/>
      <c r="YK66"/>
      <c r="YL66"/>
      <c r="YM66"/>
      <c r="YN66"/>
      <c r="YO66"/>
      <c r="YP66"/>
      <c r="YQ66"/>
      <c r="YR66"/>
      <c r="YS66"/>
      <c r="YT66"/>
      <c r="YU66"/>
      <c r="YV66"/>
      <c r="YW66"/>
      <c r="YX66"/>
      <c r="YY66"/>
      <c r="YZ66"/>
      <c r="ZA66"/>
      <c r="ZB66"/>
      <c r="ZC66"/>
      <c r="ZD66"/>
      <c r="ZE66"/>
      <c r="ZF66"/>
      <c r="ZG66"/>
      <c r="ZH66"/>
      <c r="ZI66"/>
      <c r="ZJ66"/>
      <c r="ZK66"/>
      <c r="ZL66"/>
      <c r="ZM66"/>
      <c r="ZN66"/>
      <c r="ZO66"/>
      <c r="ZP66"/>
      <c r="ZQ66"/>
      <c r="ZR66"/>
      <c r="ZS66"/>
      <c r="ZT66"/>
      <c r="ZU66"/>
      <c r="ZV66"/>
      <c r="ZW66"/>
      <c r="ZX66"/>
      <c r="ZY66"/>
      <c r="ZZ66"/>
      <c r="AAA66"/>
      <c r="AAB66"/>
      <c r="AAC66"/>
      <c r="AAD66"/>
      <c r="AAE66"/>
      <c r="AAF66"/>
      <c r="AAG66"/>
      <c r="AAH66"/>
      <c r="AAI66"/>
      <c r="AAJ66"/>
      <c r="AAK66"/>
      <c r="AAL66"/>
      <c r="AAM66"/>
      <c r="AAN66"/>
      <c r="AAO66"/>
      <c r="AAP66"/>
      <c r="AAQ66"/>
      <c r="AAR66"/>
      <c r="AAS66"/>
      <c r="AAT66"/>
      <c r="AAU66"/>
      <c r="AAV66"/>
      <c r="AAW66"/>
      <c r="AAX66"/>
      <c r="AAY66"/>
      <c r="AAZ66"/>
      <c r="ABA66"/>
      <c r="ABB66"/>
      <c r="ABC66"/>
      <c r="ABD66"/>
      <c r="ABE66"/>
      <c r="ABF66"/>
      <c r="ABG66"/>
      <c r="ABH66"/>
      <c r="ABI66"/>
      <c r="ABJ66"/>
      <c r="ABK66"/>
      <c r="ABL66"/>
      <c r="ABM66"/>
      <c r="ABN66"/>
      <c r="ABO66"/>
      <c r="ABP66"/>
      <c r="ABQ66"/>
      <c r="ABR66"/>
      <c r="ABS66"/>
      <c r="ABT66"/>
      <c r="ABU66"/>
      <c r="ABV66"/>
      <c r="ABW66"/>
      <c r="ABX66"/>
      <c r="ABY66"/>
      <c r="ABZ66"/>
      <c r="ACA66"/>
      <c r="ACB66"/>
      <c r="ACC66"/>
      <c r="ACD66"/>
      <c r="ACE66"/>
      <c r="ACF66"/>
      <c r="ACG66"/>
      <c r="ACH66"/>
      <c r="ACI66"/>
      <c r="ACJ66"/>
      <c r="ACK66"/>
      <c r="ACL66"/>
      <c r="ACM66"/>
      <c r="ACN66"/>
      <c r="ACO66"/>
      <c r="ACP66"/>
      <c r="ACQ66"/>
      <c r="ACR66"/>
      <c r="ACS66"/>
      <c r="ACT66"/>
      <c r="ACU66"/>
      <c r="ACV66"/>
      <c r="ACW66"/>
      <c r="ACX66"/>
      <c r="ACY66"/>
      <c r="ACZ66"/>
      <c r="ADA66"/>
      <c r="ADB66"/>
      <c r="ADC66"/>
      <c r="ADD66"/>
      <c r="ADE66"/>
      <c r="ADF66"/>
      <c r="ADG66"/>
      <c r="ADH66"/>
      <c r="ADI66"/>
      <c r="ADJ66"/>
      <c r="ADK66"/>
      <c r="ADL66"/>
      <c r="ADM66"/>
      <c r="ADN66"/>
      <c r="ADO66"/>
      <c r="ADP66"/>
      <c r="ADQ66"/>
      <c r="ADR66"/>
      <c r="ADS66"/>
      <c r="ADT66"/>
      <c r="ADU66"/>
      <c r="ADV66"/>
      <c r="ADW66"/>
      <c r="ADX66"/>
      <c r="ADY66"/>
      <c r="ADZ66"/>
      <c r="AEA66"/>
      <c r="AEB66"/>
      <c r="AEC66"/>
      <c r="AED66"/>
      <c r="AEE66"/>
      <c r="AEF66"/>
      <c r="AEG66"/>
      <c r="AEH66"/>
      <c r="AEI66"/>
      <c r="AEJ66"/>
      <c r="AEK66"/>
      <c r="AEL66"/>
      <c r="AEM66"/>
      <c r="AEN66"/>
      <c r="AEO66"/>
      <c r="AEP66"/>
      <c r="AEQ66"/>
      <c r="AER66"/>
      <c r="AES66"/>
      <c r="AET66"/>
      <c r="AEU66"/>
      <c r="AEV66"/>
      <c r="AEW66"/>
      <c r="AEX66"/>
      <c r="AEY66"/>
      <c r="AEZ66"/>
      <c r="AFA66"/>
      <c r="AFB66"/>
      <c r="AFC66"/>
      <c r="AFD66"/>
      <c r="AFE66"/>
      <c r="AFF66"/>
      <c r="AFG66"/>
      <c r="AFH66"/>
      <c r="AFI66"/>
      <c r="AFJ66"/>
      <c r="AFK66"/>
      <c r="AFL66"/>
      <c r="AFM66"/>
      <c r="AFN66"/>
      <c r="AFO66"/>
      <c r="AFP66"/>
      <c r="AFQ66"/>
      <c r="AFR66"/>
      <c r="AFS66"/>
      <c r="AFT66"/>
      <c r="AFU66"/>
      <c r="AFV66"/>
      <c r="AFW66"/>
      <c r="AFX66"/>
      <c r="AFY66"/>
      <c r="AFZ66"/>
      <c r="AGA66"/>
      <c r="AGB66"/>
      <c r="AGC66"/>
      <c r="AGD66"/>
      <c r="AGE66"/>
      <c r="AGF66"/>
      <c r="AGG66"/>
      <c r="AGH66"/>
      <c r="AGI66"/>
      <c r="AGJ66"/>
      <c r="AGK66"/>
      <c r="AGL66"/>
      <c r="AGM66"/>
      <c r="AGN66"/>
      <c r="AGO66"/>
      <c r="AGP66"/>
      <c r="AGQ66"/>
      <c r="AGR66"/>
      <c r="AGS66"/>
      <c r="AGT66"/>
      <c r="AGU66"/>
      <c r="AGV66"/>
      <c r="AGW66"/>
      <c r="AGX66"/>
      <c r="AGY66"/>
      <c r="AGZ66"/>
      <c r="AHA66"/>
      <c r="AHB66"/>
      <c r="AHC66"/>
      <c r="AHD66"/>
      <c r="AHE66"/>
      <c r="AHF66"/>
      <c r="AHG66"/>
      <c r="AHH66"/>
      <c r="AHI66"/>
      <c r="AHJ66"/>
      <c r="AHK66"/>
      <c r="AHL66"/>
      <c r="AHM66"/>
      <c r="AHN66"/>
      <c r="AHO66"/>
      <c r="AHP66"/>
      <c r="AHQ66"/>
      <c r="AHR66"/>
      <c r="AHS66"/>
      <c r="AHT66"/>
      <c r="AHU66"/>
      <c r="AHV66"/>
      <c r="AHW66"/>
      <c r="AHX66"/>
      <c r="AHY66"/>
      <c r="AHZ66"/>
      <c r="AIA66"/>
      <c r="AIB66"/>
      <c r="AIC66"/>
      <c r="AID66"/>
      <c r="AIE66"/>
      <c r="AIF66"/>
      <c r="AIG66"/>
      <c r="AIH66"/>
      <c r="AII66"/>
      <c r="AIJ66"/>
      <c r="AIK66"/>
      <c r="AIL66"/>
    </row>
    <row r="67" spans="1:922" x14ac:dyDescent="0.35">
      <c r="D67" s="2" t="s">
        <v>57</v>
      </c>
      <c r="E67" s="171" t="s">
        <v>40</v>
      </c>
      <c r="F67" s="152">
        <f>+Fertilizer!C69</f>
        <v>393.5147842993768</v>
      </c>
      <c r="G67" s="171" t="s">
        <v>40</v>
      </c>
      <c r="H67" s="152">
        <f>+Manure!C69</f>
        <v>393.5147842993768</v>
      </c>
      <c r="I67" s="171" t="str">
        <f t="shared" si="3"/>
        <v>€</v>
      </c>
      <c r="J67" s="152">
        <f>+Manpower!C69</f>
        <v>393.5147842993768</v>
      </c>
      <c r="K67" s="171" t="str">
        <f t="shared" si="10"/>
        <v>€</v>
      </c>
      <c r="L67" s="152">
        <f>+Productivity!C69</f>
        <v>393.5147842993768</v>
      </c>
      <c r="M67" s="171" t="str">
        <f t="shared" si="11"/>
        <v>€</v>
      </c>
      <c r="N67" s="152">
        <f>+Reactor!C69</f>
        <v>342.87003810073526</v>
      </c>
    </row>
    <row r="68" spans="1:922" x14ac:dyDescent="0.35">
      <c r="D68" s="2" t="s">
        <v>58</v>
      </c>
      <c r="E68" s="171" t="s">
        <v>40</v>
      </c>
      <c r="F68" s="152">
        <f>+Fertilizer!C70</f>
        <v>236.10887057962606</v>
      </c>
      <c r="G68" s="171" t="s">
        <v>40</v>
      </c>
      <c r="H68" s="152">
        <f>+Manure!C70</f>
        <v>236.10887057962606</v>
      </c>
      <c r="I68" s="171" t="str">
        <f t="shared" si="3"/>
        <v>€</v>
      </c>
      <c r="J68" s="152">
        <f>+Manpower!C70</f>
        <v>236.10887057962606</v>
      </c>
      <c r="K68" s="171" t="str">
        <f t="shared" si="10"/>
        <v>€</v>
      </c>
      <c r="L68" s="152">
        <f>+Productivity!C70</f>
        <v>236.10887057962606</v>
      </c>
      <c r="M68" s="171" t="str">
        <f t="shared" si="11"/>
        <v>€</v>
      </c>
      <c r="N68" s="152">
        <f>+Reactor!C70</f>
        <v>205.72202286044117</v>
      </c>
    </row>
    <row r="69" spans="1:922" x14ac:dyDescent="0.35">
      <c r="D69" s="2" t="s">
        <v>59</v>
      </c>
      <c r="E69" s="171" t="s">
        <v>40</v>
      </c>
      <c r="F69" s="152">
        <f>+Fertilizer!C71</f>
        <v>6393.8930445609922</v>
      </c>
      <c r="G69" s="171" t="s">
        <v>40</v>
      </c>
      <c r="H69" s="152">
        <f>+Manure!C71</f>
        <v>6393.8930445609922</v>
      </c>
      <c r="I69" s="171" t="str">
        <f t="shared" si="3"/>
        <v>€</v>
      </c>
      <c r="J69" s="152">
        <f>+Manpower!C71</f>
        <v>6393.8930445609922</v>
      </c>
      <c r="K69" s="171" t="str">
        <f t="shared" si="10"/>
        <v>€</v>
      </c>
      <c r="L69" s="152">
        <f>+Productivity!C71</f>
        <v>6393.8930445609922</v>
      </c>
      <c r="M69" s="171" t="str">
        <f t="shared" si="11"/>
        <v>€</v>
      </c>
      <c r="N69" s="152">
        <f>+Reactor!C71</f>
        <v>5571.0088648990195</v>
      </c>
    </row>
    <row r="70" spans="1:922" x14ac:dyDescent="0.35">
      <c r="E70" s="171"/>
      <c r="F70" s="152">
        <f>+Fertilizer!C72</f>
        <v>0</v>
      </c>
      <c r="G70" s="171"/>
      <c r="H70" s="152">
        <f>+Manure!C72</f>
        <v>0</v>
      </c>
      <c r="I70" s="171"/>
      <c r="J70" s="152">
        <f>+Manpower!C72</f>
        <v>0</v>
      </c>
      <c r="K70" s="171"/>
      <c r="L70" s="152">
        <f>+Productivity!C72</f>
        <v>0</v>
      </c>
      <c r="M70" s="171"/>
      <c r="N70" s="152">
        <f>+Reactor!C72</f>
        <v>0</v>
      </c>
    </row>
    <row r="71" spans="1:922" x14ac:dyDescent="0.35">
      <c r="D71" s="165" t="s">
        <v>61</v>
      </c>
      <c r="E71" s="175"/>
      <c r="F71" s="153">
        <f>+Fertilizer!C73</f>
        <v>0</v>
      </c>
      <c r="G71" s="175"/>
      <c r="H71" s="153">
        <f>+Manure!C73</f>
        <v>0</v>
      </c>
      <c r="I71" s="175"/>
      <c r="J71" s="153">
        <f>+Manpower!C73</f>
        <v>0</v>
      </c>
      <c r="K71" s="175"/>
      <c r="L71" s="153">
        <f>+Productivity!C73</f>
        <v>0</v>
      </c>
      <c r="M71" s="175"/>
      <c r="N71" s="153">
        <f>+Reactor!C73</f>
        <v>0</v>
      </c>
    </row>
    <row r="72" spans="1:922" x14ac:dyDescent="0.35">
      <c r="D72" s="2" t="s">
        <v>62</v>
      </c>
      <c r="E72" s="171"/>
      <c r="F72" s="152">
        <f>+Fertilizer!C74</f>
        <v>0</v>
      </c>
      <c r="G72" s="171"/>
      <c r="H72" s="152">
        <f>+Manure!C74</f>
        <v>0</v>
      </c>
      <c r="I72" s="171"/>
      <c r="J72" s="152">
        <f>+Manpower!C74</f>
        <v>0</v>
      </c>
      <c r="K72" s="171"/>
      <c r="L72" s="152">
        <f>+Productivity!C74</f>
        <v>0</v>
      </c>
      <c r="M72" s="171"/>
      <c r="N72" s="152">
        <f>+Reactor!C74</f>
        <v>0</v>
      </c>
    </row>
    <row r="73" spans="1:922" s="174" customFormat="1" x14ac:dyDescent="0.35">
      <c r="A73"/>
      <c r="B73"/>
      <c r="C73"/>
      <c r="D73" s="181" t="s">
        <v>151</v>
      </c>
      <c r="E73" s="154" t="s">
        <v>40</v>
      </c>
      <c r="F73" s="180">
        <f>+Fertilizer!C75</f>
        <v>21900</v>
      </c>
      <c r="G73" s="154" t="s">
        <v>40</v>
      </c>
      <c r="H73" s="180">
        <f>+Manure!C75</f>
        <v>0</v>
      </c>
      <c r="I73" s="154" t="str">
        <f t="shared" si="3"/>
        <v>€</v>
      </c>
      <c r="J73" s="180">
        <f>+Manpower!C75</f>
        <v>0</v>
      </c>
      <c r="K73" s="154" t="str">
        <f t="shared" ref="K73:K75" si="12">+I73</f>
        <v>€</v>
      </c>
      <c r="L73" s="180">
        <f>+Productivity!C75</f>
        <v>0</v>
      </c>
      <c r="M73" s="154" t="str">
        <f t="shared" ref="M73:M75" si="13">+K73</f>
        <v>€</v>
      </c>
      <c r="N73" s="180">
        <f>+Reactor!C75</f>
        <v>0</v>
      </c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  <c r="EO73"/>
      <c r="EP73"/>
      <c r="EQ73"/>
      <c r="ER73"/>
      <c r="ES73"/>
      <c r="ET73"/>
      <c r="EU73"/>
      <c r="EV73"/>
      <c r="EW73"/>
      <c r="EX73"/>
      <c r="EY73"/>
      <c r="EZ73"/>
      <c r="FA73"/>
      <c r="FB73"/>
      <c r="FC73"/>
      <c r="FD73"/>
      <c r="FE73"/>
      <c r="FF73"/>
      <c r="FG73"/>
      <c r="FH73"/>
      <c r="FI73"/>
      <c r="FJ73"/>
      <c r="FK73"/>
      <c r="FL73"/>
      <c r="FM73"/>
      <c r="FN73"/>
      <c r="FO73"/>
      <c r="FP73"/>
      <c r="FQ73"/>
      <c r="FR73"/>
      <c r="FS73"/>
      <c r="FT73"/>
      <c r="FU73"/>
      <c r="FV73"/>
      <c r="FW73"/>
      <c r="FX73"/>
      <c r="FY73"/>
      <c r="FZ73"/>
      <c r="GA73"/>
      <c r="GB73"/>
      <c r="GC73"/>
      <c r="GD73"/>
      <c r="GE73"/>
      <c r="GF73"/>
      <c r="GG73"/>
      <c r="GH73"/>
      <c r="GI73"/>
      <c r="GJ73"/>
      <c r="GK73"/>
      <c r="GL73"/>
      <c r="GM73"/>
      <c r="GN73"/>
      <c r="GO73"/>
      <c r="GP73"/>
      <c r="GQ73"/>
      <c r="GR73"/>
      <c r="GS73"/>
      <c r="GT73"/>
      <c r="GU73"/>
      <c r="GV73"/>
      <c r="GW73"/>
      <c r="GX73"/>
      <c r="GY73"/>
      <c r="GZ73"/>
      <c r="HA73"/>
      <c r="HB73"/>
      <c r="HC73"/>
      <c r="HD73"/>
      <c r="HE73"/>
      <c r="HF73"/>
      <c r="HG73"/>
      <c r="HH73"/>
      <c r="HI73"/>
      <c r="HJ73"/>
      <c r="HK73"/>
      <c r="HL73"/>
      <c r="HM73"/>
      <c r="HN73"/>
      <c r="HO73"/>
      <c r="HP73"/>
      <c r="HQ73"/>
      <c r="HR73"/>
      <c r="HS73"/>
      <c r="HT73"/>
      <c r="HU73"/>
      <c r="HV73"/>
      <c r="HW73"/>
      <c r="HX73"/>
      <c r="HY73"/>
      <c r="HZ73"/>
      <c r="IA73"/>
      <c r="IB73"/>
      <c r="IC73"/>
      <c r="ID73"/>
      <c r="IE73"/>
      <c r="IF73"/>
      <c r="IG73"/>
      <c r="IH73"/>
      <c r="II73"/>
      <c r="IJ73"/>
      <c r="IK73"/>
      <c r="IL73"/>
      <c r="IM73"/>
      <c r="IN73"/>
      <c r="IO73"/>
      <c r="IP73"/>
      <c r="IQ73"/>
      <c r="IR73"/>
      <c r="IS73"/>
      <c r="IT73"/>
      <c r="IU73"/>
      <c r="IV73"/>
      <c r="IW73"/>
      <c r="IX73"/>
      <c r="IY73"/>
      <c r="IZ73"/>
      <c r="JA73"/>
      <c r="JB73"/>
      <c r="JC73"/>
      <c r="JD73"/>
      <c r="JE73"/>
      <c r="JF73"/>
      <c r="JG73"/>
      <c r="JH73"/>
      <c r="JI73"/>
      <c r="JJ73"/>
      <c r="JK73"/>
      <c r="JL73"/>
      <c r="JM73"/>
      <c r="JN73"/>
      <c r="JO73"/>
      <c r="JP73"/>
      <c r="JQ73"/>
      <c r="JR73"/>
      <c r="JS73"/>
      <c r="JT73"/>
      <c r="JU73"/>
      <c r="JV73"/>
      <c r="JW73"/>
      <c r="JX73"/>
      <c r="JY73"/>
      <c r="JZ73"/>
      <c r="KA73"/>
      <c r="KB73"/>
      <c r="KC73"/>
      <c r="KD73"/>
      <c r="KE73"/>
      <c r="KF73"/>
      <c r="KG73"/>
      <c r="KH73"/>
      <c r="KI73"/>
      <c r="KJ73"/>
      <c r="KK73"/>
      <c r="KL73"/>
      <c r="KM73"/>
      <c r="KN73"/>
      <c r="KO73"/>
      <c r="KP73"/>
      <c r="KQ73"/>
      <c r="KR73"/>
      <c r="KS73"/>
      <c r="KT73"/>
      <c r="KU73"/>
      <c r="KV73"/>
      <c r="KW73"/>
      <c r="KX73"/>
      <c r="KY73"/>
      <c r="KZ73"/>
      <c r="LA73"/>
      <c r="LB73"/>
      <c r="LC73"/>
      <c r="LD73"/>
      <c r="LE73"/>
      <c r="LF73"/>
      <c r="LG73"/>
      <c r="LH73"/>
      <c r="LI73"/>
      <c r="LJ73"/>
      <c r="LK73"/>
      <c r="LL73"/>
      <c r="LM73"/>
      <c r="LN73"/>
      <c r="LO73"/>
      <c r="LP73"/>
      <c r="LQ73"/>
      <c r="LR73"/>
      <c r="LS73"/>
      <c r="LT73"/>
      <c r="LU73"/>
      <c r="LV73"/>
      <c r="LW73"/>
      <c r="LX73"/>
      <c r="LY73"/>
      <c r="LZ73"/>
      <c r="MA73"/>
      <c r="MB73"/>
      <c r="MC73"/>
      <c r="MD73"/>
      <c r="ME73"/>
      <c r="MF73"/>
      <c r="MG73"/>
      <c r="MH73"/>
      <c r="MI73"/>
      <c r="MJ73"/>
      <c r="MK73"/>
      <c r="ML73"/>
      <c r="MM73"/>
      <c r="MN73"/>
      <c r="MO73"/>
      <c r="MP73"/>
      <c r="MQ73"/>
      <c r="MR73"/>
      <c r="MS73"/>
      <c r="MT73"/>
      <c r="MU73"/>
      <c r="MV73"/>
      <c r="MW73"/>
      <c r="MX73"/>
      <c r="MY73"/>
      <c r="MZ73"/>
      <c r="NA73"/>
      <c r="NB73"/>
      <c r="NC73"/>
      <c r="ND73"/>
      <c r="NE73"/>
      <c r="NF73"/>
      <c r="NG73"/>
      <c r="NH73"/>
      <c r="NI73"/>
      <c r="NJ73"/>
      <c r="NK73"/>
      <c r="NL73"/>
      <c r="NM73"/>
      <c r="NN73"/>
      <c r="NO73"/>
      <c r="NP73"/>
      <c r="NQ73"/>
      <c r="NR73"/>
      <c r="NS73"/>
      <c r="NT73"/>
      <c r="NU73"/>
      <c r="NV73"/>
      <c r="NW73"/>
      <c r="NX73"/>
      <c r="NY73"/>
      <c r="NZ73"/>
      <c r="OA73"/>
      <c r="OB73"/>
      <c r="OC73"/>
      <c r="OD73"/>
      <c r="OE73"/>
      <c r="OF73"/>
      <c r="OG73"/>
      <c r="OH73"/>
      <c r="OI73"/>
      <c r="OJ73"/>
      <c r="OK73"/>
      <c r="OL73"/>
      <c r="OM73"/>
      <c r="ON73"/>
      <c r="OO73"/>
      <c r="OP73"/>
      <c r="OQ73"/>
      <c r="OR73"/>
      <c r="OS73"/>
      <c r="OT73"/>
      <c r="OU73"/>
      <c r="OV73"/>
      <c r="OW73"/>
      <c r="OX73"/>
      <c r="OY73"/>
      <c r="OZ73"/>
      <c r="PA73"/>
      <c r="PB73"/>
      <c r="PC73"/>
      <c r="PD73"/>
      <c r="PE73"/>
      <c r="PF73"/>
      <c r="PG73"/>
      <c r="PH73"/>
      <c r="PI73"/>
      <c r="PJ73"/>
      <c r="PK73"/>
      <c r="PL73"/>
      <c r="PM73"/>
      <c r="PN73"/>
      <c r="PO73"/>
      <c r="PP73"/>
      <c r="PQ73"/>
      <c r="PR73"/>
      <c r="PS73"/>
      <c r="PT73"/>
      <c r="PU73"/>
      <c r="PV73"/>
      <c r="PW73"/>
      <c r="PX73"/>
      <c r="PY73"/>
      <c r="PZ73"/>
      <c r="QA73"/>
      <c r="QB73"/>
      <c r="QC73"/>
      <c r="QD73"/>
      <c r="QE73"/>
      <c r="QF73"/>
      <c r="QG73"/>
      <c r="QH73"/>
      <c r="QI73"/>
      <c r="QJ73"/>
      <c r="QK73"/>
      <c r="QL73"/>
      <c r="QM73"/>
      <c r="QN73"/>
      <c r="QO73"/>
      <c r="QP73"/>
      <c r="QQ73"/>
      <c r="QR73"/>
      <c r="QS73"/>
      <c r="QT73"/>
      <c r="QU73"/>
      <c r="QV73"/>
      <c r="QW73"/>
      <c r="QX73"/>
      <c r="QY73"/>
      <c r="QZ73"/>
      <c r="RA73"/>
      <c r="RB73"/>
      <c r="RC73"/>
      <c r="RD73"/>
      <c r="RE73"/>
      <c r="RF73"/>
      <c r="RG73"/>
      <c r="RH73"/>
      <c r="RI73"/>
      <c r="RJ73"/>
      <c r="RK73"/>
      <c r="RL73"/>
      <c r="RM73"/>
      <c r="RN73"/>
      <c r="RO73"/>
      <c r="RP73"/>
      <c r="RQ73"/>
      <c r="RR73"/>
      <c r="RS73"/>
      <c r="RT73"/>
      <c r="RU73"/>
      <c r="RV73"/>
      <c r="RW73"/>
      <c r="RX73"/>
      <c r="RY73"/>
      <c r="RZ73"/>
      <c r="SA73"/>
      <c r="SB73"/>
      <c r="SC73"/>
      <c r="SD73"/>
      <c r="SE73"/>
      <c r="SF73"/>
      <c r="SG73"/>
      <c r="SH73"/>
      <c r="SI73"/>
      <c r="SJ73"/>
      <c r="SK73"/>
      <c r="SL73"/>
      <c r="SM73"/>
      <c r="SN73"/>
      <c r="SO73"/>
      <c r="SP73"/>
      <c r="SQ73"/>
      <c r="SR73"/>
      <c r="SS73"/>
      <c r="ST73"/>
      <c r="SU73"/>
      <c r="SV73"/>
      <c r="SW73"/>
      <c r="SX73"/>
      <c r="SY73"/>
      <c r="SZ73"/>
      <c r="TA73"/>
      <c r="TB73"/>
      <c r="TC73"/>
      <c r="TD73"/>
      <c r="TE73"/>
      <c r="TF73"/>
      <c r="TG73"/>
      <c r="TH73"/>
      <c r="TI73"/>
      <c r="TJ73"/>
      <c r="TK73"/>
      <c r="TL73"/>
      <c r="TM73"/>
      <c r="TN73"/>
      <c r="TO73"/>
      <c r="TP73"/>
      <c r="TQ73"/>
      <c r="TR73"/>
      <c r="TS73"/>
      <c r="TT73"/>
      <c r="TU73"/>
      <c r="TV73"/>
      <c r="TW73"/>
      <c r="TX73"/>
      <c r="TY73"/>
      <c r="TZ73"/>
      <c r="UA73"/>
      <c r="UB73"/>
      <c r="UC73"/>
      <c r="UD73"/>
      <c r="UE73"/>
      <c r="UF73"/>
      <c r="UG73"/>
      <c r="UH73"/>
      <c r="UI73"/>
      <c r="UJ73"/>
      <c r="UK73"/>
      <c r="UL73"/>
      <c r="UM73"/>
      <c r="UN73"/>
      <c r="UO73"/>
      <c r="UP73"/>
      <c r="UQ73"/>
      <c r="UR73"/>
      <c r="US73"/>
      <c r="UT73"/>
      <c r="UU73"/>
      <c r="UV73"/>
      <c r="UW73"/>
      <c r="UX73"/>
      <c r="UY73"/>
      <c r="UZ73"/>
      <c r="VA73"/>
      <c r="VB73"/>
      <c r="VC73"/>
      <c r="VD73"/>
      <c r="VE73"/>
      <c r="VF73"/>
      <c r="VG73"/>
      <c r="VH73"/>
      <c r="VI73"/>
      <c r="VJ73"/>
      <c r="VK73"/>
      <c r="VL73"/>
      <c r="VM73"/>
      <c r="VN73"/>
      <c r="VO73"/>
      <c r="VP73"/>
      <c r="VQ73"/>
      <c r="VR73"/>
      <c r="VS73"/>
      <c r="VT73"/>
      <c r="VU73"/>
      <c r="VV73"/>
      <c r="VW73"/>
      <c r="VX73"/>
      <c r="VY73"/>
      <c r="VZ73"/>
      <c r="WA73"/>
      <c r="WB73"/>
      <c r="WC73"/>
      <c r="WD73"/>
      <c r="WE73"/>
      <c r="WF73"/>
      <c r="WG73"/>
      <c r="WH73"/>
      <c r="WI73"/>
      <c r="WJ73"/>
      <c r="WK73"/>
      <c r="WL73"/>
      <c r="WM73"/>
      <c r="WN73"/>
      <c r="WO73"/>
      <c r="WP73"/>
      <c r="WQ73"/>
      <c r="WR73"/>
      <c r="WS73"/>
      <c r="WT73"/>
      <c r="WU73"/>
      <c r="WV73"/>
      <c r="WW73"/>
      <c r="WX73"/>
      <c r="WY73"/>
      <c r="WZ73"/>
      <c r="XA73"/>
      <c r="XB73"/>
      <c r="XC73"/>
      <c r="XD73"/>
      <c r="XE73"/>
      <c r="XF73"/>
      <c r="XG73"/>
      <c r="XH73"/>
      <c r="XI73"/>
      <c r="XJ73"/>
      <c r="XK73"/>
      <c r="XL73"/>
      <c r="XM73"/>
      <c r="XN73"/>
      <c r="XO73"/>
      <c r="XP73"/>
      <c r="XQ73"/>
      <c r="XR73"/>
      <c r="XS73"/>
      <c r="XT73"/>
      <c r="XU73"/>
      <c r="XV73"/>
      <c r="XW73"/>
      <c r="XX73"/>
      <c r="XY73"/>
      <c r="XZ73"/>
      <c r="YA73"/>
      <c r="YB73"/>
      <c r="YC73"/>
      <c r="YD73"/>
      <c r="YE73"/>
      <c r="YF73"/>
      <c r="YG73"/>
      <c r="YH73"/>
      <c r="YI73"/>
      <c r="YJ73"/>
      <c r="YK73"/>
      <c r="YL73"/>
      <c r="YM73"/>
      <c r="YN73"/>
      <c r="YO73"/>
      <c r="YP73"/>
      <c r="YQ73"/>
      <c r="YR73"/>
      <c r="YS73"/>
      <c r="YT73"/>
      <c r="YU73"/>
      <c r="YV73"/>
      <c r="YW73"/>
      <c r="YX73"/>
      <c r="YY73"/>
      <c r="YZ73"/>
      <c r="ZA73"/>
      <c r="ZB73"/>
      <c r="ZC73"/>
      <c r="ZD73"/>
      <c r="ZE73"/>
      <c r="ZF73"/>
      <c r="ZG73"/>
      <c r="ZH73"/>
      <c r="ZI73"/>
      <c r="ZJ73"/>
      <c r="ZK73"/>
      <c r="ZL73"/>
      <c r="ZM73"/>
      <c r="ZN73"/>
      <c r="ZO73"/>
      <c r="ZP73"/>
      <c r="ZQ73"/>
      <c r="ZR73"/>
      <c r="ZS73"/>
      <c r="ZT73"/>
      <c r="ZU73"/>
      <c r="ZV73"/>
      <c r="ZW73"/>
      <c r="ZX73"/>
      <c r="ZY73"/>
      <c r="ZZ73"/>
      <c r="AAA73"/>
      <c r="AAB73"/>
      <c r="AAC73"/>
      <c r="AAD73"/>
      <c r="AAE73"/>
      <c r="AAF73"/>
      <c r="AAG73"/>
      <c r="AAH73"/>
      <c r="AAI73"/>
      <c r="AAJ73"/>
      <c r="AAK73"/>
      <c r="AAL73"/>
      <c r="AAM73"/>
      <c r="AAN73"/>
      <c r="AAO73"/>
      <c r="AAP73"/>
      <c r="AAQ73"/>
      <c r="AAR73"/>
      <c r="AAS73"/>
      <c r="AAT73"/>
      <c r="AAU73"/>
      <c r="AAV73"/>
      <c r="AAW73"/>
      <c r="AAX73"/>
      <c r="AAY73"/>
      <c r="AAZ73"/>
      <c r="ABA73"/>
      <c r="ABB73"/>
      <c r="ABC73"/>
      <c r="ABD73"/>
      <c r="ABE73"/>
      <c r="ABF73"/>
      <c r="ABG73"/>
      <c r="ABH73"/>
      <c r="ABI73"/>
      <c r="ABJ73"/>
      <c r="ABK73"/>
      <c r="ABL73"/>
      <c r="ABM73"/>
      <c r="ABN73"/>
      <c r="ABO73"/>
      <c r="ABP73"/>
      <c r="ABQ73"/>
      <c r="ABR73"/>
      <c r="ABS73"/>
      <c r="ABT73"/>
      <c r="ABU73"/>
      <c r="ABV73"/>
      <c r="ABW73"/>
      <c r="ABX73"/>
      <c r="ABY73"/>
      <c r="ABZ73"/>
      <c r="ACA73"/>
      <c r="ACB73"/>
      <c r="ACC73"/>
      <c r="ACD73"/>
      <c r="ACE73"/>
      <c r="ACF73"/>
      <c r="ACG73"/>
      <c r="ACH73"/>
      <c r="ACI73"/>
      <c r="ACJ73"/>
      <c r="ACK73"/>
      <c r="ACL73"/>
      <c r="ACM73"/>
      <c r="ACN73"/>
      <c r="ACO73"/>
      <c r="ACP73"/>
      <c r="ACQ73"/>
      <c r="ACR73"/>
      <c r="ACS73"/>
      <c r="ACT73"/>
      <c r="ACU73"/>
      <c r="ACV73"/>
      <c r="ACW73"/>
      <c r="ACX73"/>
      <c r="ACY73"/>
      <c r="ACZ73"/>
      <c r="ADA73"/>
      <c r="ADB73"/>
      <c r="ADC73"/>
      <c r="ADD73"/>
      <c r="ADE73"/>
      <c r="ADF73"/>
      <c r="ADG73"/>
      <c r="ADH73"/>
      <c r="ADI73"/>
      <c r="ADJ73"/>
      <c r="ADK73"/>
      <c r="ADL73"/>
      <c r="ADM73"/>
      <c r="ADN73"/>
      <c r="ADO73"/>
      <c r="ADP73"/>
      <c r="ADQ73"/>
      <c r="ADR73"/>
      <c r="ADS73"/>
      <c r="ADT73"/>
      <c r="ADU73"/>
      <c r="ADV73"/>
      <c r="ADW73"/>
      <c r="ADX73"/>
      <c r="ADY73"/>
      <c r="ADZ73"/>
      <c r="AEA73"/>
      <c r="AEB73"/>
      <c r="AEC73"/>
      <c r="AED73"/>
      <c r="AEE73"/>
      <c r="AEF73"/>
      <c r="AEG73"/>
      <c r="AEH73"/>
      <c r="AEI73"/>
      <c r="AEJ73"/>
      <c r="AEK73"/>
      <c r="AEL73"/>
      <c r="AEM73"/>
      <c r="AEN73"/>
      <c r="AEO73"/>
      <c r="AEP73"/>
      <c r="AEQ73"/>
      <c r="AER73"/>
      <c r="AES73"/>
      <c r="AET73"/>
      <c r="AEU73"/>
      <c r="AEV73"/>
      <c r="AEW73"/>
      <c r="AEX73"/>
      <c r="AEY73"/>
      <c r="AEZ73"/>
      <c r="AFA73"/>
      <c r="AFB73"/>
      <c r="AFC73"/>
      <c r="AFD73"/>
      <c r="AFE73"/>
      <c r="AFF73"/>
      <c r="AFG73"/>
      <c r="AFH73"/>
      <c r="AFI73"/>
      <c r="AFJ73"/>
      <c r="AFK73"/>
      <c r="AFL73"/>
      <c r="AFM73"/>
      <c r="AFN73"/>
      <c r="AFO73"/>
      <c r="AFP73"/>
      <c r="AFQ73"/>
      <c r="AFR73"/>
      <c r="AFS73"/>
      <c r="AFT73"/>
      <c r="AFU73"/>
      <c r="AFV73"/>
      <c r="AFW73"/>
      <c r="AFX73"/>
      <c r="AFY73"/>
      <c r="AFZ73"/>
      <c r="AGA73"/>
      <c r="AGB73"/>
      <c r="AGC73"/>
      <c r="AGD73"/>
      <c r="AGE73"/>
      <c r="AGF73"/>
      <c r="AGG73"/>
      <c r="AGH73"/>
      <c r="AGI73"/>
      <c r="AGJ73"/>
      <c r="AGK73"/>
      <c r="AGL73"/>
      <c r="AGM73"/>
      <c r="AGN73"/>
      <c r="AGO73"/>
      <c r="AGP73"/>
      <c r="AGQ73"/>
      <c r="AGR73"/>
      <c r="AGS73"/>
      <c r="AGT73"/>
      <c r="AGU73"/>
      <c r="AGV73"/>
      <c r="AGW73"/>
      <c r="AGX73"/>
      <c r="AGY73"/>
      <c r="AGZ73"/>
      <c r="AHA73"/>
      <c r="AHB73"/>
      <c r="AHC73"/>
      <c r="AHD73"/>
      <c r="AHE73"/>
      <c r="AHF73"/>
      <c r="AHG73"/>
      <c r="AHH73"/>
      <c r="AHI73"/>
      <c r="AHJ73"/>
      <c r="AHK73"/>
      <c r="AHL73"/>
      <c r="AHM73"/>
      <c r="AHN73"/>
      <c r="AHO73"/>
      <c r="AHP73"/>
      <c r="AHQ73"/>
      <c r="AHR73"/>
      <c r="AHS73"/>
      <c r="AHT73"/>
      <c r="AHU73"/>
      <c r="AHV73"/>
      <c r="AHW73"/>
      <c r="AHX73"/>
      <c r="AHY73"/>
      <c r="AHZ73"/>
      <c r="AIA73"/>
      <c r="AIB73"/>
      <c r="AIC73"/>
      <c r="AID73"/>
      <c r="AIE73"/>
      <c r="AIF73"/>
      <c r="AIG73"/>
      <c r="AIH73"/>
      <c r="AII73"/>
      <c r="AIJ73"/>
      <c r="AIK73"/>
      <c r="AIL73"/>
    </row>
    <row r="74" spans="1:922" x14ac:dyDescent="0.35">
      <c r="D74" s="181" t="s">
        <v>65</v>
      </c>
      <c r="E74" s="154" t="s">
        <v>40</v>
      </c>
      <c r="F74" s="180">
        <f>+Fertilizer!C76</f>
        <v>0</v>
      </c>
      <c r="G74" s="154" t="s">
        <v>40</v>
      </c>
      <c r="H74" s="180">
        <f>+Manure!C76</f>
        <v>0</v>
      </c>
      <c r="I74" s="154" t="str">
        <f t="shared" si="3"/>
        <v>€</v>
      </c>
      <c r="J74" s="180">
        <f>+Manpower!C76</f>
        <v>0</v>
      </c>
      <c r="K74" s="154" t="str">
        <f t="shared" si="12"/>
        <v>€</v>
      </c>
      <c r="L74" s="180">
        <f>+Productivity!C76</f>
        <v>0</v>
      </c>
      <c r="M74" s="154" t="str">
        <f t="shared" si="13"/>
        <v>€</v>
      </c>
      <c r="N74" s="180">
        <f>+Reactor!C76</f>
        <v>0</v>
      </c>
    </row>
    <row r="75" spans="1:922" s="155" customFormat="1" x14ac:dyDescent="0.35">
      <c r="D75" s="181" t="s">
        <v>63</v>
      </c>
      <c r="E75" s="154" t="s">
        <v>40</v>
      </c>
      <c r="F75" s="180">
        <f>+Fertilizer!C77</f>
        <v>14600</v>
      </c>
      <c r="G75" s="154" t="s">
        <v>40</v>
      </c>
      <c r="H75" s="180">
        <f>+Manure!C77</f>
        <v>7300</v>
      </c>
      <c r="I75" s="154" t="str">
        <f t="shared" si="3"/>
        <v>€</v>
      </c>
      <c r="J75" s="180">
        <f>+Manpower!C77</f>
        <v>7300</v>
      </c>
      <c r="K75" s="154" t="str">
        <f t="shared" si="12"/>
        <v>€</v>
      </c>
      <c r="L75" s="180">
        <f>+Productivity!C77</f>
        <v>10950</v>
      </c>
      <c r="M75" s="154" t="str">
        <f t="shared" si="13"/>
        <v>€</v>
      </c>
      <c r="N75" s="180">
        <f>+Reactor!C77</f>
        <v>10950</v>
      </c>
    </row>
    <row r="76" spans="1:922" s="155" customFormat="1" x14ac:dyDescent="0.35">
      <c r="D76" s="181" t="s">
        <v>64</v>
      </c>
      <c r="E76" s="154"/>
      <c r="F76" s="180">
        <f>+Fertilizer!C78</f>
        <v>0</v>
      </c>
      <c r="G76" s="154"/>
      <c r="H76" s="180">
        <f>+Manure!C78</f>
        <v>0</v>
      </c>
      <c r="I76" s="154"/>
      <c r="J76" s="180">
        <f>+Manpower!C78</f>
        <v>0</v>
      </c>
      <c r="K76" s="154"/>
      <c r="L76" s="180">
        <f>+Productivity!C78</f>
        <v>0</v>
      </c>
      <c r="M76" s="154"/>
      <c r="N76" s="180">
        <f>+Reactor!C78</f>
        <v>0</v>
      </c>
    </row>
    <row r="77" spans="1:922" s="155" customFormat="1" x14ac:dyDescent="0.35">
      <c r="D77" s="181" t="s">
        <v>65</v>
      </c>
      <c r="E77" s="154" t="s">
        <v>40</v>
      </c>
      <c r="F77" s="180">
        <f>+Fertilizer!C79</f>
        <v>0</v>
      </c>
      <c r="G77" s="154" t="s">
        <v>40</v>
      </c>
      <c r="H77" s="180">
        <f>+Manure!C79</f>
        <v>0</v>
      </c>
      <c r="I77" s="154" t="str">
        <f t="shared" si="3"/>
        <v>€</v>
      </c>
      <c r="J77" s="180">
        <f>+Manpower!C79</f>
        <v>0</v>
      </c>
      <c r="K77" s="154" t="str">
        <f t="shared" ref="K77:K79" si="14">+I77</f>
        <v>€</v>
      </c>
      <c r="L77" s="180">
        <f>+Productivity!C79</f>
        <v>0</v>
      </c>
      <c r="M77" s="154" t="str">
        <f t="shared" ref="M77:M79" si="15">+K77</f>
        <v>€</v>
      </c>
      <c r="N77" s="180">
        <f>+Reactor!C79</f>
        <v>0</v>
      </c>
    </row>
    <row r="78" spans="1:922" s="155" customFormat="1" x14ac:dyDescent="0.35">
      <c r="D78" s="181" t="s">
        <v>156</v>
      </c>
      <c r="E78" s="154" t="s">
        <v>40</v>
      </c>
      <c r="F78" s="180">
        <f>+Fertilizer!C80</f>
        <v>35040</v>
      </c>
      <c r="G78" s="154" t="s">
        <v>40</v>
      </c>
      <c r="H78" s="180">
        <f>+Manure!C80</f>
        <v>35040</v>
      </c>
      <c r="I78" s="154" t="str">
        <f t="shared" si="3"/>
        <v>€</v>
      </c>
      <c r="J78" s="180">
        <f>+Manpower!C80</f>
        <v>35040</v>
      </c>
      <c r="K78" s="154" t="str">
        <f t="shared" si="14"/>
        <v>€</v>
      </c>
      <c r="L78" s="180">
        <f>+Productivity!C80</f>
        <v>35040</v>
      </c>
      <c r="M78" s="154" t="str">
        <f t="shared" si="15"/>
        <v>€</v>
      </c>
      <c r="N78" s="180">
        <f>+Reactor!C80</f>
        <v>35040</v>
      </c>
    </row>
    <row r="79" spans="1:922" s="155" customFormat="1" x14ac:dyDescent="0.35">
      <c r="D79" s="181" t="s">
        <v>157</v>
      </c>
      <c r="E79" s="154" t="s">
        <v>40</v>
      </c>
      <c r="F79" s="180">
        <f>+Fertilizer!C81</f>
        <v>91.25</v>
      </c>
      <c r="G79" s="154" t="s">
        <v>40</v>
      </c>
      <c r="H79" s="180">
        <f>+Manure!C81</f>
        <v>91.25</v>
      </c>
      <c r="I79" s="154" t="str">
        <f t="shared" si="3"/>
        <v>€</v>
      </c>
      <c r="J79" s="180">
        <f>+Manpower!C81</f>
        <v>91.25</v>
      </c>
      <c r="K79" s="154" t="str">
        <f t="shared" si="14"/>
        <v>€</v>
      </c>
      <c r="L79" s="180">
        <f>+Productivity!C81</f>
        <v>91.25</v>
      </c>
      <c r="M79" s="154" t="str">
        <f t="shared" si="15"/>
        <v>€</v>
      </c>
      <c r="N79" s="180">
        <f>+Reactor!C81</f>
        <v>91.25</v>
      </c>
    </row>
    <row r="80" spans="1:922" s="155" customFormat="1" x14ac:dyDescent="0.35">
      <c r="D80" s="2" t="s">
        <v>66</v>
      </c>
      <c r="E80" s="171"/>
      <c r="F80" s="152">
        <f>+Fertilizer!C82</f>
        <v>0</v>
      </c>
      <c r="G80" s="171"/>
      <c r="H80" s="152">
        <f>+Manure!C82</f>
        <v>0</v>
      </c>
      <c r="I80" s="171"/>
      <c r="J80" s="152">
        <f>+Manpower!C82</f>
        <v>0</v>
      </c>
      <c r="K80" s="171"/>
      <c r="L80" s="152">
        <f>+Productivity!C82</f>
        <v>0</v>
      </c>
      <c r="M80" s="171"/>
      <c r="N80" s="152">
        <f>+Reactor!C82</f>
        <v>0</v>
      </c>
    </row>
    <row r="81" spans="1:922" s="155" customFormat="1" x14ac:dyDescent="0.35">
      <c r="D81" s="2" t="s">
        <v>67</v>
      </c>
      <c r="E81" s="171" t="s">
        <v>40</v>
      </c>
      <c r="F81" s="152">
        <f>+Fertilizer!C83</f>
        <v>30000</v>
      </c>
      <c r="G81" s="171" t="s">
        <v>40</v>
      </c>
      <c r="H81" s="152">
        <f>+Manure!C83</f>
        <v>30000</v>
      </c>
      <c r="I81" s="171" t="str">
        <f t="shared" si="3"/>
        <v>€</v>
      </c>
      <c r="J81" s="152">
        <f>+Manpower!C83</f>
        <v>15000</v>
      </c>
      <c r="K81" s="171" t="str">
        <f t="shared" ref="K81:K96" si="16">+I81</f>
        <v>€</v>
      </c>
      <c r="L81" s="152">
        <f>+Productivity!C83</f>
        <v>15000</v>
      </c>
      <c r="M81" s="171" t="str">
        <f t="shared" ref="M81:M96" si="17">+K81</f>
        <v>€</v>
      </c>
      <c r="N81" s="152">
        <f>+Reactor!C83</f>
        <v>15000</v>
      </c>
    </row>
    <row r="82" spans="1:922" x14ac:dyDescent="0.35">
      <c r="D82" s="2" t="s">
        <v>68</v>
      </c>
      <c r="E82" s="171" t="s">
        <v>40</v>
      </c>
      <c r="F82" s="152">
        <f>+Fertilizer!C84</f>
        <v>6000</v>
      </c>
      <c r="G82" s="171" t="s">
        <v>40</v>
      </c>
      <c r="H82" s="152">
        <f>+Manure!C84</f>
        <v>6000</v>
      </c>
      <c r="I82" s="171" t="str">
        <f t="shared" si="3"/>
        <v>€</v>
      </c>
      <c r="J82" s="152">
        <f>+Manpower!C84</f>
        <v>6000</v>
      </c>
      <c r="K82" s="171" t="str">
        <f t="shared" si="16"/>
        <v>€</v>
      </c>
      <c r="L82" s="152">
        <f>+Productivity!C84</f>
        <v>6000</v>
      </c>
      <c r="M82" s="171" t="str">
        <f t="shared" si="17"/>
        <v>€</v>
      </c>
      <c r="N82" s="152">
        <f>+Reactor!C84</f>
        <v>6000</v>
      </c>
    </row>
    <row r="83" spans="1:922" x14ac:dyDescent="0.35">
      <c r="D83" s="2" t="s">
        <v>69</v>
      </c>
      <c r="E83" s="171" t="s">
        <v>40</v>
      </c>
      <c r="F83" s="152">
        <f>+Fertilizer!C85</f>
        <v>9000</v>
      </c>
      <c r="G83" s="171" t="s">
        <v>40</v>
      </c>
      <c r="H83" s="152">
        <f>+Manure!C85</f>
        <v>9000</v>
      </c>
      <c r="I83" s="171" t="str">
        <f t="shared" si="3"/>
        <v>€</v>
      </c>
      <c r="J83" s="152">
        <f>+Manpower!C85</f>
        <v>5250</v>
      </c>
      <c r="K83" s="171" t="str">
        <f t="shared" si="16"/>
        <v>€</v>
      </c>
      <c r="L83" s="152">
        <f>+Productivity!C85</f>
        <v>5250</v>
      </c>
      <c r="M83" s="171" t="str">
        <f t="shared" si="17"/>
        <v>€</v>
      </c>
      <c r="N83" s="152">
        <f>+Reactor!C85</f>
        <v>5250</v>
      </c>
    </row>
    <row r="84" spans="1:922" x14ac:dyDescent="0.35">
      <c r="D84" s="2" t="s">
        <v>70</v>
      </c>
      <c r="E84" s="171" t="s">
        <v>40</v>
      </c>
      <c r="F84" s="152">
        <f>+Fertilizer!C86</f>
        <v>4882.8247885481514</v>
      </c>
      <c r="G84" s="171" t="s">
        <v>40</v>
      </c>
      <c r="H84" s="152">
        <f>+Manure!C86</f>
        <v>4882.8247885481514</v>
      </c>
      <c r="I84" s="171" t="str">
        <f t="shared" si="3"/>
        <v>€</v>
      </c>
      <c r="J84" s="152">
        <f>+Manpower!C86</f>
        <v>4882.8247885481514</v>
      </c>
      <c r="K84" s="171" t="str">
        <f t="shared" si="16"/>
        <v>€</v>
      </c>
      <c r="L84" s="152">
        <f>+Productivity!C86</f>
        <v>4882.8247885481514</v>
      </c>
      <c r="M84" s="171" t="str">
        <f t="shared" si="17"/>
        <v>€</v>
      </c>
      <c r="N84" s="152">
        <f>+Reactor!C86</f>
        <v>4254.4127643627398</v>
      </c>
    </row>
    <row r="85" spans="1:922" x14ac:dyDescent="0.35">
      <c r="D85" s="2" t="s">
        <v>71</v>
      </c>
      <c r="E85" s="171" t="s">
        <v>40</v>
      </c>
      <c r="F85" s="152">
        <f>+Fertilizer!C87</f>
        <v>146</v>
      </c>
      <c r="G85" s="171" t="s">
        <v>40</v>
      </c>
      <c r="H85" s="152">
        <f>+Manure!C87</f>
        <v>29.2</v>
      </c>
      <c r="I85" s="171" t="str">
        <f t="shared" si="3"/>
        <v>€</v>
      </c>
      <c r="J85" s="152">
        <f>+Manpower!C87</f>
        <v>29.2</v>
      </c>
      <c r="K85" s="171" t="str">
        <f t="shared" si="16"/>
        <v>€</v>
      </c>
      <c r="L85" s="152">
        <f>+Productivity!C87</f>
        <v>43.800000000000004</v>
      </c>
      <c r="M85" s="171" t="str">
        <f t="shared" si="17"/>
        <v>€</v>
      </c>
      <c r="N85" s="152">
        <f>+Reactor!C87</f>
        <v>43.800000000000004</v>
      </c>
    </row>
    <row r="86" spans="1:922" x14ac:dyDescent="0.35">
      <c r="D86" s="2" t="s">
        <v>72</v>
      </c>
      <c r="E86" s="171" t="s">
        <v>40</v>
      </c>
      <c r="F86" s="152">
        <f>+Fertilizer!C88</f>
        <v>22485.553633701486</v>
      </c>
      <c r="G86" s="171" t="s">
        <v>40</v>
      </c>
      <c r="H86" s="152">
        <f>+Manure!C88</f>
        <v>22485.553633701486</v>
      </c>
      <c r="I86" s="171" t="str">
        <f t="shared" si="3"/>
        <v>€</v>
      </c>
      <c r="J86" s="152">
        <f>+Manpower!C88</f>
        <v>14235.553633701484</v>
      </c>
      <c r="K86" s="171" t="str">
        <f t="shared" si="16"/>
        <v>€</v>
      </c>
      <c r="L86" s="152">
        <f>+Productivity!C88</f>
        <v>14235.553633701484</v>
      </c>
      <c r="M86" s="171" t="str">
        <f t="shared" si="17"/>
        <v>€</v>
      </c>
      <c r="N86" s="152">
        <f>+Reactor!C88</f>
        <v>13889.927020399507</v>
      </c>
    </row>
    <row r="87" spans="1:922" x14ac:dyDescent="0.35">
      <c r="D87" s="2" t="s">
        <v>73</v>
      </c>
      <c r="E87" s="171" t="s">
        <v>40</v>
      </c>
      <c r="F87" s="152">
        <f>+Fertilizer!C89</f>
        <v>12265.611966167706</v>
      </c>
      <c r="G87" s="171" t="s">
        <v>40</v>
      </c>
      <c r="H87" s="152">
        <f>+Manure!C89</f>
        <v>7574.9239661677047</v>
      </c>
      <c r="I87" s="171" t="str">
        <f t="shared" si="3"/>
        <v>€</v>
      </c>
      <c r="J87" s="152">
        <f>+Manpower!C89</f>
        <v>7574.9239661677047</v>
      </c>
      <c r="K87" s="171" t="str">
        <f t="shared" si="16"/>
        <v>€</v>
      </c>
      <c r="L87" s="152">
        <f>+Productivity!C89</f>
        <v>8161.259966167705</v>
      </c>
      <c r="M87" s="171" t="str">
        <f t="shared" si="17"/>
        <v>€</v>
      </c>
      <c r="N87" s="152">
        <f>+Reactor!C89</f>
        <v>8060.7140422980392</v>
      </c>
    </row>
    <row r="88" spans="1:922" x14ac:dyDescent="0.35">
      <c r="D88" s="2" t="s">
        <v>74</v>
      </c>
      <c r="E88" s="171" t="s">
        <v>40</v>
      </c>
      <c r="F88" s="152">
        <f>+Fertilizer!C90</f>
        <v>3581.5625</v>
      </c>
      <c r="G88" s="171" t="s">
        <v>40</v>
      </c>
      <c r="H88" s="152">
        <f>+Manure!C90</f>
        <v>2121.5625</v>
      </c>
      <c r="I88" s="171" t="str">
        <f t="shared" si="3"/>
        <v>€</v>
      </c>
      <c r="J88" s="152">
        <f>+Manpower!C90</f>
        <v>2121.5625</v>
      </c>
      <c r="K88" s="171" t="str">
        <f t="shared" si="16"/>
        <v>€</v>
      </c>
      <c r="L88" s="152">
        <f>+Productivity!C90</f>
        <v>2304.0625</v>
      </c>
      <c r="M88" s="171" t="str">
        <f t="shared" si="17"/>
        <v>€</v>
      </c>
      <c r="N88" s="152">
        <f>+Reactor!C90</f>
        <v>2304.0625</v>
      </c>
    </row>
    <row r="89" spans="1:922" ht="15" thickBot="1" x14ac:dyDescent="0.4">
      <c r="D89" s="2" t="s">
        <v>75</v>
      </c>
      <c r="E89" s="171" t="s">
        <v>40</v>
      </c>
      <c r="F89" s="152">
        <f>+Fertilizer!C91</f>
        <v>7207.2814211124823</v>
      </c>
      <c r="G89" s="171" t="s">
        <v>40</v>
      </c>
      <c r="H89" s="152">
        <f>+Manure!C91</f>
        <v>5741.4414211124822</v>
      </c>
      <c r="I89" s="171" t="str">
        <f t="shared" si="3"/>
        <v>€</v>
      </c>
      <c r="J89" s="152">
        <f>+Manpower!C91</f>
        <v>4391.4414211124822</v>
      </c>
      <c r="K89" s="171" t="str">
        <f t="shared" si="16"/>
        <v>€</v>
      </c>
      <c r="L89" s="152">
        <f>+Productivity!C91</f>
        <v>4574.6714211124818</v>
      </c>
      <c r="M89" s="171" t="str">
        <f t="shared" si="17"/>
        <v>€</v>
      </c>
      <c r="N89" s="152">
        <f>+Reactor!C91</f>
        <v>4525.9694892381121</v>
      </c>
    </row>
    <row r="90" spans="1:922" x14ac:dyDescent="0.35">
      <c r="D90" s="169" t="s">
        <v>76</v>
      </c>
      <c r="E90" s="177" t="s">
        <v>40</v>
      </c>
      <c r="F90" s="159">
        <f>+Fertilizer!C92</f>
        <v>36500</v>
      </c>
      <c r="G90" s="177" t="s">
        <v>40</v>
      </c>
      <c r="H90" s="159">
        <f>+Manure!C92</f>
        <v>7300</v>
      </c>
      <c r="I90" s="177" t="str">
        <f t="shared" si="3"/>
        <v>€</v>
      </c>
      <c r="J90" s="159">
        <f>+Manpower!C92</f>
        <v>7300</v>
      </c>
      <c r="K90" s="177" t="str">
        <f t="shared" si="16"/>
        <v>€</v>
      </c>
      <c r="L90" s="159">
        <f>+Productivity!C92</f>
        <v>10950</v>
      </c>
      <c r="M90" s="177" t="str">
        <f t="shared" si="17"/>
        <v>€</v>
      </c>
      <c r="N90" s="159">
        <f>+Reactor!C92</f>
        <v>10950</v>
      </c>
    </row>
    <row r="91" spans="1:922" x14ac:dyDescent="0.35">
      <c r="D91" s="170" t="s">
        <v>77</v>
      </c>
      <c r="E91" s="178" t="s">
        <v>40</v>
      </c>
      <c r="F91" s="161">
        <f>+Fertilizer!C93</f>
        <v>35131.25</v>
      </c>
      <c r="G91" s="178" t="s">
        <v>40</v>
      </c>
      <c r="H91" s="161">
        <f>+Manure!C93</f>
        <v>35131.25</v>
      </c>
      <c r="I91" s="178" t="str">
        <f t="shared" si="3"/>
        <v>€</v>
      </c>
      <c r="J91" s="161">
        <f>+Manpower!C93</f>
        <v>35131.25</v>
      </c>
      <c r="K91" s="178" t="str">
        <f t="shared" si="16"/>
        <v>€</v>
      </c>
      <c r="L91" s="161">
        <f>+Productivity!C93</f>
        <v>35131.25</v>
      </c>
      <c r="M91" s="178" t="str">
        <f t="shared" si="17"/>
        <v>€</v>
      </c>
      <c r="N91" s="161">
        <f>+Reactor!C93</f>
        <v>35131.25</v>
      </c>
    </row>
    <row r="92" spans="1:922" s="160" customFormat="1" x14ac:dyDescent="0.35">
      <c r="A92" s="155"/>
      <c r="B92" s="155"/>
      <c r="C92" s="155"/>
      <c r="D92" s="170" t="s">
        <v>78</v>
      </c>
      <c r="E92" s="178" t="s">
        <v>40</v>
      </c>
      <c r="F92" s="161">
        <f>+Fertilizer!C94</f>
        <v>95568.834309529819</v>
      </c>
      <c r="G92" s="178" t="s">
        <v>40</v>
      </c>
      <c r="H92" s="161">
        <f>+Manure!C94</f>
        <v>87835.506309529825</v>
      </c>
      <c r="I92" s="178" t="str">
        <f t="shared" ref="I92:I96" si="18">+E92</f>
        <v>€</v>
      </c>
      <c r="J92" s="161">
        <f>+Manpower!C94</f>
        <v>59485.506309529825</v>
      </c>
      <c r="K92" s="178" t="str">
        <f t="shared" si="16"/>
        <v>€</v>
      </c>
      <c r="L92" s="161">
        <f>+Productivity!C94</f>
        <v>60452.172309529822</v>
      </c>
      <c r="M92" s="178" t="str">
        <f t="shared" si="17"/>
        <v>€</v>
      </c>
      <c r="N92" s="161">
        <f>+Reactor!C94</f>
        <v>59328.885816298396</v>
      </c>
      <c r="O92" s="155"/>
      <c r="P92" s="155"/>
      <c r="Q92" s="155"/>
      <c r="R92" s="155"/>
      <c r="S92" s="155"/>
      <c r="T92" s="155"/>
      <c r="U92" s="155"/>
      <c r="V92" s="155"/>
      <c r="W92" s="155"/>
      <c r="X92" s="155"/>
      <c r="Y92" s="155"/>
      <c r="Z92" s="155"/>
      <c r="AA92" s="155"/>
      <c r="AB92" s="155"/>
      <c r="AC92" s="155"/>
      <c r="AD92" s="155"/>
      <c r="AE92" s="155"/>
      <c r="AF92" s="155"/>
      <c r="AG92" s="155"/>
      <c r="AH92" s="155"/>
      <c r="AI92" s="155"/>
      <c r="AJ92" s="155"/>
      <c r="AK92" s="155"/>
      <c r="AL92" s="155"/>
      <c r="AM92" s="155"/>
      <c r="AN92" s="155"/>
      <c r="AO92" s="155"/>
      <c r="AP92" s="155"/>
      <c r="AQ92" s="155"/>
      <c r="AR92" s="155"/>
      <c r="AS92" s="155"/>
      <c r="AT92" s="155"/>
      <c r="AU92" s="155"/>
      <c r="AV92" s="155"/>
      <c r="AW92" s="155"/>
      <c r="AX92" s="155"/>
      <c r="AY92" s="155"/>
      <c r="AZ92" s="155"/>
      <c r="BA92" s="155"/>
      <c r="BB92" s="155"/>
      <c r="BC92" s="155"/>
      <c r="BD92" s="155"/>
      <c r="BE92" s="155"/>
      <c r="BF92" s="155"/>
      <c r="BG92" s="155"/>
      <c r="BH92" s="155"/>
      <c r="BI92" s="155"/>
      <c r="BJ92" s="155"/>
      <c r="BK92" s="155"/>
      <c r="BL92" s="155"/>
      <c r="BM92" s="155"/>
      <c r="BN92" s="155"/>
      <c r="BO92" s="155"/>
      <c r="BP92" s="155"/>
      <c r="BQ92" s="155"/>
      <c r="BR92" s="155"/>
      <c r="BS92" s="155"/>
      <c r="BT92" s="155"/>
      <c r="BU92" s="155"/>
      <c r="BV92" s="155"/>
      <c r="BW92" s="155"/>
      <c r="BX92" s="155"/>
      <c r="BY92" s="155"/>
      <c r="BZ92" s="155"/>
      <c r="CA92" s="155"/>
      <c r="CB92" s="155"/>
      <c r="CC92" s="155"/>
      <c r="CD92" s="155"/>
      <c r="CE92" s="155"/>
      <c r="CF92" s="155"/>
      <c r="CG92" s="155"/>
      <c r="CH92" s="155"/>
      <c r="CI92" s="155"/>
      <c r="CJ92" s="155"/>
      <c r="CK92" s="155"/>
      <c r="CL92" s="155"/>
      <c r="CM92" s="155"/>
      <c r="CN92" s="155"/>
      <c r="CO92" s="155"/>
      <c r="CP92" s="155"/>
      <c r="CQ92" s="155"/>
      <c r="CR92" s="155"/>
      <c r="CS92" s="155"/>
      <c r="CT92" s="155"/>
      <c r="CU92" s="155"/>
      <c r="CV92" s="155"/>
      <c r="CW92" s="155"/>
      <c r="CX92" s="155"/>
      <c r="CY92" s="155"/>
      <c r="CZ92" s="155"/>
      <c r="DA92" s="155"/>
      <c r="DB92" s="155"/>
      <c r="DC92" s="155"/>
      <c r="DD92" s="155"/>
      <c r="DE92" s="155"/>
      <c r="DF92" s="155"/>
      <c r="DG92" s="155"/>
      <c r="DH92" s="155"/>
      <c r="DI92" s="155"/>
      <c r="DJ92" s="155"/>
      <c r="DK92" s="155"/>
      <c r="DL92" s="155"/>
      <c r="DM92" s="155"/>
      <c r="DN92" s="155"/>
      <c r="DO92" s="155"/>
      <c r="DP92" s="155"/>
      <c r="DQ92" s="155"/>
      <c r="DR92" s="155"/>
      <c r="DS92" s="155"/>
      <c r="DT92" s="155"/>
      <c r="DU92" s="155"/>
      <c r="DV92" s="155"/>
      <c r="DW92" s="155"/>
      <c r="DX92" s="155"/>
      <c r="DY92" s="155"/>
      <c r="DZ92" s="155"/>
      <c r="EA92" s="155"/>
      <c r="EB92" s="155"/>
      <c r="EC92" s="155"/>
      <c r="ED92" s="155"/>
      <c r="EE92" s="155"/>
      <c r="EF92" s="155"/>
      <c r="EG92" s="155"/>
      <c r="EH92" s="155"/>
      <c r="EI92" s="155"/>
      <c r="EJ92" s="155"/>
      <c r="EK92" s="155"/>
      <c r="EL92" s="155"/>
      <c r="EM92" s="155"/>
      <c r="EN92" s="155"/>
      <c r="EO92" s="155"/>
      <c r="EP92" s="155"/>
      <c r="EQ92" s="155"/>
      <c r="ER92" s="155"/>
      <c r="ES92" s="155"/>
      <c r="ET92" s="155"/>
      <c r="EU92" s="155"/>
      <c r="EV92" s="155"/>
      <c r="EW92" s="155"/>
      <c r="EX92" s="155"/>
      <c r="EY92" s="155"/>
      <c r="EZ92" s="155"/>
      <c r="FA92" s="155"/>
      <c r="FB92" s="155"/>
      <c r="FC92" s="155"/>
      <c r="FD92" s="155"/>
      <c r="FE92" s="155"/>
      <c r="FF92" s="155"/>
      <c r="FG92" s="155"/>
      <c r="FH92" s="155"/>
      <c r="FI92" s="155"/>
      <c r="FJ92" s="155"/>
      <c r="FK92" s="155"/>
      <c r="FL92" s="155"/>
      <c r="FM92" s="155"/>
      <c r="FN92" s="155"/>
      <c r="FO92" s="155"/>
      <c r="FP92" s="155"/>
      <c r="FQ92" s="155"/>
      <c r="FR92" s="155"/>
      <c r="FS92" s="155"/>
      <c r="FT92" s="155"/>
      <c r="FU92" s="155"/>
      <c r="FV92" s="155"/>
      <c r="FW92" s="155"/>
      <c r="FX92" s="155"/>
      <c r="FY92" s="155"/>
      <c r="FZ92" s="155"/>
      <c r="GA92" s="155"/>
      <c r="GB92" s="155"/>
      <c r="GC92" s="155"/>
      <c r="GD92" s="155"/>
      <c r="GE92" s="155"/>
      <c r="GF92" s="155"/>
      <c r="GG92" s="155"/>
      <c r="GH92" s="155"/>
      <c r="GI92" s="155"/>
      <c r="GJ92" s="155"/>
      <c r="GK92" s="155"/>
      <c r="GL92" s="155"/>
      <c r="GM92" s="155"/>
      <c r="GN92" s="155"/>
      <c r="GO92" s="155"/>
      <c r="GP92" s="155"/>
      <c r="GQ92" s="155"/>
      <c r="GR92" s="155"/>
      <c r="GS92" s="155"/>
      <c r="GT92" s="155"/>
      <c r="GU92" s="155"/>
      <c r="GV92" s="155"/>
      <c r="GW92" s="155"/>
      <c r="GX92" s="155"/>
      <c r="GY92" s="155"/>
      <c r="GZ92" s="155"/>
      <c r="HA92" s="155"/>
      <c r="HB92" s="155"/>
      <c r="HC92" s="155"/>
      <c r="HD92" s="155"/>
      <c r="HE92" s="155"/>
      <c r="HF92" s="155"/>
      <c r="HG92" s="155"/>
      <c r="HH92" s="155"/>
      <c r="HI92" s="155"/>
      <c r="HJ92" s="155"/>
      <c r="HK92" s="155"/>
      <c r="HL92" s="155"/>
      <c r="HM92" s="155"/>
      <c r="HN92" s="155"/>
      <c r="HO92" s="155"/>
      <c r="HP92" s="155"/>
      <c r="HQ92" s="155"/>
      <c r="HR92" s="155"/>
      <c r="HS92" s="155"/>
      <c r="HT92" s="155"/>
      <c r="HU92" s="155"/>
      <c r="HV92" s="155"/>
      <c r="HW92" s="155"/>
      <c r="HX92" s="155"/>
      <c r="HY92" s="155"/>
      <c r="HZ92" s="155"/>
      <c r="IA92" s="155"/>
      <c r="IB92" s="155"/>
      <c r="IC92" s="155"/>
      <c r="ID92" s="155"/>
      <c r="IE92" s="155"/>
      <c r="IF92" s="155"/>
      <c r="IG92" s="155"/>
      <c r="IH92" s="155"/>
      <c r="II92" s="155"/>
      <c r="IJ92" s="155"/>
      <c r="IK92" s="155"/>
      <c r="IL92" s="155"/>
      <c r="IM92" s="155"/>
      <c r="IN92" s="155"/>
      <c r="IO92" s="155"/>
      <c r="IP92" s="155"/>
      <c r="IQ92" s="155"/>
      <c r="IR92" s="155"/>
      <c r="IS92" s="155"/>
      <c r="IT92" s="155"/>
      <c r="IU92" s="155"/>
      <c r="IV92" s="155"/>
      <c r="IW92" s="155"/>
      <c r="IX92" s="155"/>
      <c r="IY92" s="155"/>
      <c r="IZ92" s="155"/>
      <c r="JA92" s="155"/>
      <c r="JB92" s="155"/>
      <c r="JC92" s="155"/>
      <c r="JD92" s="155"/>
      <c r="JE92" s="155"/>
      <c r="JF92" s="155"/>
      <c r="JG92" s="155"/>
      <c r="JH92" s="155"/>
      <c r="JI92" s="155"/>
      <c r="JJ92" s="155"/>
      <c r="JK92" s="155"/>
      <c r="JL92" s="155"/>
      <c r="JM92" s="155"/>
      <c r="JN92" s="155"/>
      <c r="JO92" s="155"/>
      <c r="JP92" s="155"/>
      <c r="JQ92" s="155"/>
      <c r="JR92" s="155"/>
      <c r="JS92" s="155"/>
      <c r="JT92" s="155"/>
      <c r="JU92" s="155"/>
      <c r="JV92" s="155"/>
      <c r="JW92" s="155"/>
      <c r="JX92" s="155"/>
      <c r="JY92" s="155"/>
      <c r="JZ92" s="155"/>
      <c r="KA92" s="155"/>
      <c r="KB92" s="155"/>
      <c r="KC92" s="155"/>
      <c r="KD92" s="155"/>
      <c r="KE92" s="155"/>
      <c r="KF92" s="155"/>
      <c r="KG92" s="155"/>
      <c r="KH92" s="155"/>
      <c r="KI92" s="155"/>
      <c r="KJ92" s="155"/>
      <c r="KK92" s="155"/>
      <c r="KL92" s="155"/>
      <c r="KM92" s="155"/>
      <c r="KN92" s="155"/>
      <c r="KO92" s="155"/>
      <c r="KP92" s="155"/>
      <c r="KQ92" s="155"/>
      <c r="KR92" s="155"/>
      <c r="KS92" s="155"/>
      <c r="KT92" s="155"/>
      <c r="KU92" s="155"/>
      <c r="KV92" s="155"/>
      <c r="KW92" s="155"/>
      <c r="KX92" s="155"/>
      <c r="KY92" s="155"/>
      <c r="KZ92" s="155"/>
      <c r="LA92" s="155"/>
      <c r="LB92" s="155"/>
      <c r="LC92" s="155"/>
      <c r="LD92" s="155"/>
      <c r="LE92" s="155"/>
      <c r="LF92" s="155"/>
      <c r="LG92" s="155"/>
      <c r="LH92" s="155"/>
      <c r="LI92" s="155"/>
      <c r="LJ92" s="155"/>
      <c r="LK92" s="155"/>
      <c r="LL92" s="155"/>
      <c r="LM92" s="155"/>
      <c r="LN92" s="155"/>
      <c r="LO92" s="155"/>
      <c r="LP92" s="155"/>
      <c r="LQ92" s="155"/>
      <c r="LR92" s="155"/>
      <c r="LS92" s="155"/>
      <c r="LT92" s="155"/>
      <c r="LU92" s="155"/>
      <c r="LV92" s="155"/>
      <c r="LW92" s="155"/>
      <c r="LX92" s="155"/>
      <c r="LY92" s="155"/>
      <c r="LZ92" s="155"/>
      <c r="MA92" s="155"/>
      <c r="MB92" s="155"/>
      <c r="MC92" s="155"/>
      <c r="MD92" s="155"/>
      <c r="ME92" s="155"/>
      <c r="MF92" s="155"/>
      <c r="MG92" s="155"/>
      <c r="MH92" s="155"/>
      <c r="MI92" s="155"/>
      <c r="MJ92" s="155"/>
      <c r="MK92" s="155"/>
      <c r="ML92" s="155"/>
      <c r="MM92" s="155"/>
      <c r="MN92" s="155"/>
      <c r="MO92" s="155"/>
      <c r="MP92" s="155"/>
      <c r="MQ92" s="155"/>
      <c r="MR92" s="155"/>
      <c r="MS92" s="155"/>
      <c r="MT92" s="155"/>
      <c r="MU92" s="155"/>
      <c r="MV92" s="155"/>
      <c r="MW92" s="155"/>
      <c r="MX92" s="155"/>
      <c r="MY92" s="155"/>
      <c r="MZ92" s="155"/>
      <c r="NA92" s="155"/>
      <c r="NB92" s="155"/>
      <c r="NC92" s="155"/>
      <c r="ND92" s="155"/>
      <c r="NE92" s="155"/>
      <c r="NF92" s="155"/>
      <c r="NG92" s="155"/>
      <c r="NH92" s="155"/>
      <c r="NI92" s="155"/>
      <c r="NJ92" s="155"/>
      <c r="NK92" s="155"/>
      <c r="NL92" s="155"/>
      <c r="NM92" s="155"/>
      <c r="NN92" s="155"/>
      <c r="NO92" s="155"/>
      <c r="NP92" s="155"/>
      <c r="NQ92" s="155"/>
      <c r="NR92" s="155"/>
      <c r="NS92" s="155"/>
      <c r="NT92" s="155"/>
      <c r="NU92" s="155"/>
      <c r="NV92" s="155"/>
      <c r="NW92" s="155"/>
      <c r="NX92" s="155"/>
      <c r="NY92" s="155"/>
      <c r="NZ92" s="155"/>
      <c r="OA92" s="155"/>
      <c r="OB92" s="155"/>
      <c r="OC92" s="155"/>
      <c r="OD92" s="155"/>
      <c r="OE92" s="155"/>
      <c r="OF92" s="155"/>
      <c r="OG92" s="155"/>
      <c r="OH92" s="155"/>
      <c r="OI92" s="155"/>
      <c r="OJ92" s="155"/>
      <c r="OK92" s="155"/>
      <c r="OL92" s="155"/>
      <c r="OM92" s="155"/>
      <c r="ON92" s="155"/>
      <c r="OO92" s="155"/>
      <c r="OP92" s="155"/>
      <c r="OQ92" s="155"/>
      <c r="OR92" s="155"/>
      <c r="OS92" s="155"/>
      <c r="OT92" s="155"/>
      <c r="OU92" s="155"/>
      <c r="OV92" s="155"/>
      <c r="OW92" s="155"/>
      <c r="OX92" s="155"/>
      <c r="OY92" s="155"/>
      <c r="OZ92" s="155"/>
      <c r="PA92" s="155"/>
      <c r="PB92" s="155"/>
      <c r="PC92" s="155"/>
      <c r="PD92" s="155"/>
      <c r="PE92" s="155"/>
      <c r="PF92" s="155"/>
      <c r="PG92" s="155"/>
      <c r="PH92" s="155"/>
      <c r="PI92" s="155"/>
      <c r="PJ92" s="155"/>
      <c r="PK92" s="155"/>
      <c r="PL92" s="155"/>
      <c r="PM92" s="155"/>
      <c r="PN92" s="155"/>
      <c r="PO92" s="155"/>
      <c r="PP92" s="155"/>
      <c r="PQ92" s="155"/>
      <c r="PR92" s="155"/>
      <c r="PS92" s="155"/>
      <c r="PT92" s="155"/>
      <c r="PU92" s="155"/>
      <c r="PV92" s="155"/>
      <c r="PW92" s="155"/>
      <c r="PX92" s="155"/>
      <c r="PY92" s="155"/>
      <c r="PZ92" s="155"/>
      <c r="QA92" s="155"/>
      <c r="QB92" s="155"/>
      <c r="QC92" s="155"/>
      <c r="QD92" s="155"/>
      <c r="QE92" s="155"/>
      <c r="QF92" s="155"/>
      <c r="QG92" s="155"/>
      <c r="QH92" s="155"/>
      <c r="QI92" s="155"/>
      <c r="QJ92" s="155"/>
      <c r="QK92" s="155"/>
      <c r="QL92" s="155"/>
      <c r="QM92" s="155"/>
      <c r="QN92" s="155"/>
      <c r="QO92" s="155"/>
      <c r="QP92" s="155"/>
      <c r="QQ92" s="155"/>
      <c r="QR92" s="155"/>
      <c r="QS92" s="155"/>
      <c r="QT92" s="155"/>
      <c r="QU92" s="155"/>
      <c r="QV92" s="155"/>
      <c r="QW92" s="155"/>
      <c r="QX92" s="155"/>
      <c r="QY92" s="155"/>
      <c r="QZ92" s="155"/>
      <c r="RA92" s="155"/>
      <c r="RB92" s="155"/>
      <c r="RC92" s="155"/>
      <c r="RD92" s="155"/>
      <c r="RE92" s="155"/>
      <c r="RF92" s="155"/>
      <c r="RG92" s="155"/>
      <c r="RH92" s="155"/>
      <c r="RI92" s="155"/>
      <c r="RJ92" s="155"/>
      <c r="RK92" s="155"/>
      <c r="RL92" s="155"/>
      <c r="RM92" s="155"/>
      <c r="RN92" s="155"/>
      <c r="RO92" s="155"/>
      <c r="RP92" s="155"/>
      <c r="RQ92" s="155"/>
      <c r="RR92" s="155"/>
      <c r="RS92" s="155"/>
      <c r="RT92" s="155"/>
      <c r="RU92" s="155"/>
      <c r="RV92" s="155"/>
      <c r="RW92" s="155"/>
      <c r="RX92" s="155"/>
      <c r="RY92" s="155"/>
      <c r="RZ92" s="155"/>
      <c r="SA92" s="155"/>
      <c r="SB92" s="155"/>
      <c r="SC92" s="155"/>
      <c r="SD92" s="155"/>
      <c r="SE92" s="155"/>
      <c r="SF92" s="155"/>
      <c r="SG92" s="155"/>
      <c r="SH92" s="155"/>
      <c r="SI92" s="155"/>
      <c r="SJ92" s="155"/>
      <c r="SK92" s="155"/>
      <c r="SL92" s="155"/>
      <c r="SM92" s="155"/>
      <c r="SN92" s="155"/>
      <c r="SO92" s="155"/>
      <c r="SP92" s="155"/>
      <c r="SQ92" s="155"/>
      <c r="SR92" s="155"/>
      <c r="SS92" s="155"/>
      <c r="ST92" s="155"/>
      <c r="SU92" s="155"/>
      <c r="SV92" s="155"/>
      <c r="SW92" s="155"/>
      <c r="SX92" s="155"/>
      <c r="SY92" s="155"/>
      <c r="SZ92" s="155"/>
      <c r="TA92" s="155"/>
      <c r="TB92" s="155"/>
      <c r="TC92" s="155"/>
      <c r="TD92" s="155"/>
      <c r="TE92" s="155"/>
      <c r="TF92" s="155"/>
      <c r="TG92" s="155"/>
      <c r="TH92" s="155"/>
      <c r="TI92" s="155"/>
      <c r="TJ92" s="155"/>
      <c r="TK92" s="155"/>
      <c r="TL92" s="155"/>
      <c r="TM92" s="155"/>
      <c r="TN92" s="155"/>
      <c r="TO92" s="155"/>
      <c r="TP92" s="155"/>
      <c r="TQ92" s="155"/>
      <c r="TR92" s="155"/>
      <c r="TS92" s="155"/>
      <c r="TT92" s="155"/>
      <c r="TU92" s="155"/>
      <c r="TV92" s="155"/>
      <c r="TW92" s="155"/>
      <c r="TX92" s="155"/>
      <c r="TY92" s="155"/>
      <c r="TZ92" s="155"/>
      <c r="UA92" s="155"/>
      <c r="UB92" s="155"/>
      <c r="UC92" s="155"/>
      <c r="UD92" s="155"/>
      <c r="UE92" s="155"/>
      <c r="UF92" s="155"/>
      <c r="UG92" s="155"/>
      <c r="UH92" s="155"/>
      <c r="UI92" s="155"/>
      <c r="UJ92" s="155"/>
      <c r="UK92" s="155"/>
      <c r="UL92" s="155"/>
      <c r="UM92" s="155"/>
      <c r="UN92" s="155"/>
      <c r="UO92" s="155"/>
      <c r="UP92" s="155"/>
      <c r="UQ92" s="155"/>
      <c r="UR92" s="155"/>
      <c r="US92" s="155"/>
      <c r="UT92" s="155"/>
      <c r="UU92" s="155"/>
      <c r="UV92" s="155"/>
      <c r="UW92" s="155"/>
      <c r="UX92" s="155"/>
      <c r="UY92" s="155"/>
      <c r="UZ92" s="155"/>
      <c r="VA92" s="155"/>
      <c r="VB92" s="155"/>
      <c r="VC92" s="155"/>
      <c r="VD92" s="155"/>
      <c r="VE92" s="155"/>
      <c r="VF92" s="155"/>
      <c r="VG92" s="155"/>
      <c r="VH92" s="155"/>
      <c r="VI92" s="155"/>
      <c r="VJ92" s="155"/>
      <c r="VK92" s="155"/>
      <c r="VL92" s="155"/>
      <c r="VM92" s="155"/>
      <c r="VN92" s="155"/>
      <c r="VO92" s="155"/>
      <c r="VP92" s="155"/>
      <c r="VQ92" s="155"/>
      <c r="VR92" s="155"/>
      <c r="VS92" s="155"/>
      <c r="VT92" s="155"/>
      <c r="VU92" s="155"/>
      <c r="VV92" s="155"/>
      <c r="VW92" s="155"/>
      <c r="VX92" s="155"/>
      <c r="VY92" s="155"/>
      <c r="VZ92" s="155"/>
      <c r="WA92" s="155"/>
      <c r="WB92" s="155"/>
      <c r="WC92" s="155"/>
      <c r="WD92" s="155"/>
      <c r="WE92" s="155"/>
      <c r="WF92" s="155"/>
      <c r="WG92" s="155"/>
      <c r="WH92" s="155"/>
      <c r="WI92" s="155"/>
      <c r="WJ92" s="155"/>
      <c r="WK92" s="155"/>
      <c r="WL92" s="155"/>
      <c r="WM92" s="155"/>
      <c r="WN92" s="155"/>
      <c r="WO92" s="155"/>
      <c r="WP92" s="155"/>
      <c r="WQ92" s="155"/>
      <c r="WR92" s="155"/>
      <c r="WS92" s="155"/>
      <c r="WT92" s="155"/>
      <c r="WU92" s="155"/>
      <c r="WV92" s="155"/>
      <c r="WW92" s="155"/>
      <c r="WX92" s="155"/>
      <c r="WY92" s="155"/>
      <c r="WZ92" s="155"/>
      <c r="XA92" s="155"/>
      <c r="XB92" s="155"/>
      <c r="XC92" s="155"/>
      <c r="XD92" s="155"/>
      <c r="XE92" s="155"/>
      <c r="XF92" s="155"/>
      <c r="XG92" s="155"/>
      <c r="XH92" s="155"/>
      <c r="XI92" s="155"/>
      <c r="XJ92" s="155"/>
      <c r="XK92" s="155"/>
      <c r="XL92" s="155"/>
      <c r="XM92" s="155"/>
      <c r="XN92" s="155"/>
      <c r="XO92" s="155"/>
      <c r="XP92" s="155"/>
      <c r="XQ92" s="155"/>
      <c r="XR92" s="155"/>
      <c r="XS92" s="155"/>
      <c r="XT92" s="155"/>
      <c r="XU92" s="155"/>
      <c r="XV92" s="155"/>
      <c r="XW92" s="155"/>
      <c r="XX92" s="155"/>
      <c r="XY92" s="155"/>
      <c r="XZ92" s="155"/>
      <c r="YA92" s="155"/>
      <c r="YB92" s="155"/>
      <c r="YC92" s="155"/>
      <c r="YD92" s="155"/>
      <c r="YE92" s="155"/>
      <c r="YF92" s="155"/>
      <c r="YG92" s="155"/>
      <c r="YH92" s="155"/>
      <c r="YI92" s="155"/>
      <c r="YJ92" s="155"/>
      <c r="YK92" s="155"/>
      <c r="YL92" s="155"/>
      <c r="YM92" s="155"/>
      <c r="YN92" s="155"/>
      <c r="YO92" s="155"/>
      <c r="YP92" s="155"/>
      <c r="YQ92" s="155"/>
      <c r="YR92" s="155"/>
      <c r="YS92" s="155"/>
      <c r="YT92" s="155"/>
      <c r="YU92" s="155"/>
      <c r="YV92" s="155"/>
      <c r="YW92" s="155"/>
      <c r="YX92" s="155"/>
      <c r="YY92" s="155"/>
      <c r="YZ92" s="155"/>
      <c r="ZA92" s="155"/>
      <c r="ZB92" s="155"/>
      <c r="ZC92" s="155"/>
      <c r="ZD92" s="155"/>
      <c r="ZE92" s="155"/>
      <c r="ZF92" s="155"/>
      <c r="ZG92" s="155"/>
      <c r="ZH92" s="155"/>
      <c r="ZI92" s="155"/>
      <c r="ZJ92" s="155"/>
      <c r="ZK92" s="155"/>
      <c r="ZL92" s="155"/>
      <c r="ZM92" s="155"/>
      <c r="ZN92" s="155"/>
      <c r="ZO92" s="155"/>
      <c r="ZP92" s="155"/>
      <c r="ZQ92" s="155"/>
      <c r="ZR92" s="155"/>
      <c r="ZS92" s="155"/>
      <c r="ZT92" s="155"/>
      <c r="ZU92" s="155"/>
      <c r="ZV92" s="155"/>
      <c r="ZW92" s="155"/>
      <c r="ZX92" s="155"/>
      <c r="ZY92" s="155"/>
      <c r="ZZ92" s="155"/>
      <c r="AAA92" s="155"/>
      <c r="AAB92" s="155"/>
      <c r="AAC92" s="155"/>
      <c r="AAD92" s="155"/>
      <c r="AAE92" s="155"/>
      <c r="AAF92" s="155"/>
      <c r="AAG92" s="155"/>
      <c r="AAH92" s="155"/>
      <c r="AAI92" s="155"/>
      <c r="AAJ92" s="155"/>
      <c r="AAK92" s="155"/>
      <c r="AAL92" s="155"/>
      <c r="AAM92" s="155"/>
      <c r="AAN92" s="155"/>
      <c r="AAO92" s="155"/>
      <c r="AAP92" s="155"/>
      <c r="AAQ92" s="155"/>
      <c r="AAR92" s="155"/>
      <c r="AAS92" s="155"/>
      <c r="AAT92" s="155"/>
      <c r="AAU92" s="155"/>
      <c r="AAV92" s="155"/>
      <c r="AAW92" s="155"/>
      <c r="AAX92" s="155"/>
      <c r="AAY92" s="155"/>
      <c r="AAZ92" s="155"/>
      <c r="ABA92" s="155"/>
      <c r="ABB92" s="155"/>
      <c r="ABC92" s="155"/>
      <c r="ABD92" s="155"/>
      <c r="ABE92" s="155"/>
      <c r="ABF92" s="155"/>
      <c r="ABG92" s="155"/>
      <c r="ABH92" s="155"/>
      <c r="ABI92" s="155"/>
      <c r="ABJ92" s="155"/>
      <c r="ABK92" s="155"/>
      <c r="ABL92" s="155"/>
      <c r="ABM92" s="155"/>
      <c r="ABN92" s="155"/>
      <c r="ABO92" s="155"/>
      <c r="ABP92" s="155"/>
      <c r="ABQ92" s="155"/>
      <c r="ABR92" s="155"/>
      <c r="ABS92" s="155"/>
      <c r="ABT92" s="155"/>
      <c r="ABU92" s="155"/>
      <c r="ABV92" s="155"/>
      <c r="ABW92" s="155"/>
      <c r="ABX92" s="155"/>
      <c r="ABY92" s="155"/>
      <c r="ABZ92" s="155"/>
      <c r="ACA92" s="155"/>
      <c r="ACB92" s="155"/>
      <c r="ACC92" s="155"/>
      <c r="ACD92" s="155"/>
      <c r="ACE92" s="155"/>
      <c r="ACF92" s="155"/>
      <c r="ACG92" s="155"/>
      <c r="ACH92" s="155"/>
      <c r="ACI92" s="155"/>
      <c r="ACJ92" s="155"/>
      <c r="ACK92" s="155"/>
      <c r="ACL92" s="155"/>
      <c r="ACM92" s="155"/>
      <c r="ACN92" s="155"/>
      <c r="ACO92" s="155"/>
      <c r="ACP92" s="155"/>
      <c r="ACQ92" s="155"/>
      <c r="ACR92" s="155"/>
      <c r="ACS92" s="155"/>
      <c r="ACT92" s="155"/>
      <c r="ACU92" s="155"/>
      <c r="ACV92" s="155"/>
      <c r="ACW92" s="155"/>
      <c r="ACX92" s="155"/>
      <c r="ACY92" s="155"/>
      <c r="ACZ92" s="155"/>
      <c r="ADA92" s="155"/>
      <c r="ADB92" s="155"/>
      <c r="ADC92" s="155"/>
      <c r="ADD92" s="155"/>
      <c r="ADE92" s="155"/>
      <c r="ADF92" s="155"/>
      <c r="ADG92" s="155"/>
      <c r="ADH92" s="155"/>
      <c r="ADI92" s="155"/>
      <c r="ADJ92" s="155"/>
      <c r="ADK92" s="155"/>
      <c r="ADL92" s="155"/>
      <c r="ADM92" s="155"/>
      <c r="ADN92" s="155"/>
      <c r="ADO92" s="155"/>
      <c r="ADP92" s="155"/>
      <c r="ADQ92" s="155"/>
      <c r="ADR92" s="155"/>
      <c r="ADS92" s="155"/>
      <c r="ADT92" s="155"/>
      <c r="ADU92" s="155"/>
      <c r="ADV92" s="155"/>
      <c r="ADW92" s="155"/>
      <c r="ADX92" s="155"/>
      <c r="ADY92" s="155"/>
      <c r="ADZ92" s="155"/>
      <c r="AEA92" s="155"/>
      <c r="AEB92" s="155"/>
      <c r="AEC92" s="155"/>
      <c r="AED92" s="155"/>
      <c r="AEE92" s="155"/>
      <c r="AEF92" s="155"/>
      <c r="AEG92" s="155"/>
      <c r="AEH92" s="155"/>
      <c r="AEI92" s="155"/>
      <c r="AEJ92" s="155"/>
      <c r="AEK92" s="155"/>
      <c r="AEL92" s="155"/>
      <c r="AEM92" s="155"/>
      <c r="AEN92" s="155"/>
      <c r="AEO92" s="155"/>
      <c r="AEP92" s="155"/>
      <c r="AEQ92" s="155"/>
      <c r="AER92" s="155"/>
      <c r="AES92" s="155"/>
      <c r="AET92" s="155"/>
      <c r="AEU92" s="155"/>
      <c r="AEV92" s="155"/>
      <c r="AEW92" s="155"/>
      <c r="AEX92" s="155"/>
      <c r="AEY92" s="155"/>
      <c r="AEZ92" s="155"/>
      <c r="AFA92" s="155"/>
      <c r="AFB92" s="155"/>
      <c r="AFC92" s="155"/>
      <c r="AFD92" s="155"/>
      <c r="AFE92" s="155"/>
      <c r="AFF92" s="155"/>
      <c r="AFG92" s="155"/>
      <c r="AFH92" s="155"/>
      <c r="AFI92" s="155"/>
      <c r="AFJ92" s="155"/>
      <c r="AFK92" s="155"/>
      <c r="AFL92" s="155"/>
      <c r="AFM92" s="155"/>
      <c r="AFN92" s="155"/>
      <c r="AFO92" s="155"/>
      <c r="AFP92" s="155"/>
      <c r="AFQ92" s="155"/>
      <c r="AFR92" s="155"/>
      <c r="AFS92" s="155"/>
      <c r="AFT92" s="155"/>
      <c r="AFU92" s="155"/>
      <c r="AFV92" s="155"/>
      <c r="AFW92" s="155"/>
      <c r="AFX92" s="155"/>
      <c r="AFY92" s="155"/>
      <c r="AFZ92" s="155"/>
      <c r="AGA92" s="155"/>
      <c r="AGB92" s="155"/>
      <c r="AGC92" s="155"/>
      <c r="AGD92" s="155"/>
      <c r="AGE92" s="155"/>
      <c r="AGF92" s="155"/>
      <c r="AGG92" s="155"/>
      <c r="AGH92" s="155"/>
      <c r="AGI92" s="155"/>
      <c r="AGJ92" s="155"/>
      <c r="AGK92" s="155"/>
      <c r="AGL92" s="155"/>
      <c r="AGM92" s="155"/>
      <c r="AGN92" s="155"/>
      <c r="AGO92" s="155"/>
      <c r="AGP92" s="155"/>
      <c r="AGQ92" s="155"/>
      <c r="AGR92" s="155"/>
      <c r="AGS92" s="155"/>
      <c r="AGT92" s="155"/>
      <c r="AGU92" s="155"/>
      <c r="AGV92" s="155"/>
      <c r="AGW92" s="155"/>
      <c r="AGX92" s="155"/>
      <c r="AGY92" s="155"/>
      <c r="AGZ92" s="155"/>
      <c r="AHA92" s="155"/>
      <c r="AHB92" s="155"/>
      <c r="AHC92" s="155"/>
      <c r="AHD92" s="155"/>
      <c r="AHE92" s="155"/>
      <c r="AHF92" s="155"/>
      <c r="AHG92" s="155"/>
      <c r="AHH92" s="155"/>
      <c r="AHI92" s="155"/>
      <c r="AHJ92" s="155"/>
      <c r="AHK92" s="155"/>
      <c r="AHL92" s="155"/>
      <c r="AHM92" s="155"/>
      <c r="AHN92" s="155"/>
      <c r="AHO92" s="155"/>
      <c r="AHP92" s="155"/>
      <c r="AHQ92" s="155"/>
      <c r="AHR92" s="155"/>
      <c r="AHS92" s="155"/>
      <c r="AHT92" s="155"/>
      <c r="AHU92" s="155"/>
      <c r="AHV92" s="155"/>
      <c r="AHW92" s="155"/>
      <c r="AHX92" s="155"/>
      <c r="AHY92" s="155"/>
      <c r="AHZ92" s="155"/>
      <c r="AIA92" s="155"/>
      <c r="AIB92" s="155"/>
      <c r="AIC92" s="155"/>
      <c r="AID92" s="155"/>
      <c r="AIE92" s="155"/>
      <c r="AIF92" s="155"/>
      <c r="AIG92" s="155"/>
      <c r="AIH92" s="155"/>
      <c r="AII92" s="155"/>
      <c r="AIJ92" s="155"/>
      <c r="AIK92" s="155"/>
      <c r="AIL92" s="155"/>
    </row>
    <row r="93" spans="1:922" s="160" customFormat="1" x14ac:dyDescent="0.35">
      <c r="A93" s="155"/>
      <c r="B93" s="155"/>
      <c r="C93" s="155"/>
      <c r="D93" s="170" t="s">
        <v>132</v>
      </c>
      <c r="E93" s="178" t="s">
        <v>40</v>
      </c>
      <c r="F93" s="161">
        <f>+Fertilizer!C95</f>
        <v>46374.995129377676</v>
      </c>
      <c r="G93" s="178" t="s">
        <v>40</v>
      </c>
      <c r="H93" s="161">
        <f>+Manure!C95</f>
        <v>46374.995129377676</v>
      </c>
      <c r="I93" s="178" t="str">
        <f t="shared" si="18"/>
        <v>€</v>
      </c>
      <c r="J93" s="161">
        <f>+Manpower!C95</f>
        <v>46374.995129377676</v>
      </c>
      <c r="K93" s="178" t="str">
        <f t="shared" si="16"/>
        <v>€</v>
      </c>
      <c r="L93" s="161">
        <f>+Productivity!C95</f>
        <v>46374.995129377676</v>
      </c>
      <c r="M93" s="178" t="str">
        <f t="shared" si="17"/>
        <v>€</v>
      </c>
      <c r="N93" s="161">
        <f>+Reactor!C95</f>
        <v>40406.604735933724</v>
      </c>
      <c r="O93" s="155"/>
      <c r="P93" s="155"/>
      <c r="Q93" s="155"/>
      <c r="R93" s="155"/>
      <c r="S93" s="155"/>
      <c r="T93" s="155"/>
      <c r="U93" s="155"/>
      <c r="V93" s="155"/>
      <c r="W93" s="155"/>
      <c r="X93" s="155"/>
      <c r="Y93" s="155"/>
      <c r="Z93" s="155"/>
      <c r="AA93" s="155"/>
      <c r="AB93" s="155"/>
      <c r="AC93" s="155"/>
      <c r="AD93" s="155"/>
      <c r="AE93" s="155"/>
      <c r="AF93" s="155"/>
      <c r="AG93" s="155"/>
      <c r="AH93" s="155"/>
      <c r="AI93" s="155"/>
      <c r="AJ93" s="155"/>
      <c r="AK93" s="155"/>
      <c r="AL93" s="155"/>
      <c r="AM93" s="155"/>
      <c r="AN93" s="155"/>
      <c r="AO93" s="155"/>
      <c r="AP93" s="155"/>
      <c r="AQ93" s="155"/>
      <c r="AR93" s="155"/>
      <c r="AS93" s="155"/>
      <c r="AT93" s="155"/>
      <c r="AU93" s="155"/>
      <c r="AV93" s="155"/>
      <c r="AW93" s="155"/>
      <c r="AX93" s="155"/>
      <c r="AY93" s="155"/>
      <c r="AZ93" s="155"/>
      <c r="BA93" s="155"/>
      <c r="BB93" s="155"/>
      <c r="BC93" s="155"/>
      <c r="BD93" s="155"/>
      <c r="BE93" s="155"/>
      <c r="BF93" s="155"/>
      <c r="BG93" s="155"/>
      <c r="BH93" s="155"/>
      <c r="BI93" s="155"/>
      <c r="BJ93" s="155"/>
      <c r="BK93" s="155"/>
      <c r="BL93" s="155"/>
      <c r="BM93" s="155"/>
      <c r="BN93" s="155"/>
      <c r="BO93" s="155"/>
      <c r="BP93" s="155"/>
      <c r="BQ93" s="155"/>
      <c r="BR93" s="155"/>
      <c r="BS93" s="155"/>
      <c r="BT93" s="155"/>
      <c r="BU93" s="155"/>
      <c r="BV93" s="155"/>
      <c r="BW93" s="155"/>
      <c r="BX93" s="155"/>
      <c r="BY93" s="155"/>
      <c r="BZ93" s="155"/>
      <c r="CA93" s="155"/>
      <c r="CB93" s="155"/>
      <c r="CC93" s="155"/>
      <c r="CD93" s="155"/>
      <c r="CE93" s="155"/>
      <c r="CF93" s="155"/>
      <c r="CG93" s="155"/>
      <c r="CH93" s="155"/>
      <c r="CI93" s="155"/>
      <c r="CJ93" s="155"/>
      <c r="CK93" s="155"/>
      <c r="CL93" s="155"/>
      <c r="CM93" s="155"/>
      <c r="CN93" s="155"/>
      <c r="CO93" s="155"/>
      <c r="CP93" s="155"/>
      <c r="CQ93" s="155"/>
      <c r="CR93" s="155"/>
      <c r="CS93" s="155"/>
      <c r="CT93" s="155"/>
      <c r="CU93" s="155"/>
      <c r="CV93" s="155"/>
      <c r="CW93" s="155"/>
      <c r="CX93" s="155"/>
      <c r="CY93" s="155"/>
      <c r="CZ93" s="155"/>
      <c r="DA93" s="155"/>
      <c r="DB93" s="155"/>
      <c r="DC93" s="155"/>
      <c r="DD93" s="155"/>
      <c r="DE93" s="155"/>
      <c r="DF93" s="155"/>
      <c r="DG93" s="155"/>
      <c r="DH93" s="155"/>
      <c r="DI93" s="155"/>
      <c r="DJ93" s="155"/>
      <c r="DK93" s="155"/>
      <c r="DL93" s="155"/>
      <c r="DM93" s="155"/>
      <c r="DN93" s="155"/>
      <c r="DO93" s="155"/>
      <c r="DP93" s="155"/>
      <c r="DQ93" s="155"/>
      <c r="DR93" s="155"/>
      <c r="DS93" s="155"/>
      <c r="DT93" s="155"/>
      <c r="DU93" s="155"/>
      <c r="DV93" s="155"/>
      <c r="DW93" s="155"/>
      <c r="DX93" s="155"/>
      <c r="DY93" s="155"/>
      <c r="DZ93" s="155"/>
      <c r="EA93" s="155"/>
      <c r="EB93" s="155"/>
      <c r="EC93" s="155"/>
      <c r="ED93" s="155"/>
      <c r="EE93" s="155"/>
      <c r="EF93" s="155"/>
      <c r="EG93" s="155"/>
      <c r="EH93" s="155"/>
      <c r="EI93" s="155"/>
      <c r="EJ93" s="155"/>
      <c r="EK93" s="155"/>
      <c r="EL93" s="155"/>
      <c r="EM93" s="155"/>
      <c r="EN93" s="155"/>
      <c r="EO93" s="155"/>
      <c r="EP93" s="155"/>
      <c r="EQ93" s="155"/>
      <c r="ER93" s="155"/>
      <c r="ES93" s="155"/>
      <c r="ET93" s="155"/>
      <c r="EU93" s="155"/>
      <c r="EV93" s="155"/>
      <c r="EW93" s="155"/>
      <c r="EX93" s="155"/>
      <c r="EY93" s="155"/>
      <c r="EZ93" s="155"/>
      <c r="FA93" s="155"/>
      <c r="FB93" s="155"/>
      <c r="FC93" s="155"/>
      <c r="FD93" s="155"/>
      <c r="FE93" s="155"/>
      <c r="FF93" s="155"/>
      <c r="FG93" s="155"/>
      <c r="FH93" s="155"/>
      <c r="FI93" s="155"/>
      <c r="FJ93" s="155"/>
      <c r="FK93" s="155"/>
      <c r="FL93" s="155"/>
      <c r="FM93" s="155"/>
      <c r="FN93" s="155"/>
      <c r="FO93" s="155"/>
      <c r="FP93" s="155"/>
      <c r="FQ93" s="155"/>
      <c r="FR93" s="155"/>
      <c r="FS93" s="155"/>
      <c r="FT93" s="155"/>
      <c r="FU93" s="155"/>
      <c r="FV93" s="155"/>
      <c r="FW93" s="155"/>
      <c r="FX93" s="155"/>
      <c r="FY93" s="155"/>
      <c r="FZ93" s="155"/>
      <c r="GA93" s="155"/>
      <c r="GB93" s="155"/>
      <c r="GC93" s="155"/>
      <c r="GD93" s="155"/>
      <c r="GE93" s="155"/>
      <c r="GF93" s="155"/>
      <c r="GG93" s="155"/>
      <c r="GH93" s="155"/>
      <c r="GI93" s="155"/>
      <c r="GJ93" s="155"/>
      <c r="GK93" s="155"/>
      <c r="GL93" s="155"/>
      <c r="GM93" s="155"/>
      <c r="GN93" s="155"/>
      <c r="GO93" s="155"/>
      <c r="GP93" s="155"/>
      <c r="GQ93" s="155"/>
      <c r="GR93" s="155"/>
      <c r="GS93" s="155"/>
      <c r="GT93" s="155"/>
      <c r="GU93" s="155"/>
      <c r="GV93" s="155"/>
      <c r="GW93" s="155"/>
      <c r="GX93" s="155"/>
      <c r="GY93" s="155"/>
      <c r="GZ93" s="155"/>
      <c r="HA93" s="155"/>
      <c r="HB93" s="155"/>
      <c r="HC93" s="155"/>
      <c r="HD93" s="155"/>
      <c r="HE93" s="155"/>
      <c r="HF93" s="155"/>
      <c r="HG93" s="155"/>
      <c r="HH93" s="155"/>
      <c r="HI93" s="155"/>
      <c r="HJ93" s="155"/>
      <c r="HK93" s="155"/>
      <c r="HL93" s="155"/>
      <c r="HM93" s="155"/>
      <c r="HN93" s="155"/>
      <c r="HO93" s="155"/>
      <c r="HP93" s="155"/>
      <c r="HQ93" s="155"/>
      <c r="HR93" s="155"/>
      <c r="HS93" s="155"/>
      <c r="HT93" s="155"/>
      <c r="HU93" s="155"/>
      <c r="HV93" s="155"/>
      <c r="HW93" s="155"/>
      <c r="HX93" s="155"/>
      <c r="HY93" s="155"/>
      <c r="HZ93" s="155"/>
      <c r="IA93" s="155"/>
      <c r="IB93" s="155"/>
      <c r="IC93" s="155"/>
      <c r="ID93" s="155"/>
      <c r="IE93" s="155"/>
      <c r="IF93" s="155"/>
      <c r="IG93" s="155"/>
      <c r="IH93" s="155"/>
      <c r="II93" s="155"/>
      <c r="IJ93" s="155"/>
      <c r="IK93" s="155"/>
      <c r="IL93" s="155"/>
      <c r="IM93" s="155"/>
      <c r="IN93" s="155"/>
      <c r="IO93" s="155"/>
      <c r="IP93" s="155"/>
      <c r="IQ93" s="155"/>
      <c r="IR93" s="155"/>
      <c r="IS93" s="155"/>
      <c r="IT93" s="155"/>
      <c r="IU93" s="155"/>
      <c r="IV93" s="155"/>
      <c r="IW93" s="155"/>
      <c r="IX93" s="155"/>
      <c r="IY93" s="155"/>
      <c r="IZ93" s="155"/>
      <c r="JA93" s="155"/>
      <c r="JB93" s="155"/>
      <c r="JC93" s="155"/>
      <c r="JD93" s="155"/>
      <c r="JE93" s="155"/>
      <c r="JF93" s="155"/>
      <c r="JG93" s="155"/>
      <c r="JH93" s="155"/>
      <c r="JI93" s="155"/>
      <c r="JJ93" s="155"/>
      <c r="JK93" s="155"/>
      <c r="JL93" s="155"/>
      <c r="JM93" s="155"/>
      <c r="JN93" s="155"/>
      <c r="JO93" s="155"/>
      <c r="JP93" s="155"/>
      <c r="JQ93" s="155"/>
      <c r="JR93" s="155"/>
      <c r="JS93" s="155"/>
      <c r="JT93" s="155"/>
      <c r="JU93" s="155"/>
      <c r="JV93" s="155"/>
      <c r="JW93" s="155"/>
      <c r="JX93" s="155"/>
      <c r="JY93" s="155"/>
      <c r="JZ93" s="155"/>
      <c r="KA93" s="155"/>
      <c r="KB93" s="155"/>
      <c r="KC93" s="155"/>
      <c r="KD93" s="155"/>
      <c r="KE93" s="155"/>
      <c r="KF93" s="155"/>
      <c r="KG93" s="155"/>
      <c r="KH93" s="155"/>
      <c r="KI93" s="155"/>
      <c r="KJ93" s="155"/>
      <c r="KK93" s="155"/>
      <c r="KL93" s="155"/>
      <c r="KM93" s="155"/>
      <c r="KN93" s="155"/>
      <c r="KO93" s="155"/>
      <c r="KP93" s="155"/>
      <c r="KQ93" s="155"/>
      <c r="KR93" s="155"/>
      <c r="KS93" s="155"/>
      <c r="KT93" s="155"/>
      <c r="KU93" s="155"/>
      <c r="KV93" s="155"/>
      <c r="KW93" s="155"/>
      <c r="KX93" s="155"/>
      <c r="KY93" s="155"/>
      <c r="KZ93" s="155"/>
      <c r="LA93" s="155"/>
      <c r="LB93" s="155"/>
      <c r="LC93" s="155"/>
      <c r="LD93" s="155"/>
      <c r="LE93" s="155"/>
      <c r="LF93" s="155"/>
      <c r="LG93" s="155"/>
      <c r="LH93" s="155"/>
      <c r="LI93" s="155"/>
      <c r="LJ93" s="155"/>
      <c r="LK93" s="155"/>
      <c r="LL93" s="155"/>
      <c r="LM93" s="155"/>
      <c r="LN93" s="155"/>
      <c r="LO93" s="155"/>
      <c r="LP93" s="155"/>
      <c r="LQ93" s="155"/>
      <c r="LR93" s="155"/>
      <c r="LS93" s="155"/>
      <c r="LT93" s="155"/>
      <c r="LU93" s="155"/>
      <c r="LV93" s="155"/>
      <c r="LW93" s="155"/>
      <c r="LX93" s="155"/>
      <c r="LY93" s="155"/>
      <c r="LZ93" s="155"/>
      <c r="MA93" s="155"/>
      <c r="MB93" s="155"/>
      <c r="MC93" s="155"/>
      <c r="MD93" s="155"/>
      <c r="ME93" s="155"/>
      <c r="MF93" s="155"/>
      <c r="MG93" s="155"/>
      <c r="MH93" s="155"/>
      <c r="MI93" s="155"/>
      <c r="MJ93" s="155"/>
      <c r="MK93" s="155"/>
      <c r="ML93" s="155"/>
      <c r="MM93" s="155"/>
      <c r="MN93" s="155"/>
      <c r="MO93" s="155"/>
      <c r="MP93" s="155"/>
      <c r="MQ93" s="155"/>
      <c r="MR93" s="155"/>
      <c r="MS93" s="155"/>
      <c r="MT93" s="155"/>
      <c r="MU93" s="155"/>
      <c r="MV93" s="155"/>
      <c r="MW93" s="155"/>
      <c r="MX93" s="155"/>
      <c r="MY93" s="155"/>
      <c r="MZ93" s="155"/>
      <c r="NA93" s="155"/>
      <c r="NB93" s="155"/>
      <c r="NC93" s="155"/>
      <c r="ND93" s="155"/>
      <c r="NE93" s="155"/>
      <c r="NF93" s="155"/>
      <c r="NG93" s="155"/>
      <c r="NH93" s="155"/>
      <c r="NI93" s="155"/>
      <c r="NJ93" s="155"/>
      <c r="NK93" s="155"/>
      <c r="NL93" s="155"/>
      <c r="NM93" s="155"/>
      <c r="NN93" s="155"/>
      <c r="NO93" s="155"/>
      <c r="NP93" s="155"/>
      <c r="NQ93" s="155"/>
      <c r="NR93" s="155"/>
      <c r="NS93" s="155"/>
      <c r="NT93" s="155"/>
      <c r="NU93" s="155"/>
      <c r="NV93" s="155"/>
      <c r="NW93" s="155"/>
      <c r="NX93" s="155"/>
      <c r="NY93" s="155"/>
      <c r="NZ93" s="155"/>
      <c r="OA93" s="155"/>
      <c r="OB93" s="155"/>
      <c r="OC93" s="155"/>
      <c r="OD93" s="155"/>
      <c r="OE93" s="155"/>
      <c r="OF93" s="155"/>
      <c r="OG93" s="155"/>
      <c r="OH93" s="155"/>
      <c r="OI93" s="155"/>
      <c r="OJ93" s="155"/>
      <c r="OK93" s="155"/>
      <c r="OL93" s="155"/>
      <c r="OM93" s="155"/>
      <c r="ON93" s="155"/>
      <c r="OO93" s="155"/>
      <c r="OP93" s="155"/>
      <c r="OQ93" s="155"/>
      <c r="OR93" s="155"/>
      <c r="OS93" s="155"/>
      <c r="OT93" s="155"/>
      <c r="OU93" s="155"/>
      <c r="OV93" s="155"/>
      <c r="OW93" s="155"/>
      <c r="OX93" s="155"/>
      <c r="OY93" s="155"/>
      <c r="OZ93" s="155"/>
      <c r="PA93" s="155"/>
      <c r="PB93" s="155"/>
      <c r="PC93" s="155"/>
      <c r="PD93" s="155"/>
      <c r="PE93" s="155"/>
      <c r="PF93" s="155"/>
      <c r="PG93" s="155"/>
      <c r="PH93" s="155"/>
      <c r="PI93" s="155"/>
      <c r="PJ93" s="155"/>
      <c r="PK93" s="155"/>
      <c r="PL93" s="155"/>
      <c r="PM93" s="155"/>
      <c r="PN93" s="155"/>
      <c r="PO93" s="155"/>
      <c r="PP93" s="155"/>
      <c r="PQ93" s="155"/>
      <c r="PR93" s="155"/>
      <c r="PS93" s="155"/>
      <c r="PT93" s="155"/>
      <c r="PU93" s="155"/>
      <c r="PV93" s="155"/>
      <c r="PW93" s="155"/>
      <c r="PX93" s="155"/>
      <c r="PY93" s="155"/>
      <c r="PZ93" s="155"/>
      <c r="QA93" s="155"/>
      <c r="QB93" s="155"/>
      <c r="QC93" s="155"/>
      <c r="QD93" s="155"/>
      <c r="QE93" s="155"/>
      <c r="QF93" s="155"/>
      <c r="QG93" s="155"/>
      <c r="QH93" s="155"/>
      <c r="QI93" s="155"/>
      <c r="QJ93" s="155"/>
      <c r="QK93" s="155"/>
      <c r="QL93" s="155"/>
      <c r="QM93" s="155"/>
      <c r="QN93" s="155"/>
      <c r="QO93" s="155"/>
      <c r="QP93" s="155"/>
      <c r="QQ93" s="155"/>
      <c r="QR93" s="155"/>
      <c r="QS93" s="155"/>
      <c r="QT93" s="155"/>
      <c r="QU93" s="155"/>
      <c r="QV93" s="155"/>
      <c r="QW93" s="155"/>
      <c r="QX93" s="155"/>
      <c r="QY93" s="155"/>
      <c r="QZ93" s="155"/>
      <c r="RA93" s="155"/>
      <c r="RB93" s="155"/>
      <c r="RC93" s="155"/>
      <c r="RD93" s="155"/>
      <c r="RE93" s="155"/>
      <c r="RF93" s="155"/>
      <c r="RG93" s="155"/>
      <c r="RH93" s="155"/>
      <c r="RI93" s="155"/>
      <c r="RJ93" s="155"/>
      <c r="RK93" s="155"/>
      <c r="RL93" s="155"/>
      <c r="RM93" s="155"/>
      <c r="RN93" s="155"/>
      <c r="RO93" s="155"/>
      <c r="RP93" s="155"/>
      <c r="RQ93" s="155"/>
      <c r="RR93" s="155"/>
      <c r="RS93" s="155"/>
      <c r="RT93" s="155"/>
      <c r="RU93" s="155"/>
      <c r="RV93" s="155"/>
      <c r="RW93" s="155"/>
      <c r="RX93" s="155"/>
      <c r="RY93" s="155"/>
      <c r="RZ93" s="155"/>
      <c r="SA93" s="155"/>
      <c r="SB93" s="155"/>
      <c r="SC93" s="155"/>
      <c r="SD93" s="155"/>
      <c r="SE93" s="155"/>
      <c r="SF93" s="155"/>
      <c r="SG93" s="155"/>
      <c r="SH93" s="155"/>
      <c r="SI93" s="155"/>
      <c r="SJ93" s="155"/>
      <c r="SK93" s="155"/>
      <c r="SL93" s="155"/>
      <c r="SM93" s="155"/>
      <c r="SN93" s="155"/>
      <c r="SO93" s="155"/>
      <c r="SP93" s="155"/>
      <c r="SQ93" s="155"/>
      <c r="SR93" s="155"/>
      <c r="SS93" s="155"/>
      <c r="ST93" s="155"/>
      <c r="SU93" s="155"/>
      <c r="SV93" s="155"/>
      <c r="SW93" s="155"/>
      <c r="SX93" s="155"/>
      <c r="SY93" s="155"/>
      <c r="SZ93" s="155"/>
      <c r="TA93" s="155"/>
      <c r="TB93" s="155"/>
      <c r="TC93" s="155"/>
      <c r="TD93" s="155"/>
      <c r="TE93" s="155"/>
      <c r="TF93" s="155"/>
      <c r="TG93" s="155"/>
      <c r="TH93" s="155"/>
      <c r="TI93" s="155"/>
      <c r="TJ93" s="155"/>
      <c r="TK93" s="155"/>
      <c r="TL93" s="155"/>
      <c r="TM93" s="155"/>
      <c r="TN93" s="155"/>
      <c r="TO93" s="155"/>
      <c r="TP93" s="155"/>
      <c r="TQ93" s="155"/>
      <c r="TR93" s="155"/>
      <c r="TS93" s="155"/>
      <c r="TT93" s="155"/>
      <c r="TU93" s="155"/>
      <c r="TV93" s="155"/>
      <c r="TW93" s="155"/>
      <c r="TX93" s="155"/>
      <c r="TY93" s="155"/>
      <c r="TZ93" s="155"/>
      <c r="UA93" s="155"/>
      <c r="UB93" s="155"/>
      <c r="UC93" s="155"/>
      <c r="UD93" s="155"/>
      <c r="UE93" s="155"/>
      <c r="UF93" s="155"/>
      <c r="UG93" s="155"/>
      <c r="UH93" s="155"/>
      <c r="UI93" s="155"/>
      <c r="UJ93" s="155"/>
      <c r="UK93" s="155"/>
      <c r="UL93" s="155"/>
      <c r="UM93" s="155"/>
      <c r="UN93" s="155"/>
      <c r="UO93" s="155"/>
      <c r="UP93" s="155"/>
      <c r="UQ93" s="155"/>
      <c r="UR93" s="155"/>
      <c r="US93" s="155"/>
      <c r="UT93" s="155"/>
      <c r="UU93" s="155"/>
      <c r="UV93" s="155"/>
      <c r="UW93" s="155"/>
      <c r="UX93" s="155"/>
      <c r="UY93" s="155"/>
      <c r="UZ93" s="155"/>
      <c r="VA93" s="155"/>
      <c r="VB93" s="155"/>
      <c r="VC93" s="155"/>
      <c r="VD93" s="155"/>
      <c r="VE93" s="155"/>
      <c r="VF93" s="155"/>
      <c r="VG93" s="155"/>
      <c r="VH93" s="155"/>
      <c r="VI93" s="155"/>
      <c r="VJ93" s="155"/>
      <c r="VK93" s="155"/>
      <c r="VL93" s="155"/>
      <c r="VM93" s="155"/>
      <c r="VN93" s="155"/>
      <c r="VO93" s="155"/>
      <c r="VP93" s="155"/>
      <c r="VQ93" s="155"/>
      <c r="VR93" s="155"/>
      <c r="VS93" s="155"/>
      <c r="VT93" s="155"/>
      <c r="VU93" s="155"/>
      <c r="VV93" s="155"/>
      <c r="VW93" s="155"/>
      <c r="VX93" s="155"/>
      <c r="VY93" s="155"/>
      <c r="VZ93" s="155"/>
      <c r="WA93" s="155"/>
      <c r="WB93" s="155"/>
      <c r="WC93" s="155"/>
      <c r="WD93" s="155"/>
      <c r="WE93" s="155"/>
      <c r="WF93" s="155"/>
      <c r="WG93" s="155"/>
      <c r="WH93" s="155"/>
      <c r="WI93" s="155"/>
      <c r="WJ93" s="155"/>
      <c r="WK93" s="155"/>
      <c r="WL93" s="155"/>
      <c r="WM93" s="155"/>
      <c r="WN93" s="155"/>
      <c r="WO93" s="155"/>
      <c r="WP93" s="155"/>
      <c r="WQ93" s="155"/>
      <c r="WR93" s="155"/>
      <c r="WS93" s="155"/>
      <c r="WT93" s="155"/>
      <c r="WU93" s="155"/>
      <c r="WV93" s="155"/>
      <c r="WW93" s="155"/>
      <c r="WX93" s="155"/>
      <c r="WY93" s="155"/>
      <c r="WZ93" s="155"/>
      <c r="XA93" s="155"/>
      <c r="XB93" s="155"/>
      <c r="XC93" s="155"/>
      <c r="XD93" s="155"/>
      <c r="XE93" s="155"/>
      <c r="XF93" s="155"/>
      <c r="XG93" s="155"/>
      <c r="XH93" s="155"/>
      <c r="XI93" s="155"/>
      <c r="XJ93" s="155"/>
      <c r="XK93" s="155"/>
      <c r="XL93" s="155"/>
      <c r="XM93" s="155"/>
      <c r="XN93" s="155"/>
      <c r="XO93" s="155"/>
      <c r="XP93" s="155"/>
      <c r="XQ93" s="155"/>
      <c r="XR93" s="155"/>
      <c r="XS93" s="155"/>
      <c r="XT93" s="155"/>
      <c r="XU93" s="155"/>
      <c r="XV93" s="155"/>
      <c r="XW93" s="155"/>
      <c r="XX93" s="155"/>
      <c r="XY93" s="155"/>
      <c r="XZ93" s="155"/>
      <c r="YA93" s="155"/>
      <c r="YB93" s="155"/>
      <c r="YC93" s="155"/>
      <c r="YD93" s="155"/>
      <c r="YE93" s="155"/>
      <c r="YF93" s="155"/>
      <c r="YG93" s="155"/>
      <c r="YH93" s="155"/>
      <c r="YI93" s="155"/>
      <c r="YJ93" s="155"/>
      <c r="YK93" s="155"/>
      <c r="YL93" s="155"/>
      <c r="YM93" s="155"/>
      <c r="YN93" s="155"/>
      <c r="YO93" s="155"/>
      <c r="YP93" s="155"/>
      <c r="YQ93" s="155"/>
      <c r="YR93" s="155"/>
      <c r="YS93" s="155"/>
      <c r="YT93" s="155"/>
      <c r="YU93" s="155"/>
      <c r="YV93" s="155"/>
      <c r="YW93" s="155"/>
      <c r="YX93" s="155"/>
      <c r="YY93" s="155"/>
      <c r="YZ93" s="155"/>
      <c r="ZA93" s="155"/>
      <c r="ZB93" s="155"/>
      <c r="ZC93" s="155"/>
      <c r="ZD93" s="155"/>
      <c r="ZE93" s="155"/>
      <c r="ZF93" s="155"/>
      <c r="ZG93" s="155"/>
      <c r="ZH93" s="155"/>
      <c r="ZI93" s="155"/>
      <c r="ZJ93" s="155"/>
      <c r="ZK93" s="155"/>
      <c r="ZL93" s="155"/>
      <c r="ZM93" s="155"/>
      <c r="ZN93" s="155"/>
      <c r="ZO93" s="155"/>
      <c r="ZP93" s="155"/>
      <c r="ZQ93" s="155"/>
      <c r="ZR93" s="155"/>
      <c r="ZS93" s="155"/>
      <c r="ZT93" s="155"/>
      <c r="ZU93" s="155"/>
      <c r="ZV93" s="155"/>
      <c r="ZW93" s="155"/>
      <c r="ZX93" s="155"/>
      <c r="ZY93" s="155"/>
      <c r="ZZ93" s="155"/>
      <c r="AAA93" s="155"/>
      <c r="AAB93" s="155"/>
      <c r="AAC93" s="155"/>
      <c r="AAD93" s="155"/>
      <c r="AAE93" s="155"/>
      <c r="AAF93" s="155"/>
      <c r="AAG93" s="155"/>
      <c r="AAH93" s="155"/>
      <c r="AAI93" s="155"/>
      <c r="AAJ93" s="155"/>
      <c r="AAK93" s="155"/>
      <c r="AAL93" s="155"/>
      <c r="AAM93" s="155"/>
      <c r="AAN93" s="155"/>
      <c r="AAO93" s="155"/>
      <c r="AAP93" s="155"/>
      <c r="AAQ93" s="155"/>
      <c r="AAR93" s="155"/>
      <c r="AAS93" s="155"/>
      <c r="AAT93" s="155"/>
      <c r="AAU93" s="155"/>
      <c r="AAV93" s="155"/>
      <c r="AAW93" s="155"/>
      <c r="AAX93" s="155"/>
      <c r="AAY93" s="155"/>
      <c r="AAZ93" s="155"/>
      <c r="ABA93" s="155"/>
      <c r="ABB93" s="155"/>
      <c r="ABC93" s="155"/>
      <c r="ABD93" s="155"/>
      <c r="ABE93" s="155"/>
      <c r="ABF93" s="155"/>
      <c r="ABG93" s="155"/>
      <c r="ABH93" s="155"/>
      <c r="ABI93" s="155"/>
      <c r="ABJ93" s="155"/>
      <c r="ABK93" s="155"/>
      <c r="ABL93" s="155"/>
      <c r="ABM93" s="155"/>
      <c r="ABN93" s="155"/>
      <c r="ABO93" s="155"/>
      <c r="ABP93" s="155"/>
      <c r="ABQ93" s="155"/>
      <c r="ABR93" s="155"/>
      <c r="ABS93" s="155"/>
      <c r="ABT93" s="155"/>
      <c r="ABU93" s="155"/>
      <c r="ABV93" s="155"/>
      <c r="ABW93" s="155"/>
      <c r="ABX93" s="155"/>
      <c r="ABY93" s="155"/>
      <c r="ABZ93" s="155"/>
      <c r="ACA93" s="155"/>
      <c r="ACB93" s="155"/>
      <c r="ACC93" s="155"/>
      <c r="ACD93" s="155"/>
      <c r="ACE93" s="155"/>
      <c r="ACF93" s="155"/>
      <c r="ACG93" s="155"/>
      <c r="ACH93" s="155"/>
      <c r="ACI93" s="155"/>
      <c r="ACJ93" s="155"/>
      <c r="ACK93" s="155"/>
      <c r="ACL93" s="155"/>
      <c r="ACM93" s="155"/>
      <c r="ACN93" s="155"/>
      <c r="ACO93" s="155"/>
      <c r="ACP93" s="155"/>
      <c r="ACQ93" s="155"/>
      <c r="ACR93" s="155"/>
      <c r="ACS93" s="155"/>
      <c r="ACT93" s="155"/>
      <c r="ACU93" s="155"/>
      <c r="ACV93" s="155"/>
      <c r="ACW93" s="155"/>
      <c r="ACX93" s="155"/>
      <c r="ACY93" s="155"/>
      <c r="ACZ93" s="155"/>
      <c r="ADA93" s="155"/>
      <c r="ADB93" s="155"/>
      <c r="ADC93" s="155"/>
      <c r="ADD93" s="155"/>
      <c r="ADE93" s="155"/>
      <c r="ADF93" s="155"/>
      <c r="ADG93" s="155"/>
      <c r="ADH93" s="155"/>
      <c r="ADI93" s="155"/>
      <c r="ADJ93" s="155"/>
      <c r="ADK93" s="155"/>
      <c r="ADL93" s="155"/>
      <c r="ADM93" s="155"/>
      <c r="ADN93" s="155"/>
      <c r="ADO93" s="155"/>
      <c r="ADP93" s="155"/>
      <c r="ADQ93" s="155"/>
      <c r="ADR93" s="155"/>
      <c r="ADS93" s="155"/>
      <c r="ADT93" s="155"/>
      <c r="ADU93" s="155"/>
      <c r="ADV93" s="155"/>
      <c r="ADW93" s="155"/>
      <c r="ADX93" s="155"/>
      <c r="ADY93" s="155"/>
      <c r="ADZ93" s="155"/>
      <c r="AEA93" s="155"/>
      <c r="AEB93" s="155"/>
      <c r="AEC93" s="155"/>
      <c r="AED93" s="155"/>
      <c r="AEE93" s="155"/>
      <c r="AEF93" s="155"/>
      <c r="AEG93" s="155"/>
      <c r="AEH93" s="155"/>
      <c r="AEI93" s="155"/>
      <c r="AEJ93" s="155"/>
      <c r="AEK93" s="155"/>
      <c r="AEL93" s="155"/>
      <c r="AEM93" s="155"/>
      <c r="AEN93" s="155"/>
      <c r="AEO93" s="155"/>
      <c r="AEP93" s="155"/>
      <c r="AEQ93" s="155"/>
      <c r="AER93" s="155"/>
      <c r="AES93" s="155"/>
      <c r="AET93" s="155"/>
      <c r="AEU93" s="155"/>
      <c r="AEV93" s="155"/>
      <c r="AEW93" s="155"/>
      <c r="AEX93" s="155"/>
      <c r="AEY93" s="155"/>
      <c r="AEZ93" s="155"/>
      <c r="AFA93" s="155"/>
      <c r="AFB93" s="155"/>
      <c r="AFC93" s="155"/>
      <c r="AFD93" s="155"/>
      <c r="AFE93" s="155"/>
      <c r="AFF93" s="155"/>
      <c r="AFG93" s="155"/>
      <c r="AFH93" s="155"/>
      <c r="AFI93" s="155"/>
      <c r="AFJ93" s="155"/>
      <c r="AFK93" s="155"/>
      <c r="AFL93" s="155"/>
      <c r="AFM93" s="155"/>
      <c r="AFN93" s="155"/>
      <c r="AFO93" s="155"/>
      <c r="AFP93" s="155"/>
      <c r="AFQ93" s="155"/>
      <c r="AFR93" s="155"/>
      <c r="AFS93" s="155"/>
      <c r="AFT93" s="155"/>
      <c r="AFU93" s="155"/>
      <c r="AFV93" s="155"/>
      <c r="AFW93" s="155"/>
      <c r="AFX93" s="155"/>
      <c r="AFY93" s="155"/>
      <c r="AFZ93" s="155"/>
      <c r="AGA93" s="155"/>
      <c r="AGB93" s="155"/>
      <c r="AGC93" s="155"/>
      <c r="AGD93" s="155"/>
      <c r="AGE93" s="155"/>
      <c r="AGF93" s="155"/>
      <c r="AGG93" s="155"/>
      <c r="AGH93" s="155"/>
      <c r="AGI93" s="155"/>
      <c r="AGJ93" s="155"/>
      <c r="AGK93" s="155"/>
      <c r="AGL93" s="155"/>
      <c r="AGM93" s="155"/>
      <c r="AGN93" s="155"/>
      <c r="AGO93" s="155"/>
      <c r="AGP93" s="155"/>
      <c r="AGQ93" s="155"/>
      <c r="AGR93" s="155"/>
      <c r="AGS93" s="155"/>
      <c r="AGT93" s="155"/>
      <c r="AGU93" s="155"/>
      <c r="AGV93" s="155"/>
      <c r="AGW93" s="155"/>
      <c r="AGX93" s="155"/>
      <c r="AGY93" s="155"/>
      <c r="AGZ93" s="155"/>
      <c r="AHA93" s="155"/>
      <c r="AHB93" s="155"/>
      <c r="AHC93" s="155"/>
      <c r="AHD93" s="155"/>
      <c r="AHE93" s="155"/>
      <c r="AHF93" s="155"/>
      <c r="AHG93" s="155"/>
      <c r="AHH93" s="155"/>
      <c r="AHI93" s="155"/>
      <c r="AHJ93" s="155"/>
      <c r="AHK93" s="155"/>
      <c r="AHL93" s="155"/>
      <c r="AHM93" s="155"/>
      <c r="AHN93" s="155"/>
      <c r="AHO93" s="155"/>
      <c r="AHP93" s="155"/>
      <c r="AHQ93" s="155"/>
      <c r="AHR93" s="155"/>
      <c r="AHS93" s="155"/>
      <c r="AHT93" s="155"/>
      <c r="AHU93" s="155"/>
      <c r="AHV93" s="155"/>
      <c r="AHW93" s="155"/>
      <c r="AHX93" s="155"/>
      <c r="AHY93" s="155"/>
      <c r="AHZ93" s="155"/>
      <c r="AIA93" s="155"/>
      <c r="AIB93" s="155"/>
      <c r="AIC93" s="155"/>
      <c r="AID93" s="155"/>
      <c r="AIE93" s="155"/>
      <c r="AIF93" s="155"/>
      <c r="AIG93" s="155"/>
      <c r="AIH93" s="155"/>
      <c r="AII93" s="155"/>
      <c r="AIJ93" s="155"/>
      <c r="AIK93" s="155"/>
      <c r="AIL93" s="155"/>
    </row>
    <row r="94" spans="1:922" s="160" customFormat="1" x14ac:dyDescent="0.35">
      <c r="A94" s="155"/>
      <c r="B94" s="155"/>
      <c r="C94" s="155"/>
      <c r="D94" s="170" t="s">
        <v>160</v>
      </c>
      <c r="E94" s="178" t="s">
        <v>40</v>
      </c>
      <c r="F94" s="161">
        <f>+Fertilizer!C96</f>
        <v>167200.0843095298</v>
      </c>
      <c r="G94" s="178" t="s">
        <v>40</v>
      </c>
      <c r="H94" s="161">
        <f>+Manure!C96</f>
        <v>130266.75630952982</v>
      </c>
      <c r="I94" s="178" t="str">
        <f t="shared" si="18"/>
        <v>€</v>
      </c>
      <c r="J94" s="161">
        <f>+Manpower!C96</f>
        <v>101916.75630952982</v>
      </c>
      <c r="K94" s="178" t="str">
        <f t="shared" si="16"/>
        <v>€</v>
      </c>
      <c r="L94" s="161">
        <f>+Productivity!C96</f>
        <v>106533.42230952982</v>
      </c>
      <c r="M94" s="178" t="str">
        <f t="shared" si="17"/>
        <v>€</v>
      </c>
      <c r="N94" s="161">
        <f>+Reactor!C96</f>
        <v>105410.1358162984</v>
      </c>
      <c r="O94" s="155"/>
      <c r="P94" s="155"/>
      <c r="Q94" s="155"/>
      <c r="R94" s="155"/>
      <c r="S94" s="155"/>
      <c r="T94" s="155"/>
      <c r="U94" s="155"/>
      <c r="V94" s="155"/>
      <c r="W94" s="155"/>
      <c r="X94" s="155"/>
      <c r="Y94" s="155"/>
      <c r="Z94" s="155"/>
      <c r="AA94" s="155"/>
      <c r="AB94" s="155"/>
      <c r="AC94" s="155"/>
      <c r="AD94" s="155"/>
      <c r="AE94" s="155"/>
      <c r="AF94" s="155"/>
      <c r="AG94" s="155"/>
      <c r="AH94" s="155"/>
      <c r="AI94" s="155"/>
      <c r="AJ94" s="155"/>
      <c r="AK94" s="155"/>
      <c r="AL94" s="155"/>
      <c r="AM94" s="155"/>
      <c r="AN94" s="155"/>
      <c r="AO94" s="155"/>
      <c r="AP94" s="155"/>
      <c r="AQ94" s="155"/>
      <c r="AR94" s="155"/>
      <c r="AS94" s="155"/>
      <c r="AT94" s="155"/>
      <c r="AU94" s="155"/>
      <c r="AV94" s="155"/>
      <c r="AW94" s="155"/>
      <c r="AX94" s="155"/>
      <c r="AY94" s="155"/>
      <c r="AZ94" s="155"/>
      <c r="BA94" s="155"/>
      <c r="BB94" s="155"/>
      <c r="BC94" s="155"/>
      <c r="BD94" s="155"/>
      <c r="BE94" s="155"/>
      <c r="BF94" s="155"/>
      <c r="BG94" s="155"/>
      <c r="BH94" s="155"/>
      <c r="BI94" s="155"/>
      <c r="BJ94" s="155"/>
      <c r="BK94" s="155"/>
      <c r="BL94" s="155"/>
      <c r="BM94" s="155"/>
      <c r="BN94" s="155"/>
      <c r="BO94" s="155"/>
      <c r="BP94" s="155"/>
      <c r="BQ94" s="155"/>
      <c r="BR94" s="155"/>
      <c r="BS94" s="155"/>
      <c r="BT94" s="155"/>
      <c r="BU94" s="155"/>
      <c r="BV94" s="155"/>
      <c r="BW94" s="155"/>
      <c r="BX94" s="155"/>
      <c r="BY94" s="155"/>
      <c r="BZ94" s="155"/>
      <c r="CA94" s="155"/>
      <c r="CB94" s="155"/>
      <c r="CC94" s="155"/>
      <c r="CD94" s="155"/>
      <c r="CE94" s="155"/>
      <c r="CF94" s="155"/>
      <c r="CG94" s="155"/>
      <c r="CH94" s="155"/>
      <c r="CI94" s="155"/>
      <c r="CJ94" s="155"/>
      <c r="CK94" s="155"/>
      <c r="CL94" s="155"/>
      <c r="CM94" s="155"/>
      <c r="CN94" s="155"/>
      <c r="CO94" s="155"/>
      <c r="CP94" s="155"/>
      <c r="CQ94" s="155"/>
      <c r="CR94" s="155"/>
      <c r="CS94" s="155"/>
      <c r="CT94" s="155"/>
      <c r="CU94" s="155"/>
      <c r="CV94" s="155"/>
      <c r="CW94" s="155"/>
      <c r="CX94" s="155"/>
      <c r="CY94" s="155"/>
      <c r="CZ94" s="155"/>
      <c r="DA94" s="155"/>
      <c r="DB94" s="155"/>
      <c r="DC94" s="155"/>
      <c r="DD94" s="155"/>
      <c r="DE94" s="155"/>
      <c r="DF94" s="155"/>
      <c r="DG94" s="155"/>
      <c r="DH94" s="155"/>
      <c r="DI94" s="155"/>
      <c r="DJ94" s="155"/>
      <c r="DK94" s="155"/>
      <c r="DL94" s="155"/>
      <c r="DM94" s="155"/>
      <c r="DN94" s="155"/>
      <c r="DO94" s="155"/>
      <c r="DP94" s="155"/>
      <c r="DQ94" s="155"/>
      <c r="DR94" s="155"/>
      <c r="DS94" s="155"/>
      <c r="DT94" s="155"/>
      <c r="DU94" s="155"/>
      <c r="DV94" s="155"/>
      <c r="DW94" s="155"/>
      <c r="DX94" s="155"/>
      <c r="DY94" s="155"/>
      <c r="DZ94" s="155"/>
      <c r="EA94" s="155"/>
      <c r="EB94" s="155"/>
      <c r="EC94" s="155"/>
      <c r="ED94" s="155"/>
      <c r="EE94" s="155"/>
      <c r="EF94" s="155"/>
      <c r="EG94" s="155"/>
      <c r="EH94" s="155"/>
      <c r="EI94" s="155"/>
      <c r="EJ94" s="155"/>
      <c r="EK94" s="155"/>
      <c r="EL94" s="155"/>
      <c r="EM94" s="155"/>
      <c r="EN94" s="155"/>
      <c r="EO94" s="155"/>
      <c r="EP94" s="155"/>
      <c r="EQ94" s="155"/>
      <c r="ER94" s="155"/>
      <c r="ES94" s="155"/>
      <c r="ET94" s="155"/>
      <c r="EU94" s="155"/>
      <c r="EV94" s="155"/>
      <c r="EW94" s="155"/>
      <c r="EX94" s="155"/>
      <c r="EY94" s="155"/>
      <c r="EZ94" s="155"/>
      <c r="FA94" s="155"/>
      <c r="FB94" s="155"/>
      <c r="FC94" s="155"/>
      <c r="FD94" s="155"/>
      <c r="FE94" s="155"/>
      <c r="FF94" s="155"/>
      <c r="FG94" s="155"/>
      <c r="FH94" s="155"/>
      <c r="FI94" s="155"/>
      <c r="FJ94" s="155"/>
      <c r="FK94" s="155"/>
      <c r="FL94" s="155"/>
      <c r="FM94" s="155"/>
      <c r="FN94" s="155"/>
      <c r="FO94" s="155"/>
      <c r="FP94" s="155"/>
      <c r="FQ94" s="155"/>
      <c r="FR94" s="155"/>
      <c r="FS94" s="155"/>
      <c r="FT94" s="155"/>
      <c r="FU94" s="155"/>
      <c r="FV94" s="155"/>
      <c r="FW94" s="155"/>
      <c r="FX94" s="155"/>
      <c r="FY94" s="155"/>
      <c r="FZ94" s="155"/>
      <c r="GA94" s="155"/>
      <c r="GB94" s="155"/>
      <c r="GC94" s="155"/>
      <c r="GD94" s="155"/>
      <c r="GE94" s="155"/>
      <c r="GF94" s="155"/>
      <c r="GG94" s="155"/>
      <c r="GH94" s="155"/>
      <c r="GI94" s="155"/>
      <c r="GJ94" s="155"/>
      <c r="GK94" s="155"/>
      <c r="GL94" s="155"/>
      <c r="GM94" s="155"/>
      <c r="GN94" s="155"/>
      <c r="GO94" s="155"/>
      <c r="GP94" s="155"/>
      <c r="GQ94" s="155"/>
      <c r="GR94" s="155"/>
      <c r="GS94" s="155"/>
      <c r="GT94" s="155"/>
      <c r="GU94" s="155"/>
      <c r="GV94" s="155"/>
      <c r="GW94" s="155"/>
      <c r="GX94" s="155"/>
      <c r="GY94" s="155"/>
      <c r="GZ94" s="155"/>
      <c r="HA94" s="155"/>
      <c r="HB94" s="155"/>
      <c r="HC94" s="155"/>
      <c r="HD94" s="155"/>
      <c r="HE94" s="155"/>
      <c r="HF94" s="155"/>
      <c r="HG94" s="155"/>
      <c r="HH94" s="155"/>
      <c r="HI94" s="155"/>
      <c r="HJ94" s="155"/>
      <c r="HK94" s="155"/>
      <c r="HL94" s="155"/>
      <c r="HM94" s="155"/>
      <c r="HN94" s="155"/>
      <c r="HO94" s="155"/>
      <c r="HP94" s="155"/>
      <c r="HQ94" s="155"/>
      <c r="HR94" s="155"/>
      <c r="HS94" s="155"/>
      <c r="HT94" s="155"/>
      <c r="HU94" s="155"/>
      <c r="HV94" s="155"/>
      <c r="HW94" s="155"/>
      <c r="HX94" s="155"/>
      <c r="HY94" s="155"/>
      <c r="HZ94" s="155"/>
      <c r="IA94" s="155"/>
      <c r="IB94" s="155"/>
      <c r="IC94" s="155"/>
      <c r="ID94" s="155"/>
      <c r="IE94" s="155"/>
      <c r="IF94" s="155"/>
      <c r="IG94" s="155"/>
      <c r="IH94" s="155"/>
      <c r="II94" s="155"/>
      <c r="IJ94" s="155"/>
      <c r="IK94" s="155"/>
      <c r="IL94" s="155"/>
      <c r="IM94" s="155"/>
      <c r="IN94" s="155"/>
      <c r="IO94" s="155"/>
      <c r="IP94" s="155"/>
      <c r="IQ94" s="155"/>
      <c r="IR94" s="155"/>
      <c r="IS94" s="155"/>
      <c r="IT94" s="155"/>
      <c r="IU94" s="155"/>
      <c r="IV94" s="155"/>
      <c r="IW94" s="155"/>
      <c r="IX94" s="155"/>
      <c r="IY94" s="155"/>
      <c r="IZ94" s="155"/>
      <c r="JA94" s="155"/>
      <c r="JB94" s="155"/>
      <c r="JC94" s="155"/>
      <c r="JD94" s="155"/>
      <c r="JE94" s="155"/>
      <c r="JF94" s="155"/>
      <c r="JG94" s="155"/>
      <c r="JH94" s="155"/>
      <c r="JI94" s="155"/>
      <c r="JJ94" s="155"/>
      <c r="JK94" s="155"/>
      <c r="JL94" s="155"/>
      <c r="JM94" s="155"/>
      <c r="JN94" s="155"/>
      <c r="JO94" s="155"/>
      <c r="JP94" s="155"/>
      <c r="JQ94" s="155"/>
      <c r="JR94" s="155"/>
      <c r="JS94" s="155"/>
      <c r="JT94" s="155"/>
      <c r="JU94" s="155"/>
      <c r="JV94" s="155"/>
      <c r="JW94" s="155"/>
      <c r="JX94" s="155"/>
      <c r="JY94" s="155"/>
      <c r="JZ94" s="155"/>
      <c r="KA94" s="155"/>
      <c r="KB94" s="155"/>
      <c r="KC94" s="155"/>
      <c r="KD94" s="155"/>
      <c r="KE94" s="155"/>
      <c r="KF94" s="155"/>
      <c r="KG94" s="155"/>
      <c r="KH94" s="155"/>
      <c r="KI94" s="155"/>
      <c r="KJ94" s="155"/>
      <c r="KK94" s="155"/>
      <c r="KL94" s="155"/>
      <c r="KM94" s="155"/>
      <c r="KN94" s="155"/>
      <c r="KO94" s="155"/>
      <c r="KP94" s="155"/>
      <c r="KQ94" s="155"/>
      <c r="KR94" s="155"/>
      <c r="KS94" s="155"/>
      <c r="KT94" s="155"/>
      <c r="KU94" s="155"/>
      <c r="KV94" s="155"/>
      <c r="KW94" s="155"/>
      <c r="KX94" s="155"/>
      <c r="KY94" s="155"/>
      <c r="KZ94" s="155"/>
      <c r="LA94" s="155"/>
      <c r="LB94" s="155"/>
      <c r="LC94" s="155"/>
      <c r="LD94" s="155"/>
      <c r="LE94" s="155"/>
      <c r="LF94" s="155"/>
      <c r="LG94" s="155"/>
      <c r="LH94" s="155"/>
      <c r="LI94" s="155"/>
      <c r="LJ94" s="155"/>
      <c r="LK94" s="155"/>
      <c r="LL94" s="155"/>
      <c r="LM94" s="155"/>
      <c r="LN94" s="155"/>
      <c r="LO94" s="155"/>
      <c r="LP94" s="155"/>
      <c r="LQ94" s="155"/>
      <c r="LR94" s="155"/>
      <c r="LS94" s="155"/>
      <c r="LT94" s="155"/>
      <c r="LU94" s="155"/>
      <c r="LV94" s="155"/>
      <c r="LW94" s="155"/>
      <c r="LX94" s="155"/>
      <c r="LY94" s="155"/>
      <c r="LZ94" s="155"/>
      <c r="MA94" s="155"/>
      <c r="MB94" s="155"/>
      <c r="MC94" s="155"/>
      <c r="MD94" s="155"/>
      <c r="ME94" s="155"/>
      <c r="MF94" s="155"/>
      <c r="MG94" s="155"/>
      <c r="MH94" s="155"/>
      <c r="MI94" s="155"/>
      <c r="MJ94" s="155"/>
      <c r="MK94" s="155"/>
      <c r="ML94" s="155"/>
      <c r="MM94" s="155"/>
      <c r="MN94" s="155"/>
      <c r="MO94" s="155"/>
      <c r="MP94" s="155"/>
      <c r="MQ94" s="155"/>
      <c r="MR94" s="155"/>
      <c r="MS94" s="155"/>
      <c r="MT94" s="155"/>
      <c r="MU94" s="155"/>
      <c r="MV94" s="155"/>
      <c r="MW94" s="155"/>
      <c r="MX94" s="155"/>
      <c r="MY94" s="155"/>
      <c r="MZ94" s="155"/>
      <c r="NA94" s="155"/>
      <c r="NB94" s="155"/>
      <c r="NC94" s="155"/>
      <c r="ND94" s="155"/>
      <c r="NE94" s="155"/>
      <c r="NF94" s="155"/>
      <c r="NG94" s="155"/>
      <c r="NH94" s="155"/>
      <c r="NI94" s="155"/>
      <c r="NJ94" s="155"/>
      <c r="NK94" s="155"/>
      <c r="NL94" s="155"/>
      <c r="NM94" s="155"/>
      <c r="NN94" s="155"/>
      <c r="NO94" s="155"/>
      <c r="NP94" s="155"/>
      <c r="NQ94" s="155"/>
      <c r="NR94" s="155"/>
      <c r="NS94" s="155"/>
      <c r="NT94" s="155"/>
      <c r="NU94" s="155"/>
      <c r="NV94" s="155"/>
      <c r="NW94" s="155"/>
      <c r="NX94" s="155"/>
      <c r="NY94" s="155"/>
      <c r="NZ94" s="155"/>
      <c r="OA94" s="155"/>
      <c r="OB94" s="155"/>
      <c r="OC94" s="155"/>
      <c r="OD94" s="155"/>
      <c r="OE94" s="155"/>
      <c r="OF94" s="155"/>
      <c r="OG94" s="155"/>
      <c r="OH94" s="155"/>
      <c r="OI94" s="155"/>
      <c r="OJ94" s="155"/>
      <c r="OK94" s="155"/>
      <c r="OL94" s="155"/>
      <c r="OM94" s="155"/>
      <c r="ON94" s="155"/>
      <c r="OO94" s="155"/>
      <c r="OP94" s="155"/>
      <c r="OQ94" s="155"/>
      <c r="OR94" s="155"/>
      <c r="OS94" s="155"/>
      <c r="OT94" s="155"/>
      <c r="OU94" s="155"/>
      <c r="OV94" s="155"/>
      <c r="OW94" s="155"/>
      <c r="OX94" s="155"/>
      <c r="OY94" s="155"/>
      <c r="OZ94" s="155"/>
      <c r="PA94" s="155"/>
      <c r="PB94" s="155"/>
      <c r="PC94" s="155"/>
      <c r="PD94" s="155"/>
      <c r="PE94" s="155"/>
      <c r="PF94" s="155"/>
      <c r="PG94" s="155"/>
      <c r="PH94" s="155"/>
      <c r="PI94" s="155"/>
      <c r="PJ94" s="155"/>
      <c r="PK94" s="155"/>
      <c r="PL94" s="155"/>
      <c r="PM94" s="155"/>
      <c r="PN94" s="155"/>
      <c r="PO94" s="155"/>
      <c r="PP94" s="155"/>
      <c r="PQ94" s="155"/>
      <c r="PR94" s="155"/>
      <c r="PS94" s="155"/>
      <c r="PT94" s="155"/>
      <c r="PU94" s="155"/>
      <c r="PV94" s="155"/>
      <c r="PW94" s="155"/>
      <c r="PX94" s="155"/>
      <c r="PY94" s="155"/>
      <c r="PZ94" s="155"/>
      <c r="QA94" s="155"/>
      <c r="QB94" s="155"/>
      <c r="QC94" s="155"/>
      <c r="QD94" s="155"/>
      <c r="QE94" s="155"/>
      <c r="QF94" s="155"/>
      <c r="QG94" s="155"/>
      <c r="QH94" s="155"/>
      <c r="QI94" s="155"/>
      <c r="QJ94" s="155"/>
      <c r="QK94" s="155"/>
      <c r="QL94" s="155"/>
      <c r="QM94" s="155"/>
      <c r="QN94" s="155"/>
      <c r="QO94" s="155"/>
      <c r="QP94" s="155"/>
      <c r="QQ94" s="155"/>
      <c r="QR94" s="155"/>
      <c r="QS94" s="155"/>
      <c r="QT94" s="155"/>
      <c r="QU94" s="155"/>
      <c r="QV94" s="155"/>
      <c r="QW94" s="155"/>
      <c r="QX94" s="155"/>
      <c r="QY94" s="155"/>
      <c r="QZ94" s="155"/>
      <c r="RA94" s="155"/>
      <c r="RB94" s="155"/>
      <c r="RC94" s="155"/>
      <c r="RD94" s="155"/>
      <c r="RE94" s="155"/>
      <c r="RF94" s="155"/>
      <c r="RG94" s="155"/>
      <c r="RH94" s="155"/>
      <c r="RI94" s="155"/>
      <c r="RJ94" s="155"/>
      <c r="RK94" s="155"/>
      <c r="RL94" s="155"/>
      <c r="RM94" s="155"/>
      <c r="RN94" s="155"/>
      <c r="RO94" s="155"/>
      <c r="RP94" s="155"/>
      <c r="RQ94" s="155"/>
      <c r="RR94" s="155"/>
      <c r="RS94" s="155"/>
      <c r="RT94" s="155"/>
      <c r="RU94" s="155"/>
      <c r="RV94" s="155"/>
      <c r="RW94" s="155"/>
      <c r="RX94" s="155"/>
      <c r="RY94" s="155"/>
      <c r="RZ94" s="155"/>
      <c r="SA94" s="155"/>
      <c r="SB94" s="155"/>
      <c r="SC94" s="155"/>
      <c r="SD94" s="155"/>
      <c r="SE94" s="155"/>
      <c r="SF94" s="155"/>
      <c r="SG94" s="155"/>
      <c r="SH94" s="155"/>
      <c r="SI94" s="155"/>
      <c r="SJ94" s="155"/>
      <c r="SK94" s="155"/>
      <c r="SL94" s="155"/>
      <c r="SM94" s="155"/>
      <c r="SN94" s="155"/>
      <c r="SO94" s="155"/>
      <c r="SP94" s="155"/>
      <c r="SQ94" s="155"/>
      <c r="SR94" s="155"/>
      <c r="SS94" s="155"/>
      <c r="ST94" s="155"/>
      <c r="SU94" s="155"/>
      <c r="SV94" s="155"/>
      <c r="SW94" s="155"/>
      <c r="SX94" s="155"/>
      <c r="SY94" s="155"/>
      <c r="SZ94" s="155"/>
      <c r="TA94" s="155"/>
      <c r="TB94" s="155"/>
      <c r="TC94" s="155"/>
      <c r="TD94" s="155"/>
      <c r="TE94" s="155"/>
      <c r="TF94" s="155"/>
      <c r="TG94" s="155"/>
      <c r="TH94" s="155"/>
      <c r="TI94" s="155"/>
      <c r="TJ94" s="155"/>
      <c r="TK94" s="155"/>
      <c r="TL94" s="155"/>
      <c r="TM94" s="155"/>
      <c r="TN94" s="155"/>
      <c r="TO94" s="155"/>
      <c r="TP94" s="155"/>
      <c r="TQ94" s="155"/>
      <c r="TR94" s="155"/>
      <c r="TS94" s="155"/>
      <c r="TT94" s="155"/>
      <c r="TU94" s="155"/>
      <c r="TV94" s="155"/>
      <c r="TW94" s="155"/>
      <c r="TX94" s="155"/>
      <c r="TY94" s="155"/>
      <c r="TZ94" s="155"/>
      <c r="UA94" s="155"/>
      <c r="UB94" s="155"/>
      <c r="UC94" s="155"/>
      <c r="UD94" s="155"/>
      <c r="UE94" s="155"/>
      <c r="UF94" s="155"/>
      <c r="UG94" s="155"/>
      <c r="UH94" s="155"/>
      <c r="UI94" s="155"/>
      <c r="UJ94" s="155"/>
      <c r="UK94" s="155"/>
      <c r="UL94" s="155"/>
      <c r="UM94" s="155"/>
      <c r="UN94" s="155"/>
      <c r="UO94" s="155"/>
      <c r="UP94" s="155"/>
      <c r="UQ94" s="155"/>
      <c r="UR94" s="155"/>
      <c r="US94" s="155"/>
      <c r="UT94" s="155"/>
      <c r="UU94" s="155"/>
      <c r="UV94" s="155"/>
      <c r="UW94" s="155"/>
      <c r="UX94" s="155"/>
      <c r="UY94" s="155"/>
      <c r="UZ94" s="155"/>
      <c r="VA94" s="155"/>
      <c r="VB94" s="155"/>
      <c r="VC94" s="155"/>
      <c r="VD94" s="155"/>
      <c r="VE94" s="155"/>
      <c r="VF94" s="155"/>
      <c r="VG94" s="155"/>
      <c r="VH94" s="155"/>
      <c r="VI94" s="155"/>
      <c r="VJ94" s="155"/>
      <c r="VK94" s="155"/>
      <c r="VL94" s="155"/>
      <c r="VM94" s="155"/>
      <c r="VN94" s="155"/>
      <c r="VO94" s="155"/>
      <c r="VP94" s="155"/>
      <c r="VQ94" s="155"/>
      <c r="VR94" s="155"/>
      <c r="VS94" s="155"/>
      <c r="VT94" s="155"/>
      <c r="VU94" s="155"/>
      <c r="VV94" s="155"/>
      <c r="VW94" s="155"/>
      <c r="VX94" s="155"/>
      <c r="VY94" s="155"/>
      <c r="VZ94" s="155"/>
      <c r="WA94" s="155"/>
      <c r="WB94" s="155"/>
      <c r="WC94" s="155"/>
      <c r="WD94" s="155"/>
      <c r="WE94" s="155"/>
      <c r="WF94" s="155"/>
      <c r="WG94" s="155"/>
      <c r="WH94" s="155"/>
      <c r="WI94" s="155"/>
      <c r="WJ94" s="155"/>
      <c r="WK94" s="155"/>
      <c r="WL94" s="155"/>
      <c r="WM94" s="155"/>
      <c r="WN94" s="155"/>
      <c r="WO94" s="155"/>
      <c r="WP94" s="155"/>
      <c r="WQ94" s="155"/>
      <c r="WR94" s="155"/>
      <c r="WS94" s="155"/>
      <c r="WT94" s="155"/>
      <c r="WU94" s="155"/>
      <c r="WV94" s="155"/>
      <c r="WW94" s="155"/>
      <c r="WX94" s="155"/>
      <c r="WY94" s="155"/>
      <c r="WZ94" s="155"/>
      <c r="XA94" s="155"/>
      <c r="XB94" s="155"/>
      <c r="XC94" s="155"/>
      <c r="XD94" s="155"/>
      <c r="XE94" s="155"/>
      <c r="XF94" s="155"/>
      <c r="XG94" s="155"/>
      <c r="XH94" s="155"/>
      <c r="XI94" s="155"/>
      <c r="XJ94" s="155"/>
      <c r="XK94" s="155"/>
      <c r="XL94" s="155"/>
      <c r="XM94" s="155"/>
      <c r="XN94" s="155"/>
      <c r="XO94" s="155"/>
      <c r="XP94" s="155"/>
      <c r="XQ94" s="155"/>
      <c r="XR94" s="155"/>
      <c r="XS94" s="155"/>
      <c r="XT94" s="155"/>
      <c r="XU94" s="155"/>
      <c r="XV94" s="155"/>
      <c r="XW94" s="155"/>
      <c r="XX94" s="155"/>
      <c r="XY94" s="155"/>
      <c r="XZ94" s="155"/>
      <c r="YA94" s="155"/>
      <c r="YB94" s="155"/>
      <c r="YC94" s="155"/>
      <c r="YD94" s="155"/>
      <c r="YE94" s="155"/>
      <c r="YF94" s="155"/>
      <c r="YG94" s="155"/>
      <c r="YH94" s="155"/>
      <c r="YI94" s="155"/>
      <c r="YJ94" s="155"/>
      <c r="YK94" s="155"/>
      <c r="YL94" s="155"/>
      <c r="YM94" s="155"/>
      <c r="YN94" s="155"/>
      <c r="YO94" s="155"/>
      <c r="YP94" s="155"/>
      <c r="YQ94" s="155"/>
      <c r="YR94" s="155"/>
      <c r="YS94" s="155"/>
      <c r="YT94" s="155"/>
      <c r="YU94" s="155"/>
      <c r="YV94" s="155"/>
      <c r="YW94" s="155"/>
      <c r="YX94" s="155"/>
      <c r="YY94" s="155"/>
      <c r="YZ94" s="155"/>
      <c r="ZA94" s="155"/>
      <c r="ZB94" s="155"/>
      <c r="ZC94" s="155"/>
      <c r="ZD94" s="155"/>
      <c r="ZE94" s="155"/>
      <c r="ZF94" s="155"/>
      <c r="ZG94" s="155"/>
      <c r="ZH94" s="155"/>
      <c r="ZI94" s="155"/>
      <c r="ZJ94" s="155"/>
      <c r="ZK94" s="155"/>
      <c r="ZL94" s="155"/>
      <c r="ZM94" s="155"/>
      <c r="ZN94" s="155"/>
      <c r="ZO94" s="155"/>
      <c r="ZP94" s="155"/>
      <c r="ZQ94" s="155"/>
      <c r="ZR94" s="155"/>
      <c r="ZS94" s="155"/>
      <c r="ZT94" s="155"/>
      <c r="ZU94" s="155"/>
      <c r="ZV94" s="155"/>
      <c r="ZW94" s="155"/>
      <c r="ZX94" s="155"/>
      <c r="ZY94" s="155"/>
      <c r="ZZ94" s="155"/>
      <c r="AAA94" s="155"/>
      <c r="AAB94" s="155"/>
      <c r="AAC94" s="155"/>
      <c r="AAD94" s="155"/>
      <c r="AAE94" s="155"/>
      <c r="AAF94" s="155"/>
      <c r="AAG94" s="155"/>
      <c r="AAH94" s="155"/>
      <c r="AAI94" s="155"/>
      <c r="AAJ94" s="155"/>
      <c r="AAK94" s="155"/>
      <c r="AAL94" s="155"/>
      <c r="AAM94" s="155"/>
      <c r="AAN94" s="155"/>
      <c r="AAO94" s="155"/>
      <c r="AAP94" s="155"/>
      <c r="AAQ94" s="155"/>
      <c r="AAR94" s="155"/>
      <c r="AAS94" s="155"/>
      <c r="AAT94" s="155"/>
      <c r="AAU94" s="155"/>
      <c r="AAV94" s="155"/>
      <c r="AAW94" s="155"/>
      <c r="AAX94" s="155"/>
      <c r="AAY94" s="155"/>
      <c r="AAZ94" s="155"/>
      <c r="ABA94" s="155"/>
      <c r="ABB94" s="155"/>
      <c r="ABC94" s="155"/>
      <c r="ABD94" s="155"/>
      <c r="ABE94" s="155"/>
      <c r="ABF94" s="155"/>
      <c r="ABG94" s="155"/>
      <c r="ABH94" s="155"/>
      <c r="ABI94" s="155"/>
      <c r="ABJ94" s="155"/>
      <c r="ABK94" s="155"/>
      <c r="ABL94" s="155"/>
      <c r="ABM94" s="155"/>
      <c r="ABN94" s="155"/>
      <c r="ABO94" s="155"/>
      <c r="ABP94" s="155"/>
      <c r="ABQ94" s="155"/>
      <c r="ABR94" s="155"/>
      <c r="ABS94" s="155"/>
      <c r="ABT94" s="155"/>
      <c r="ABU94" s="155"/>
      <c r="ABV94" s="155"/>
      <c r="ABW94" s="155"/>
      <c r="ABX94" s="155"/>
      <c r="ABY94" s="155"/>
      <c r="ABZ94" s="155"/>
      <c r="ACA94" s="155"/>
      <c r="ACB94" s="155"/>
      <c r="ACC94" s="155"/>
      <c r="ACD94" s="155"/>
      <c r="ACE94" s="155"/>
      <c r="ACF94" s="155"/>
      <c r="ACG94" s="155"/>
      <c r="ACH94" s="155"/>
      <c r="ACI94" s="155"/>
      <c r="ACJ94" s="155"/>
      <c r="ACK94" s="155"/>
      <c r="ACL94" s="155"/>
      <c r="ACM94" s="155"/>
      <c r="ACN94" s="155"/>
      <c r="ACO94" s="155"/>
      <c r="ACP94" s="155"/>
      <c r="ACQ94" s="155"/>
      <c r="ACR94" s="155"/>
      <c r="ACS94" s="155"/>
      <c r="ACT94" s="155"/>
      <c r="ACU94" s="155"/>
      <c r="ACV94" s="155"/>
      <c r="ACW94" s="155"/>
      <c r="ACX94" s="155"/>
      <c r="ACY94" s="155"/>
      <c r="ACZ94" s="155"/>
      <c r="ADA94" s="155"/>
      <c r="ADB94" s="155"/>
      <c r="ADC94" s="155"/>
      <c r="ADD94" s="155"/>
      <c r="ADE94" s="155"/>
      <c r="ADF94" s="155"/>
      <c r="ADG94" s="155"/>
      <c r="ADH94" s="155"/>
      <c r="ADI94" s="155"/>
      <c r="ADJ94" s="155"/>
      <c r="ADK94" s="155"/>
      <c r="ADL94" s="155"/>
      <c r="ADM94" s="155"/>
      <c r="ADN94" s="155"/>
      <c r="ADO94" s="155"/>
      <c r="ADP94" s="155"/>
      <c r="ADQ94" s="155"/>
      <c r="ADR94" s="155"/>
      <c r="ADS94" s="155"/>
      <c r="ADT94" s="155"/>
      <c r="ADU94" s="155"/>
      <c r="ADV94" s="155"/>
      <c r="ADW94" s="155"/>
      <c r="ADX94" s="155"/>
      <c r="ADY94" s="155"/>
      <c r="ADZ94" s="155"/>
      <c r="AEA94" s="155"/>
      <c r="AEB94" s="155"/>
      <c r="AEC94" s="155"/>
      <c r="AED94" s="155"/>
      <c r="AEE94" s="155"/>
      <c r="AEF94" s="155"/>
      <c r="AEG94" s="155"/>
      <c r="AEH94" s="155"/>
      <c r="AEI94" s="155"/>
      <c r="AEJ94" s="155"/>
      <c r="AEK94" s="155"/>
      <c r="AEL94" s="155"/>
      <c r="AEM94" s="155"/>
      <c r="AEN94" s="155"/>
      <c r="AEO94" s="155"/>
      <c r="AEP94" s="155"/>
      <c r="AEQ94" s="155"/>
      <c r="AER94" s="155"/>
      <c r="AES94" s="155"/>
      <c r="AET94" s="155"/>
      <c r="AEU94" s="155"/>
      <c r="AEV94" s="155"/>
      <c r="AEW94" s="155"/>
      <c r="AEX94" s="155"/>
      <c r="AEY94" s="155"/>
      <c r="AEZ94" s="155"/>
      <c r="AFA94" s="155"/>
      <c r="AFB94" s="155"/>
      <c r="AFC94" s="155"/>
      <c r="AFD94" s="155"/>
      <c r="AFE94" s="155"/>
      <c r="AFF94" s="155"/>
      <c r="AFG94" s="155"/>
      <c r="AFH94" s="155"/>
      <c r="AFI94" s="155"/>
      <c r="AFJ94" s="155"/>
      <c r="AFK94" s="155"/>
      <c r="AFL94" s="155"/>
      <c r="AFM94" s="155"/>
      <c r="AFN94" s="155"/>
      <c r="AFO94" s="155"/>
      <c r="AFP94" s="155"/>
      <c r="AFQ94" s="155"/>
      <c r="AFR94" s="155"/>
      <c r="AFS94" s="155"/>
      <c r="AFT94" s="155"/>
      <c r="AFU94" s="155"/>
      <c r="AFV94" s="155"/>
      <c r="AFW94" s="155"/>
      <c r="AFX94" s="155"/>
      <c r="AFY94" s="155"/>
      <c r="AFZ94" s="155"/>
      <c r="AGA94" s="155"/>
      <c r="AGB94" s="155"/>
      <c r="AGC94" s="155"/>
      <c r="AGD94" s="155"/>
      <c r="AGE94" s="155"/>
      <c r="AGF94" s="155"/>
      <c r="AGG94" s="155"/>
      <c r="AGH94" s="155"/>
      <c r="AGI94" s="155"/>
      <c r="AGJ94" s="155"/>
      <c r="AGK94" s="155"/>
      <c r="AGL94" s="155"/>
      <c r="AGM94" s="155"/>
      <c r="AGN94" s="155"/>
      <c r="AGO94" s="155"/>
      <c r="AGP94" s="155"/>
      <c r="AGQ94" s="155"/>
      <c r="AGR94" s="155"/>
      <c r="AGS94" s="155"/>
      <c r="AGT94" s="155"/>
      <c r="AGU94" s="155"/>
      <c r="AGV94" s="155"/>
      <c r="AGW94" s="155"/>
      <c r="AGX94" s="155"/>
      <c r="AGY94" s="155"/>
      <c r="AGZ94" s="155"/>
      <c r="AHA94" s="155"/>
      <c r="AHB94" s="155"/>
      <c r="AHC94" s="155"/>
      <c r="AHD94" s="155"/>
      <c r="AHE94" s="155"/>
      <c r="AHF94" s="155"/>
      <c r="AHG94" s="155"/>
      <c r="AHH94" s="155"/>
      <c r="AHI94" s="155"/>
      <c r="AHJ94" s="155"/>
      <c r="AHK94" s="155"/>
      <c r="AHL94" s="155"/>
      <c r="AHM94" s="155"/>
      <c r="AHN94" s="155"/>
      <c r="AHO94" s="155"/>
      <c r="AHP94" s="155"/>
      <c r="AHQ94" s="155"/>
      <c r="AHR94" s="155"/>
      <c r="AHS94" s="155"/>
      <c r="AHT94" s="155"/>
      <c r="AHU94" s="155"/>
      <c r="AHV94" s="155"/>
      <c r="AHW94" s="155"/>
      <c r="AHX94" s="155"/>
      <c r="AHY94" s="155"/>
      <c r="AHZ94" s="155"/>
      <c r="AIA94" s="155"/>
      <c r="AIB94" s="155"/>
      <c r="AIC94" s="155"/>
      <c r="AID94" s="155"/>
      <c r="AIE94" s="155"/>
      <c r="AIF94" s="155"/>
      <c r="AIG94" s="155"/>
      <c r="AIH94" s="155"/>
      <c r="AII94" s="155"/>
      <c r="AIJ94" s="155"/>
      <c r="AIK94" s="155"/>
      <c r="AIL94" s="155"/>
    </row>
    <row r="95" spans="1:922" s="160" customFormat="1" x14ac:dyDescent="0.35">
      <c r="A95" s="155"/>
      <c r="B95" s="155"/>
      <c r="C95" s="155"/>
      <c r="D95" s="170" t="s">
        <v>159</v>
      </c>
      <c r="E95" s="178" t="s">
        <v>40</v>
      </c>
      <c r="F95" s="161">
        <f>+Fertilizer!C97</f>
        <v>213575.07943890747</v>
      </c>
      <c r="G95" s="178" t="s">
        <v>40</v>
      </c>
      <c r="H95" s="161">
        <f>+Manure!C97</f>
        <v>176641.75143890749</v>
      </c>
      <c r="I95" s="178" t="str">
        <f t="shared" si="18"/>
        <v>€</v>
      </c>
      <c r="J95" s="161">
        <f>+Manpower!C97</f>
        <v>148291.75143890749</v>
      </c>
      <c r="K95" s="178" t="str">
        <f t="shared" si="16"/>
        <v>€</v>
      </c>
      <c r="L95" s="161">
        <f>+Productivity!C97</f>
        <v>152908.41743890749</v>
      </c>
      <c r="M95" s="178" t="str">
        <f t="shared" si="17"/>
        <v>€</v>
      </c>
      <c r="N95" s="161">
        <f>+Reactor!C97</f>
        <v>145816.74055223214</v>
      </c>
      <c r="O95" s="155"/>
      <c r="P95" s="155"/>
      <c r="Q95" s="155"/>
      <c r="R95" s="155"/>
      <c r="S95" s="155"/>
      <c r="T95" s="155"/>
      <c r="U95" s="155"/>
      <c r="V95" s="155"/>
      <c r="W95" s="155"/>
      <c r="X95" s="155"/>
      <c r="Y95" s="155"/>
      <c r="Z95" s="155"/>
      <c r="AA95" s="155"/>
      <c r="AB95" s="155"/>
      <c r="AC95" s="155"/>
      <c r="AD95" s="155"/>
      <c r="AE95" s="155"/>
      <c r="AF95" s="155"/>
      <c r="AG95" s="155"/>
      <c r="AH95" s="155"/>
      <c r="AI95" s="155"/>
      <c r="AJ95" s="155"/>
      <c r="AK95" s="155"/>
      <c r="AL95" s="155"/>
      <c r="AM95" s="155"/>
      <c r="AN95" s="155"/>
      <c r="AO95" s="155"/>
      <c r="AP95" s="155"/>
      <c r="AQ95" s="155"/>
      <c r="AR95" s="155"/>
      <c r="AS95" s="155"/>
      <c r="AT95" s="155"/>
      <c r="AU95" s="155"/>
      <c r="AV95" s="155"/>
      <c r="AW95" s="155"/>
      <c r="AX95" s="155"/>
      <c r="AY95" s="155"/>
      <c r="AZ95" s="155"/>
      <c r="BA95" s="155"/>
      <c r="BB95" s="155"/>
      <c r="BC95" s="155"/>
      <c r="BD95" s="155"/>
      <c r="BE95" s="155"/>
      <c r="BF95" s="155"/>
      <c r="BG95" s="155"/>
      <c r="BH95" s="155"/>
      <c r="BI95" s="155"/>
      <c r="BJ95" s="155"/>
      <c r="BK95" s="155"/>
      <c r="BL95" s="155"/>
      <c r="BM95" s="155"/>
      <c r="BN95" s="155"/>
      <c r="BO95" s="155"/>
      <c r="BP95" s="155"/>
      <c r="BQ95" s="155"/>
      <c r="BR95" s="155"/>
      <c r="BS95" s="155"/>
      <c r="BT95" s="155"/>
      <c r="BU95" s="155"/>
      <c r="BV95" s="155"/>
      <c r="BW95" s="155"/>
      <c r="BX95" s="155"/>
      <c r="BY95" s="155"/>
      <c r="BZ95" s="155"/>
      <c r="CA95" s="155"/>
      <c r="CB95" s="155"/>
      <c r="CC95" s="155"/>
      <c r="CD95" s="155"/>
      <c r="CE95" s="155"/>
      <c r="CF95" s="155"/>
      <c r="CG95" s="155"/>
      <c r="CH95" s="155"/>
      <c r="CI95" s="155"/>
      <c r="CJ95" s="155"/>
      <c r="CK95" s="155"/>
      <c r="CL95" s="155"/>
      <c r="CM95" s="155"/>
      <c r="CN95" s="155"/>
      <c r="CO95" s="155"/>
      <c r="CP95" s="155"/>
      <c r="CQ95" s="155"/>
      <c r="CR95" s="155"/>
      <c r="CS95" s="155"/>
      <c r="CT95" s="155"/>
      <c r="CU95" s="155"/>
      <c r="CV95" s="155"/>
      <c r="CW95" s="155"/>
      <c r="CX95" s="155"/>
      <c r="CY95" s="155"/>
      <c r="CZ95" s="155"/>
      <c r="DA95" s="155"/>
      <c r="DB95" s="155"/>
      <c r="DC95" s="155"/>
      <c r="DD95" s="155"/>
      <c r="DE95" s="155"/>
      <c r="DF95" s="155"/>
      <c r="DG95" s="155"/>
      <c r="DH95" s="155"/>
      <c r="DI95" s="155"/>
      <c r="DJ95" s="155"/>
      <c r="DK95" s="155"/>
      <c r="DL95" s="155"/>
      <c r="DM95" s="155"/>
      <c r="DN95" s="155"/>
      <c r="DO95" s="155"/>
      <c r="DP95" s="155"/>
      <c r="DQ95" s="155"/>
      <c r="DR95" s="155"/>
      <c r="DS95" s="155"/>
      <c r="DT95" s="155"/>
      <c r="DU95" s="155"/>
      <c r="DV95" s="155"/>
      <c r="DW95" s="155"/>
      <c r="DX95" s="155"/>
      <c r="DY95" s="155"/>
      <c r="DZ95" s="155"/>
      <c r="EA95" s="155"/>
      <c r="EB95" s="155"/>
      <c r="EC95" s="155"/>
      <c r="ED95" s="155"/>
      <c r="EE95" s="155"/>
      <c r="EF95" s="155"/>
      <c r="EG95" s="155"/>
      <c r="EH95" s="155"/>
      <c r="EI95" s="155"/>
      <c r="EJ95" s="155"/>
      <c r="EK95" s="155"/>
      <c r="EL95" s="155"/>
      <c r="EM95" s="155"/>
      <c r="EN95" s="155"/>
      <c r="EO95" s="155"/>
      <c r="EP95" s="155"/>
      <c r="EQ95" s="155"/>
      <c r="ER95" s="155"/>
      <c r="ES95" s="155"/>
      <c r="ET95" s="155"/>
      <c r="EU95" s="155"/>
      <c r="EV95" s="155"/>
      <c r="EW95" s="155"/>
      <c r="EX95" s="155"/>
      <c r="EY95" s="155"/>
      <c r="EZ95" s="155"/>
      <c r="FA95" s="155"/>
      <c r="FB95" s="155"/>
      <c r="FC95" s="155"/>
      <c r="FD95" s="155"/>
      <c r="FE95" s="155"/>
      <c r="FF95" s="155"/>
      <c r="FG95" s="155"/>
      <c r="FH95" s="155"/>
      <c r="FI95" s="155"/>
      <c r="FJ95" s="155"/>
      <c r="FK95" s="155"/>
      <c r="FL95" s="155"/>
      <c r="FM95" s="155"/>
      <c r="FN95" s="155"/>
      <c r="FO95" s="155"/>
      <c r="FP95" s="155"/>
      <c r="FQ95" s="155"/>
      <c r="FR95" s="155"/>
      <c r="FS95" s="155"/>
      <c r="FT95" s="155"/>
      <c r="FU95" s="155"/>
      <c r="FV95" s="155"/>
      <c r="FW95" s="155"/>
      <c r="FX95" s="155"/>
      <c r="FY95" s="155"/>
      <c r="FZ95" s="155"/>
      <c r="GA95" s="155"/>
      <c r="GB95" s="155"/>
      <c r="GC95" s="155"/>
      <c r="GD95" s="155"/>
      <c r="GE95" s="155"/>
      <c r="GF95" s="155"/>
      <c r="GG95" s="155"/>
      <c r="GH95" s="155"/>
      <c r="GI95" s="155"/>
      <c r="GJ95" s="155"/>
      <c r="GK95" s="155"/>
      <c r="GL95" s="155"/>
      <c r="GM95" s="155"/>
      <c r="GN95" s="155"/>
      <c r="GO95" s="155"/>
      <c r="GP95" s="155"/>
      <c r="GQ95" s="155"/>
      <c r="GR95" s="155"/>
      <c r="GS95" s="155"/>
      <c r="GT95" s="155"/>
      <c r="GU95" s="155"/>
      <c r="GV95" s="155"/>
      <c r="GW95" s="155"/>
      <c r="GX95" s="155"/>
      <c r="GY95" s="155"/>
      <c r="GZ95" s="155"/>
      <c r="HA95" s="155"/>
      <c r="HB95" s="155"/>
      <c r="HC95" s="155"/>
      <c r="HD95" s="155"/>
      <c r="HE95" s="155"/>
      <c r="HF95" s="155"/>
      <c r="HG95" s="155"/>
      <c r="HH95" s="155"/>
      <c r="HI95" s="155"/>
      <c r="HJ95" s="155"/>
      <c r="HK95" s="155"/>
      <c r="HL95" s="155"/>
      <c r="HM95" s="155"/>
      <c r="HN95" s="155"/>
      <c r="HO95" s="155"/>
      <c r="HP95" s="155"/>
      <c r="HQ95" s="155"/>
      <c r="HR95" s="155"/>
      <c r="HS95" s="155"/>
      <c r="HT95" s="155"/>
      <c r="HU95" s="155"/>
      <c r="HV95" s="155"/>
      <c r="HW95" s="155"/>
      <c r="HX95" s="155"/>
      <c r="HY95" s="155"/>
      <c r="HZ95" s="155"/>
      <c r="IA95" s="155"/>
      <c r="IB95" s="155"/>
      <c r="IC95" s="155"/>
      <c r="ID95" s="155"/>
      <c r="IE95" s="155"/>
      <c r="IF95" s="155"/>
      <c r="IG95" s="155"/>
      <c r="IH95" s="155"/>
      <c r="II95" s="155"/>
      <c r="IJ95" s="155"/>
      <c r="IK95" s="155"/>
      <c r="IL95" s="155"/>
      <c r="IM95" s="155"/>
      <c r="IN95" s="155"/>
      <c r="IO95" s="155"/>
      <c r="IP95" s="155"/>
      <c r="IQ95" s="155"/>
      <c r="IR95" s="155"/>
      <c r="IS95" s="155"/>
      <c r="IT95" s="155"/>
      <c r="IU95" s="155"/>
      <c r="IV95" s="155"/>
      <c r="IW95" s="155"/>
      <c r="IX95" s="155"/>
      <c r="IY95" s="155"/>
      <c r="IZ95" s="155"/>
      <c r="JA95" s="155"/>
      <c r="JB95" s="155"/>
      <c r="JC95" s="155"/>
      <c r="JD95" s="155"/>
      <c r="JE95" s="155"/>
      <c r="JF95" s="155"/>
      <c r="JG95" s="155"/>
      <c r="JH95" s="155"/>
      <c r="JI95" s="155"/>
      <c r="JJ95" s="155"/>
      <c r="JK95" s="155"/>
      <c r="JL95" s="155"/>
      <c r="JM95" s="155"/>
      <c r="JN95" s="155"/>
      <c r="JO95" s="155"/>
      <c r="JP95" s="155"/>
      <c r="JQ95" s="155"/>
      <c r="JR95" s="155"/>
      <c r="JS95" s="155"/>
      <c r="JT95" s="155"/>
      <c r="JU95" s="155"/>
      <c r="JV95" s="155"/>
      <c r="JW95" s="155"/>
      <c r="JX95" s="155"/>
      <c r="JY95" s="155"/>
      <c r="JZ95" s="155"/>
      <c r="KA95" s="155"/>
      <c r="KB95" s="155"/>
      <c r="KC95" s="155"/>
      <c r="KD95" s="155"/>
      <c r="KE95" s="155"/>
      <c r="KF95" s="155"/>
      <c r="KG95" s="155"/>
      <c r="KH95" s="155"/>
      <c r="KI95" s="155"/>
      <c r="KJ95" s="155"/>
      <c r="KK95" s="155"/>
      <c r="KL95" s="155"/>
      <c r="KM95" s="155"/>
      <c r="KN95" s="155"/>
      <c r="KO95" s="155"/>
      <c r="KP95" s="155"/>
      <c r="KQ95" s="155"/>
      <c r="KR95" s="155"/>
      <c r="KS95" s="155"/>
      <c r="KT95" s="155"/>
      <c r="KU95" s="155"/>
      <c r="KV95" s="155"/>
      <c r="KW95" s="155"/>
      <c r="KX95" s="155"/>
      <c r="KY95" s="155"/>
      <c r="KZ95" s="155"/>
      <c r="LA95" s="155"/>
      <c r="LB95" s="155"/>
      <c r="LC95" s="155"/>
      <c r="LD95" s="155"/>
      <c r="LE95" s="155"/>
      <c r="LF95" s="155"/>
      <c r="LG95" s="155"/>
      <c r="LH95" s="155"/>
      <c r="LI95" s="155"/>
      <c r="LJ95" s="155"/>
      <c r="LK95" s="155"/>
      <c r="LL95" s="155"/>
      <c r="LM95" s="155"/>
      <c r="LN95" s="155"/>
      <c r="LO95" s="155"/>
      <c r="LP95" s="155"/>
      <c r="LQ95" s="155"/>
      <c r="LR95" s="155"/>
      <c r="LS95" s="155"/>
      <c r="LT95" s="155"/>
      <c r="LU95" s="155"/>
      <c r="LV95" s="155"/>
      <c r="LW95" s="155"/>
      <c r="LX95" s="155"/>
      <c r="LY95" s="155"/>
      <c r="LZ95" s="155"/>
      <c r="MA95" s="155"/>
      <c r="MB95" s="155"/>
      <c r="MC95" s="155"/>
      <c r="MD95" s="155"/>
      <c r="ME95" s="155"/>
      <c r="MF95" s="155"/>
      <c r="MG95" s="155"/>
      <c r="MH95" s="155"/>
      <c r="MI95" s="155"/>
      <c r="MJ95" s="155"/>
      <c r="MK95" s="155"/>
      <c r="ML95" s="155"/>
      <c r="MM95" s="155"/>
      <c r="MN95" s="155"/>
      <c r="MO95" s="155"/>
      <c r="MP95" s="155"/>
      <c r="MQ95" s="155"/>
      <c r="MR95" s="155"/>
      <c r="MS95" s="155"/>
      <c r="MT95" s="155"/>
      <c r="MU95" s="155"/>
      <c r="MV95" s="155"/>
      <c r="MW95" s="155"/>
      <c r="MX95" s="155"/>
      <c r="MY95" s="155"/>
      <c r="MZ95" s="155"/>
      <c r="NA95" s="155"/>
      <c r="NB95" s="155"/>
      <c r="NC95" s="155"/>
      <c r="ND95" s="155"/>
      <c r="NE95" s="155"/>
      <c r="NF95" s="155"/>
      <c r="NG95" s="155"/>
      <c r="NH95" s="155"/>
      <c r="NI95" s="155"/>
      <c r="NJ95" s="155"/>
      <c r="NK95" s="155"/>
      <c r="NL95" s="155"/>
      <c r="NM95" s="155"/>
      <c r="NN95" s="155"/>
      <c r="NO95" s="155"/>
      <c r="NP95" s="155"/>
      <c r="NQ95" s="155"/>
      <c r="NR95" s="155"/>
      <c r="NS95" s="155"/>
      <c r="NT95" s="155"/>
      <c r="NU95" s="155"/>
      <c r="NV95" s="155"/>
      <c r="NW95" s="155"/>
      <c r="NX95" s="155"/>
      <c r="NY95" s="155"/>
      <c r="NZ95" s="155"/>
      <c r="OA95" s="155"/>
      <c r="OB95" s="155"/>
      <c r="OC95" s="155"/>
      <c r="OD95" s="155"/>
      <c r="OE95" s="155"/>
      <c r="OF95" s="155"/>
      <c r="OG95" s="155"/>
      <c r="OH95" s="155"/>
      <c r="OI95" s="155"/>
      <c r="OJ95" s="155"/>
      <c r="OK95" s="155"/>
      <c r="OL95" s="155"/>
      <c r="OM95" s="155"/>
      <c r="ON95" s="155"/>
      <c r="OO95" s="155"/>
      <c r="OP95" s="155"/>
      <c r="OQ95" s="155"/>
      <c r="OR95" s="155"/>
      <c r="OS95" s="155"/>
      <c r="OT95" s="155"/>
      <c r="OU95" s="155"/>
      <c r="OV95" s="155"/>
      <c r="OW95" s="155"/>
      <c r="OX95" s="155"/>
      <c r="OY95" s="155"/>
      <c r="OZ95" s="155"/>
      <c r="PA95" s="155"/>
      <c r="PB95" s="155"/>
      <c r="PC95" s="155"/>
      <c r="PD95" s="155"/>
      <c r="PE95" s="155"/>
      <c r="PF95" s="155"/>
      <c r="PG95" s="155"/>
      <c r="PH95" s="155"/>
      <c r="PI95" s="155"/>
      <c r="PJ95" s="155"/>
      <c r="PK95" s="155"/>
      <c r="PL95" s="155"/>
      <c r="PM95" s="155"/>
      <c r="PN95" s="155"/>
      <c r="PO95" s="155"/>
      <c r="PP95" s="155"/>
      <c r="PQ95" s="155"/>
      <c r="PR95" s="155"/>
      <c r="PS95" s="155"/>
      <c r="PT95" s="155"/>
      <c r="PU95" s="155"/>
      <c r="PV95" s="155"/>
      <c r="PW95" s="155"/>
      <c r="PX95" s="155"/>
      <c r="PY95" s="155"/>
      <c r="PZ95" s="155"/>
      <c r="QA95" s="155"/>
      <c r="QB95" s="155"/>
      <c r="QC95" s="155"/>
      <c r="QD95" s="155"/>
      <c r="QE95" s="155"/>
      <c r="QF95" s="155"/>
      <c r="QG95" s="155"/>
      <c r="QH95" s="155"/>
      <c r="QI95" s="155"/>
      <c r="QJ95" s="155"/>
      <c r="QK95" s="155"/>
      <c r="QL95" s="155"/>
      <c r="QM95" s="155"/>
      <c r="QN95" s="155"/>
      <c r="QO95" s="155"/>
      <c r="QP95" s="155"/>
      <c r="QQ95" s="155"/>
      <c r="QR95" s="155"/>
      <c r="QS95" s="155"/>
      <c r="QT95" s="155"/>
      <c r="QU95" s="155"/>
      <c r="QV95" s="155"/>
      <c r="QW95" s="155"/>
      <c r="QX95" s="155"/>
      <c r="QY95" s="155"/>
      <c r="QZ95" s="155"/>
      <c r="RA95" s="155"/>
      <c r="RB95" s="155"/>
      <c r="RC95" s="155"/>
      <c r="RD95" s="155"/>
      <c r="RE95" s="155"/>
      <c r="RF95" s="155"/>
      <c r="RG95" s="155"/>
      <c r="RH95" s="155"/>
      <c r="RI95" s="155"/>
      <c r="RJ95" s="155"/>
      <c r="RK95" s="155"/>
      <c r="RL95" s="155"/>
      <c r="RM95" s="155"/>
      <c r="RN95" s="155"/>
      <c r="RO95" s="155"/>
      <c r="RP95" s="155"/>
      <c r="RQ95" s="155"/>
      <c r="RR95" s="155"/>
      <c r="RS95" s="155"/>
      <c r="RT95" s="155"/>
      <c r="RU95" s="155"/>
      <c r="RV95" s="155"/>
      <c r="RW95" s="155"/>
      <c r="RX95" s="155"/>
      <c r="RY95" s="155"/>
      <c r="RZ95" s="155"/>
      <c r="SA95" s="155"/>
      <c r="SB95" s="155"/>
      <c r="SC95" s="155"/>
      <c r="SD95" s="155"/>
      <c r="SE95" s="155"/>
      <c r="SF95" s="155"/>
      <c r="SG95" s="155"/>
      <c r="SH95" s="155"/>
      <c r="SI95" s="155"/>
      <c r="SJ95" s="155"/>
      <c r="SK95" s="155"/>
      <c r="SL95" s="155"/>
      <c r="SM95" s="155"/>
      <c r="SN95" s="155"/>
      <c r="SO95" s="155"/>
      <c r="SP95" s="155"/>
      <c r="SQ95" s="155"/>
      <c r="SR95" s="155"/>
      <c r="SS95" s="155"/>
      <c r="ST95" s="155"/>
      <c r="SU95" s="155"/>
      <c r="SV95" s="155"/>
      <c r="SW95" s="155"/>
      <c r="SX95" s="155"/>
      <c r="SY95" s="155"/>
      <c r="SZ95" s="155"/>
      <c r="TA95" s="155"/>
      <c r="TB95" s="155"/>
      <c r="TC95" s="155"/>
      <c r="TD95" s="155"/>
      <c r="TE95" s="155"/>
      <c r="TF95" s="155"/>
      <c r="TG95" s="155"/>
      <c r="TH95" s="155"/>
      <c r="TI95" s="155"/>
      <c r="TJ95" s="155"/>
      <c r="TK95" s="155"/>
      <c r="TL95" s="155"/>
      <c r="TM95" s="155"/>
      <c r="TN95" s="155"/>
      <c r="TO95" s="155"/>
      <c r="TP95" s="155"/>
      <c r="TQ95" s="155"/>
      <c r="TR95" s="155"/>
      <c r="TS95" s="155"/>
      <c r="TT95" s="155"/>
      <c r="TU95" s="155"/>
      <c r="TV95" s="155"/>
      <c r="TW95" s="155"/>
      <c r="TX95" s="155"/>
      <c r="TY95" s="155"/>
      <c r="TZ95" s="155"/>
      <c r="UA95" s="155"/>
      <c r="UB95" s="155"/>
      <c r="UC95" s="155"/>
      <c r="UD95" s="155"/>
      <c r="UE95" s="155"/>
      <c r="UF95" s="155"/>
      <c r="UG95" s="155"/>
      <c r="UH95" s="155"/>
      <c r="UI95" s="155"/>
      <c r="UJ95" s="155"/>
      <c r="UK95" s="155"/>
      <c r="UL95" s="155"/>
      <c r="UM95" s="155"/>
      <c r="UN95" s="155"/>
      <c r="UO95" s="155"/>
      <c r="UP95" s="155"/>
      <c r="UQ95" s="155"/>
      <c r="UR95" s="155"/>
      <c r="US95" s="155"/>
      <c r="UT95" s="155"/>
      <c r="UU95" s="155"/>
      <c r="UV95" s="155"/>
      <c r="UW95" s="155"/>
      <c r="UX95" s="155"/>
      <c r="UY95" s="155"/>
      <c r="UZ95" s="155"/>
      <c r="VA95" s="155"/>
      <c r="VB95" s="155"/>
      <c r="VC95" s="155"/>
      <c r="VD95" s="155"/>
      <c r="VE95" s="155"/>
      <c r="VF95" s="155"/>
      <c r="VG95" s="155"/>
      <c r="VH95" s="155"/>
      <c r="VI95" s="155"/>
      <c r="VJ95" s="155"/>
      <c r="VK95" s="155"/>
      <c r="VL95" s="155"/>
      <c r="VM95" s="155"/>
      <c r="VN95" s="155"/>
      <c r="VO95" s="155"/>
      <c r="VP95" s="155"/>
      <c r="VQ95" s="155"/>
      <c r="VR95" s="155"/>
      <c r="VS95" s="155"/>
      <c r="VT95" s="155"/>
      <c r="VU95" s="155"/>
      <c r="VV95" s="155"/>
      <c r="VW95" s="155"/>
      <c r="VX95" s="155"/>
      <c r="VY95" s="155"/>
      <c r="VZ95" s="155"/>
      <c r="WA95" s="155"/>
      <c r="WB95" s="155"/>
      <c r="WC95" s="155"/>
      <c r="WD95" s="155"/>
      <c r="WE95" s="155"/>
      <c r="WF95" s="155"/>
      <c r="WG95" s="155"/>
      <c r="WH95" s="155"/>
      <c r="WI95" s="155"/>
      <c r="WJ95" s="155"/>
      <c r="WK95" s="155"/>
      <c r="WL95" s="155"/>
      <c r="WM95" s="155"/>
      <c r="WN95" s="155"/>
      <c r="WO95" s="155"/>
      <c r="WP95" s="155"/>
      <c r="WQ95" s="155"/>
      <c r="WR95" s="155"/>
      <c r="WS95" s="155"/>
      <c r="WT95" s="155"/>
      <c r="WU95" s="155"/>
      <c r="WV95" s="155"/>
      <c r="WW95" s="155"/>
      <c r="WX95" s="155"/>
      <c r="WY95" s="155"/>
      <c r="WZ95" s="155"/>
      <c r="XA95" s="155"/>
      <c r="XB95" s="155"/>
      <c r="XC95" s="155"/>
      <c r="XD95" s="155"/>
      <c r="XE95" s="155"/>
      <c r="XF95" s="155"/>
      <c r="XG95" s="155"/>
      <c r="XH95" s="155"/>
      <c r="XI95" s="155"/>
      <c r="XJ95" s="155"/>
      <c r="XK95" s="155"/>
      <c r="XL95" s="155"/>
      <c r="XM95" s="155"/>
      <c r="XN95" s="155"/>
      <c r="XO95" s="155"/>
      <c r="XP95" s="155"/>
      <c r="XQ95" s="155"/>
      <c r="XR95" s="155"/>
      <c r="XS95" s="155"/>
      <c r="XT95" s="155"/>
      <c r="XU95" s="155"/>
      <c r="XV95" s="155"/>
      <c r="XW95" s="155"/>
      <c r="XX95" s="155"/>
      <c r="XY95" s="155"/>
      <c r="XZ95" s="155"/>
      <c r="YA95" s="155"/>
      <c r="YB95" s="155"/>
      <c r="YC95" s="155"/>
      <c r="YD95" s="155"/>
      <c r="YE95" s="155"/>
      <c r="YF95" s="155"/>
      <c r="YG95" s="155"/>
      <c r="YH95" s="155"/>
      <c r="YI95" s="155"/>
      <c r="YJ95" s="155"/>
      <c r="YK95" s="155"/>
      <c r="YL95" s="155"/>
      <c r="YM95" s="155"/>
      <c r="YN95" s="155"/>
      <c r="YO95" s="155"/>
      <c r="YP95" s="155"/>
      <c r="YQ95" s="155"/>
      <c r="YR95" s="155"/>
      <c r="YS95" s="155"/>
      <c r="YT95" s="155"/>
      <c r="YU95" s="155"/>
      <c r="YV95" s="155"/>
      <c r="YW95" s="155"/>
      <c r="YX95" s="155"/>
      <c r="YY95" s="155"/>
      <c r="YZ95" s="155"/>
      <c r="ZA95" s="155"/>
      <c r="ZB95" s="155"/>
      <c r="ZC95" s="155"/>
      <c r="ZD95" s="155"/>
      <c r="ZE95" s="155"/>
      <c r="ZF95" s="155"/>
      <c r="ZG95" s="155"/>
      <c r="ZH95" s="155"/>
      <c r="ZI95" s="155"/>
      <c r="ZJ95" s="155"/>
      <c r="ZK95" s="155"/>
      <c r="ZL95" s="155"/>
      <c r="ZM95" s="155"/>
      <c r="ZN95" s="155"/>
      <c r="ZO95" s="155"/>
      <c r="ZP95" s="155"/>
      <c r="ZQ95" s="155"/>
      <c r="ZR95" s="155"/>
      <c r="ZS95" s="155"/>
      <c r="ZT95" s="155"/>
      <c r="ZU95" s="155"/>
      <c r="ZV95" s="155"/>
      <c r="ZW95" s="155"/>
      <c r="ZX95" s="155"/>
      <c r="ZY95" s="155"/>
      <c r="ZZ95" s="155"/>
      <c r="AAA95" s="155"/>
      <c r="AAB95" s="155"/>
      <c r="AAC95" s="155"/>
      <c r="AAD95" s="155"/>
      <c r="AAE95" s="155"/>
      <c r="AAF95" s="155"/>
      <c r="AAG95" s="155"/>
      <c r="AAH95" s="155"/>
      <c r="AAI95" s="155"/>
      <c r="AAJ95" s="155"/>
      <c r="AAK95" s="155"/>
      <c r="AAL95" s="155"/>
      <c r="AAM95" s="155"/>
      <c r="AAN95" s="155"/>
      <c r="AAO95" s="155"/>
      <c r="AAP95" s="155"/>
      <c r="AAQ95" s="155"/>
      <c r="AAR95" s="155"/>
      <c r="AAS95" s="155"/>
      <c r="AAT95" s="155"/>
      <c r="AAU95" s="155"/>
      <c r="AAV95" s="155"/>
      <c r="AAW95" s="155"/>
      <c r="AAX95" s="155"/>
      <c r="AAY95" s="155"/>
      <c r="AAZ95" s="155"/>
      <c r="ABA95" s="155"/>
      <c r="ABB95" s="155"/>
      <c r="ABC95" s="155"/>
      <c r="ABD95" s="155"/>
      <c r="ABE95" s="155"/>
      <c r="ABF95" s="155"/>
      <c r="ABG95" s="155"/>
      <c r="ABH95" s="155"/>
      <c r="ABI95" s="155"/>
      <c r="ABJ95" s="155"/>
      <c r="ABK95" s="155"/>
      <c r="ABL95" s="155"/>
      <c r="ABM95" s="155"/>
      <c r="ABN95" s="155"/>
      <c r="ABO95" s="155"/>
      <c r="ABP95" s="155"/>
      <c r="ABQ95" s="155"/>
      <c r="ABR95" s="155"/>
      <c r="ABS95" s="155"/>
      <c r="ABT95" s="155"/>
      <c r="ABU95" s="155"/>
      <c r="ABV95" s="155"/>
      <c r="ABW95" s="155"/>
      <c r="ABX95" s="155"/>
      <c r="ABY95" s="155"/>
      <c r="ABZ95" s="155"/>
      <c r="ACA95" s="155"/>
      <c r="ACB95" s="155"/>
      <c r="ACC95" s="155"/>
      <c r="ACD95" s="155"/>
      <c r="ACE95" s="155"/>
      <c r="ACF95" s="155"/>
      <c r="ACG95" s="155"/>
      <c r="ACH95" s="155"/>
      <c r="ACI95" s="155"/>
      <c r="ACJ95" s="155"/>
      <c r="ACK95" s="155"/>
      <c r="ACL95" s="155"/>
      <c r="ACM95" s="155"/>
      <c r="ACN95" s="155"/>
      <c r="ACO95" s="155"/>
      <c r="ACP95" s="155"/>
      <c r="ACQ95" s="155"/>
      <c r="ACR95" s="155"/>
      <c r="ACS95" s="155"/>
      <c r="ACT95" s="155"/>
      <c r="ACU95" s="155"/>
      <c r="ACV95" s="155"/>
      <c r="ACW95" s="155"/>
      <c r="ACX95" s="155"/>
      <c r="ACY95" s="155"/>
      <c r="ACZ95" s="155"/>
      <c r="ADA95" s="155"/>
      <c r="ADB95" s="155"/>
      <c r="ADC95" s="155"/>
      <c r="ADD95" s="155"/>
      <c r="ADE95" s="155"/>
      <c r="ADF95" s="155"/>
      <c r="ADG95" s="155"/>
      <c r="ADH95" s="155"/>
      <c r="ADI95" s="155"/>
      <c r="ADJ95" s="155"/>
      <c r="ADK95" s="155"/>
      <c r="ADL95" s="155"/>
      <c r="ADM95" s="155"/>
      <c r="ADN95" s="155"/>
      <c r="ADO95" s="155"/>
      <c r="ADP95" s="155"/>
      <c r="ADQ95" s="155"/>
      <c r="ADR95" s="155"/>
      <c r="ADS95" s="155"/>
      <c r="ADT95" s="155"/>
      <c r="ADU95" s="155"/>
      <c r="ADV95" s="155"/>
      <c r="ADW95" s="155"/>
      <c r="ADX95" s="155"/>
      <c r="ADY95" s="155"/>
      <c r="ADZ95" s="155"/>
      <c r="AEA95" s="155"/>
      <c r="AEB95" s="155"/>
      <c r="AEC95" s="155"/>
      <c r="AED95" s="155"/>
      <c r="AEE95" s="155"/>
      <c r="AEF95" s="155"/>
      <c r="AEG95" s="155"/>
      <c r="AEH95" s="155"/>
      <c r="AEI95" s="155"/>
      <c r="AEJ95" s="155"/>
      <c r="AEK95" s="155"/>
      <c r="AEL95" s="155"/>
      <c r="AEM95" s="155"/>
      <c r="AEN95" s="155"/>
      <c r="AEO95" s="155"/>
      <c r="AEP95" s="155"/>
      <c r="AEQ95" s="155"/>
      <c r="AER95" s="155"/>
      <c r="AES95" s="155"/>
      <c r="AET95" s="155"/>
      <c r="AEU95" s="155"/>
      <c r="AEV95" s="155"/>
      <c r="AEW95" s="155"/>
      <c r="AEX95" s="155"/>
      <c r="AEY95" s="155"/>
      <c r="AEZ95" s="155"/>
      <c r="AFA95" s="155"/>
      <c r="AFB95" s="155"/>
      <c r="AFC95" s="155"/>
      <c r="AFD95" s="155"/>
      <c r="AFE95" s="155"/>
      <c r="AFF95" s="155"/>
      <c r="AFG95" s="155"/>
      <c r="AFH95" s="155"/>
      <c r="AFI95" s="155"/>
      <c r="AFJ95" s="155"/>
      <c r="AFK95" s="155"/>
      <c r="AFL95" s="155"/>
      <c r="AFM95" s="155"/>
      <c r="AFN95" s="155"/>
      <c r="AFO95" s="155"/>
      <c r="AFP95" s="155"/>
      <c r="AFQ95" s="155"/>
      <c r="AFR95" s="155"/>
      <c r="AFS95" s="155"/>
      <c r="AFT95" s="155"/>
      <c r="AFU95" s="155"/>
      <c r="AFV95" s="155"/>
      <c r="AFW95" s="155"/>
      <c r="AFX95" s="155"/>
      <c r="AFY95" s="155"/>
      <c r="AFZ95" s="155"/>
      <c r="AGA95" s="155"/>
      <c r="AGB95" s="155"/>
      <c r="AGC95" s="155"/>
      <c r="AGD95" s="155"/>
      <c r="AGE95" s="155"/>
      <c r="AGF95" s="155"/>
      <c r="AGG95" s="155"/>
      <c r="AGH95" s="155"/>
      <c r="AGI95" s="155"/>
      <c r="AGJ95" s="155"/>
      <c r="AGK95" s="155"/>
      <c r="AGL95" s="155"/>
      <c r="AGM95" s="155"/>
      <c r="AGN95" s="155"/>
      <c r="AGO95" s="155"/>
      <c r="AGP95" s="155"/>
      <c r="AGQ95" s="155"/>
      <c r="AGR95" s="155"/>
      <c r="AGS95" s="155"/>
      <c r="AGT95" s="155"/>
      <c r="AGU95" s="155"/>
      <c r="AGV95" s="155"/>
      <c r="AGW95" s="155"/>
      <c r="AGX95" s="155"/>
      <c r="AGY95" s="155"/>
      <c r="AGZ95" s="155"/>
      <c r="AHA95" s="155"/>
      <c r="AHB95" s="155"/>
      <c r="AHC95" s="155"/>
      <c r="AHD95" s="155"/>
      <c r="AHE95" s="155"/>
      <c r="AHF95" s="155"/>
      <c r="AHG95" s="155"/>
      <c r="AHH95" s="155"/>
      <c r="AHI95" s="155"/>
      <c r="AHJ95" s="155"/>
      <c r="AHK95" s="155"/>
      <c r="AHL95" s="155"/>
      <c r="AHM95" s="155"/>
      <c r="AHN95" s="155"/>
      <c r="AHO95" s="155"/>
      <c r="AHP95" s="155"/>
      <c r="AHQ95" s="155"/>
      <c r="AHR95" s="155"/>
      <c r="AHS95" s="155"/>
      <c r="AHT95" s="155"/>
      <c r="AHU95" s="155"/>
      <c r="AHV95" s="155"/>
      <c r="AHW95" s="155"/>
      <c r="AHX95" s="155"/>
      <c r="AHY95" s="155"/>
      <c r="AHZ95" s="155"/>
      <c r="AIA95" s="155"/>
      <c r="AIB95" s="155"/>
      <c r="AIC95" s="155"/>
      <c r="AID95" s="155"/>
      <c r="AIE95" s="155"/>
      <c r="AIF95" s="155"/>
      <c r="AIG95" s="155"/>
      <c r="AIH95" s="155"/>
      <c r="AII95" s="155"/>
      <c r="AIJ95" s="155"/>
      <c r="AIK95" s="155"/>
      <c r="AIL95" s="155"/>
    </row>
    <row r="96" spans="1:922" s="160" customFormat="1" ht="15" thickBot="1" x14ac:dyDescent="0.4">
      <c r="A96" s="155"/>
      <c r="B96" s="155"/>
      <c r="C96" s="155"/>
      <c r="D96" s="176" t="s">
        <v>158</v>
      </c>
      <c r="E96" s="179" t="s">
        <v>87</v>
      </c>
      <c r="F96" s="162">
        <f>+Fertilizer!C98</f>
        <v>2.9256860197110615</v>
      </c>
      <c r="G96" s="179" t="s">
        <v>87</v>
      </c>
      <c r="H96" s="162">
        <f>+Manure!C98</f>
        <v>2.4197500197110617</v>
      </c>
      <c r="I96" s="179" t="str">
        <f t="shared" si="18"/>
        <v>€/kg</v>
      </c>
      <c r="J96" s="162">
        <f>+Manpower!C98</f>
        <v>2.0313938553274999</v>
      </c>
      <c r="K96" s="179" t="str">
        <f t="shared" si="16"/>
        <v>€/kg</v>
      </c>
      <c r="L96" s="162">
        <f>+Productivity!C98</f>
        <v>1.3964239035516666</v>
      </c>
      <c r="M96" s="179" t="str">
        <f t="shared" si="17"/>
        <v>€/kg</v>
      </c>
      <c r="N96" s="162">
        <f>+Reactor!C98</f>
        <v>1.3316597310706131</v>
      </c>
      <c r="O96" s="155"/>
      <c r="P96" s="155"/>
      <c r="Q96" s="155"/>
      <c r="R96" s="155"/>
      <c r="S96" s="155"/>
      <c r="T96" s="155"/>
      <c r="U96" s="155"/>
      <c r="V96" s="155"/>
      <c r="W96" s="155"/>
      <c r="X96" s="155"/>
      <c r="Y96" s="155"/>
      <c r="Z96" s="155"/>
      <c r="AA96" s="155"/>
      <c r="AB96" s="155"/>
      <c r="AC96" s="155"/>
      <c r="AD96" s="155"/>
      <c r="AE96" s="155"/>
      <c r="AF96" s="155"/>
      <c r="AG96" s="155"/>
      <c r="AH96" s="155"/>
      <c r="AI96" s="155"/>
      <c r="AJ96" s="155"/>
      <c r="AK96" s="155"/>
      <c r="AL96" s="155"/>
      <c r="AM96" s="155"/>
      <c r="AN96" s="155"/>
      <c r="AO96" s="155"/>
      <c r="AP96" s="155"/>
      <c r="AQ96" s="155"/>
      <c r="AR96" s="155"/>
      <c r="AS96" s="155"/>
      <c r="AT96" s="155"/>
      <c r="AU96" s="155"/>
      <c r="AV96" s="155"/>
      <c r="AW96" s="155"/>
      <c r="AX96" s="155"/>
      <c r="AY96" s="155"/>
      <c r="AZ96" s="155"/>
      <c r="BA96" s="155"/>
      <c r="BB96" s="155"/>
      <c r="BC96" s="155"/>
      <c r="BD96" s="155"/>
      <c r="BE96" s="155"/>
      <c r="BF96" s="155"/>
      <c r="BG96" s="155"/>
      <c r="BH96" s="155"/>
      <c r="BI96" s="155"/>
      <c r="BJ96" s="155"/>
      <c r="BK96" s="155"/>
      <c r="BL96" s="155"/>
      <c r="BM96" s="155"/>
      <c r="BN96" s="155"/>
      <c r="BO96" s="155"/>
      <c r="BP96" s="155"/>
      <c r="BQ96" s="155"/>
      <c r="BR96" s="155"/>
      <c r="BS96" s="155"/>
      <c r="BT96" s="155"/>
      <c r="BU96" s="155"/>
      <c r="BV96" s="155"/>
      <c r="BW96" s="155"/>
      <c r="BX96" s="155"/>
      <c r="BY96" s="155"/>
      <c r="BZ96" s="155"/>
      <c r="CA96" s="155"/>
      <c r="CB96" s="155"/>
      <c r="CC96" s="155"/>
      <c r="CD96" s="155"/>
      <c r="CE96" s="155"/>
      <c r="CF96" s="155"/>
      <c r="CG96" s="155"/>
      <c r="CH96" s="155"/>
      <c r="CI96" s="155"/>
      <c r="CJ96" s="155"/>
      <c r="CK96" s="155"/>
      <c r="CL96" s="155"/>
      <c r="CM96" s="155"/>
      <c r="CN96" s="155"/>
      <c r="CO96" s="155"/>
      <c r="CP96" s="155"/>
      <c r="CQ96" s="155"/>
      <c r="CR96" s="155"/>
      <c r="CS96" s="155"/>
      <c r="CT96" s="155"/>
      <c r="CU96" s="155"/>
      <c r="CV96" s="155"/>
      <c r="CW96" s="155"/>
      <c r="CX96" s="155"/>
      <c r="CY96" s="155"/>
      <c r="CZ96" s="155"/>
      <c r="DA96" s="155"/>
      <c r="DB96" s="155"/>
      <c r="DC96" s="155"/>
      <c r="DD96" s="155"/>
      <c r="DE96" s="155"/>
      <c r="DF96" s="155"/>
      <c r="DG96" s="155"/>
      <c r="DH96" s="155"/>
      <c r="DI96" s="155"/>
      <c r="DJ96" s="155"/>
      <c r="DK96" s="155"/>
      <c r="DL96" s="155"/>
      <c r="DM96" s="155"/>
      <c r="DN96" s="155"/>
      <c r="DO96" s="155"/>
      <c r="DP96" s="155"/>
      <c r="DQ96" s="155"/>
      <c r="DR96" s="155"/>
      <c r="DS96" s="155"/>
      <c r="DT96" s="155"/>
      <c r="DU96" s="155"/>
      <c r="DV96" s="155"/>
      <c r="DW96" s="155"/>
      <c r="DX96" s="155"/>
      <c r="DY96" s="155"/>
      <c r="DZ96" s="155"/>
      <c r="EA96" s="155"/>
      <c r="EB96" s="155"/>
      <c r="EC96" s="155"/>
      <c r="ED96" s="155"/>
      <c r="EE96" s="155"/>
      <c r="EF96" s="155"/>
      <c r="EG96" s="155"/>
      <c r="EH96" s="155"/>
      <c r="EI96" s="155"/>
      <c r="EJ96" s="155"/>
      <c r="EK96" s="155"/>
      <c r="EL96" s="155"/>
      <c r="EM96" s="155"/>
      <c r="EN96" s="155"/>
      <c r="EO96" s="155"/>
      <c r="EP96" s="155"/>
      <c r="EQ96" s="155"/>
      <c r="ER96" s="155"/>
      <c r="ES96" s="155"/>
      <c r="ET96" s="155"/>
      <c r="EU96" s="155"/>
      <c r="EV96" s="155"/>
      <c r="EW96" s="155"/>
      <c r="EX96" s="155"/>
      <c r="EY96" s="155"/>
      <c r="EZ96" s="155"/>
      <c r="FA96" s="155"/>
      <c r="FB96" s="155"/>
      <c r="FC96" s="155"/>
      <c r="FD96" s="155"/>
      <c r="FE96" s="155"/>
      <c r="FF96" s="155"/>
      <c r="FG96" s="155"/>
      <c r="FH96" s="155"/>
      <c r="FI96" s="155"/>
      <c r="FJ96" s="155"/>
      <c r="FK96" s="155"/>
      <c r="FL96" s="155"/>
      <c r="FM96" s="155"/>
      <c r="FN96" s="155"/>
      <c r="FO96" s="155"/>
      <c r="FP96" s="155"/>
      <c r="FQ96" s="155"/>
      <c r="FR96" s="155"/>
      <c r="FS96" s="155"/>
      <c r="FT96" s="155"/>
      <c r="FU96" s="155"/>
      <c r="FV96" s="155"/>
      <c r="FW96" s="155"/>
      <c r="FX96" s="155"/>
      <c r="FY96" s="155"/>
      <c r="FZ96" s="155"/>
      <c r="GA96" s="155"/>
      <c r="GB96" s="155"/>
      <c r="GC96" s="155"/>
      <c r="GD96" s="155"/>
      <c r="GE96" s="155"/>
      <c r="GF96" s="155"/>
      <c r="GG96" s="155"/>
      <c r="GH96" s="155"/>
      <c r="GI96" s="155"/>
      <c r="GJ96" s="155"/>
      <c r="GK96" s="155"/>
      <c r="GL96" s="155"/>
      <c r="GM96" s="155"/>
      <c r="GN96" s="155"/>
      <c r="GO96" s="155"/>
      <c r="GP96" s="155"/>
      <c r="GQ96" s="155"/>
      <c r="GR96" s="155"/>
      <c r="GS96" s="155"/>
      <c r="GT96" s="155"/>
      <c r="GU96" s="155"/>
      <c r="GV96" s="155"/>
      <c r="GW96" s="155"/>
      <c r="GX96" s="155"/>
      <c r="GY96" s="155"/>
      <c r="GZ96" s="155"/>
      <c r="HA96" s="155"/>
      <c r="HB96" s="155"/>
      <c r="HC96" s="155"/>
      <c r="HD96" s="155"/>
      <c r="HE96" s="155"/>
      <c r="HF96" s="155"/>
      <c r="HG96" s="155"/>
      <c r="HH96" s="155"/>
      <c r="HI96" s="155"/>
      <c r="HJ96" s="155"/>
      <c r="HK96" s="155"/>
      <c r="HL96" s="155"/>
      <c r="HM96" s="155"/>
      <c r="HN96" s="155"/>
      <c r="HO96" s="155"/>
      <c r="HP96" s="155"/>
      <c r="HQ96" s="155"/>
      <c r="HR96" s="155"/>
      <c r="HS96" s="155"/>
      <c r="HT96" s="155"/>
      <c r="HU96" s="155"/>
      <c r="HV96" s="155"/>
      <c r="HW96" s="155"/>
      <c r="HX96" s="155"/>
      <c r="HY96" s="155"/>
      <c r="HZ96" s="155"/>
      <c r="IA96" s="155"/>
      <c r="IB96" s="155"/>
      <c r="IC96" s="155"/>
      <c r="ID96" s="155"/>
      <c r="IE96" s="155"/>
      <c r="IF96" s="155"/>
      <c r="IG96" s="155"/>
      <c r="IH96" s="155"/>
      <c r="II96" s="155"/>
      <c r="IJ96" s="155"/>
      <c r="IK96" s="155"/>
      <c r="IL96" s="155"/>
      <c r="IM96" s="155"/>
      <c r="IN96" s="155"/>
      <c r="IO96" s="155"/>
      <c r="IP96" s="155"/>
      <c r="IQ96" s="155"/>
      <c r="IR96" s="155"/>
      <c r="IS96" s="155"/>
      <c r="IT96" s="155"/>
      <c r="IU96" s="155"/>
      <c r="IV96" s="155"/>
      <c r="IW96" s="155"/>
      <c r="IX96" s="155"/>
      <c r="IY96" s="155"/>
      <c r="IZ96" s="155"/>
      <c r="JA96" s="155"/>
      <c r="JB96" s="155"/>
      <c r="JC96" s="155"/>
      <c r="JD96" s="155"/>
      <c r="JE96" s="155"/>
      <c r="JF96" s="155"/>
      <c r="JG96" s="155"/>
      <c r="JH96" s="155"/>
      <c r="JI96" s="155"/>
      <c r="JJ96" s="155"/>
      <c r="JK96" s="155"/>
      <c r="JL96" s="155"/>
      <c r="JM96" s="155"/>
      <c r="JN96" s="155"/>
      <c r="JO96" s="155"/>
      <c r="JP96" s="155"/>
      <c r="JQ96" s="155"/>
      <c r="JR96" s="155"/>
      <c r="JS96" s="155"/>
      <c r="JT96" s="155"/>
      <c r="JU96" s="155"/>
      <c r="JV96" s="155"/>
      <c r="JW96" s="155"/>
      <c r="JX96" s="155"/>
      <c r="JY96" s="155"/>
      <c r="JZ96" s="155"/>
      <c r="KA96" s="155"/>
      <c r="KB96" s="155"/>
      <c r="KC96" s="155"/>
      <c r="KD96" s="155"/>
      <c r="KE96" s="155"/>
      <c r="KF96" s="155"/>
      <c r="KG96" s="155"/>
      <c r="KH96" s="155"/>
      <c r="KI96" s="155"/>
      <c r="KJ96" s="155"/>
      <c r="KK96" s="155"/>
      <c r="KL96" s="155"/>
      <c r="KM96" s="155"/>
      <c r="KN96" s="155"/>
      <c r="KO96" s="155"/>
      <c r="KP96" s="155"/>
      <c r="KQ96" s="155"/>
      <c r="KR96" s="155"/>
      <c r="KS96" s="155"/>
      <c r="KT96" s="155"/>
      <c r="KU96" s="155"/>
      <c r="KV96" s="155"/>
      <c r="KW96" s="155"/>
      <c r="KX96" s="155"/>
      <c r="KY96" s="155"/>
      <c r="KZ96" s="155"/>
      <c r="LA96" s="155"/>
      <c r="LB96" s="155"/>
      <c r="LC96" s="155"/>
      <c r="LD96" s="155"/>
      <c r="LE96" s="155"/>
      <c r="LF96" s="155"/>
      <c r="LG96" s="155"/>
      <c r="LH96" s="155"/>
      <c r="LI96" s="155"/>
      <c r="LJ96" s="155"/>
      <c r="LK96" s="155"/>
      <c r="LL96" s="155"/>
      <c r="LM96" s="155"/>
      <c r="LN96" s="155"/>
      <c r="LO96" s="155"/>
      <c r="LP96" s="155"/>
      <c r="LQ96" s="155"/>
      <c r="LR96" s="155"/>
      <c r="LS96" s="155"/>
      <c r="LT96" s="155"/>
      <c r="LU96" s="155"/>
      <c r="LV96" s="155"/>
      <c r="LW96" s="155"/>
      <c r="LX96" s="155"/>
      <c r="LY96" s="155"/>
      <c r="LZ96" s="155"/>
      <c r="MA96" s="155"/>
      <c r="MB96" s="155"/>
      <c r="MC96" s="155"/>
      <c r="MD96" s="155"/>
      <c r="ME96" s="155"/>
      <c r="MF96" s="155"/>
      <c r="MG96" s="155"/>
      <c r="MH96" s="155"/>
      <c r="MI96" s="155"/>
      <c r="MJ96" s="155"/>
      <c r="MK96" s="155"/>
      <c r="ML96" s="155"/>
      <c r="MM96" s="155"/>
      <c r="MN96" s="155"/>
      <c r="MO96" s="155"/>
      <c r="MP96" s="155"/>
      <c r="MQ96" s="155"/>
      <c r="MR96" s="155"/>
      <c r="MS96" s="155"/>
      <c r="MT96" s="155"/>
      <c r="MU96" s="155"/>
      <c r="MV96" s="155"/>
      <c r="MW96" s="155"/>
      <c r="MX96" s="155"/>
      <c r="MY96" s="155"/>
      <c r="MZ96" s="155"/>
      <c r="NA96" s="155"/>
      <c r="NB96" s="155"/>
      <c r="NC96" s="155"/>
      <c r="ND96" s="155"/>
      <c r="NE96" s="155"/>
      <c r="NF96" s="155"/>
      <c r="NG96" s="155"/>
      <c r="NH96" s="155"/>
      <c r="NI96" s="155"/>
      <c r="NJ96" s="155"/>
      <c r="NK96" s="155"/>
      <c r="NL96" s="155"/>
      <c r="NM96" s="155"/>
      <c r="NN96" s="155"/>
      <c r="NO96" s="155"/>
      <c r="NP96" s="155"/>
      <c r="NQ96" s="155"/>
      <c r="NR96" s="155"/>
      <c r="NS96" s="155"/>
      <c r="NT96" s="155"/>
      <c r="NU96" s="155"/>
      <c r="NV96" s="155"/>
      <c r="NW96" s="155"/>
      <c r="NX96" s="155"/>
      <c r="NY96" s="155"/>
      <c r="NZ96" s="155"/>
      <c r="OA96" s="155"/>
      <c r="OB96" s="155"/>
      <c r="OC96" s="155"/>
      <c r="OD96" s="155"/>
      <c r="OE96" s="155"/>
      <c r="OF96" s="155"/>
      <c r="OG96" s="155"/>
      <c r="OH96" s="155"/>
      <c r="OI96" s="155"/>
      <c r="OJ96" s="155"/>
      <c r="OK96" s="155"/>
      <c r="OL96" s="155"/>
      <c r="OM96" s="155"/>
      <c r="ON96" s="155"/>
      <c r="OO96" s="155"/>
      <c r="OP96" s="155"/>
      <c r="OQ96" s="155"/>
      <c r="OR96" s="155"/>
      <c r="OS96" s="155"/>
      <c r="OT96" s="155"/>
      <c r="OU96" s="155"/>
      <c r="OV96" s="155"/>
      <c r="OW96" s="155"/>
      <c r="OX96" s="155"/>
      <c r="OY96" s="155"/>
      <c r="OZ96" s="155"/>
      <c r="PA96" s="155"/>
      <c r="PB96" s="155"/>
      <c r="PC96" s="155"/>
      <c r="PD96" s="155"/>
      <c r="PE96" s="155"/>
      <c r="PF96" s="155"/>
      <c r="PG96" s="155"/>
      <c r="PH96" s="155"/>
      <c r="PI96" s="155"/>
      <c r="PJ96" s="155"/>
      <c r="PK96" s="155"/>
      <c r="PL96" s="155"/>
      <c r="PM96" s="155"/>
      <c r="PN96" s="155"/>
      <c r="PO96" s="155"/>
      <c r="PP96" s="155"/>
      <c r="PQ96" s="155"/>
      <c r="PR96" s="155"/>
      <c r="PS96" s="155"/>
      <c r="PT96" s="155"/>
      <c r="PU96" s="155"/>
      <c r="PV96" s="155"/>
      <c r="PW96" s="155"/>
      <c r="PX96" s="155"/>
      <c r="PY96" s="155"/>
      <c r="PZ96" s="155"/>
      <c r="QA96" s="155"/>
      <c r="QB96" s="155"/>
      <c r="QC96" s="155"/>
      <c r="QD96" s="155"/>
      <c r="QE96" s="155"/>
      <c r="QF96" s="155"/>
      <c r="QG96" s="155"/>
      <c r="QH96" s="155"/>
      <c r="QI96" s="155"/>
      <c r="QJ96" s="155"/>
      <c r="QK96" s="155"/>
      <c r="QL96" s="155"/>
      <c r="QM96" s="155"/>
      <c r="QN96" s="155"/>
      <c r="QO96" s="155"/>
      <c r="QP96" s="155"/>
      <c r="QQ96" s="155"/>
      <c r="QR96" s="155"/>
      <c r="QS96" s="155"/>
      <c r="QT96" s="155"/>
      <c r="QU96" s="155"/>
      <c r="QV96" s="155"/>
      <c r="QW96" s="155"/>
      <c r="QX96" s="155"/>
      <c r="QY96" s="155"/>
      <c r="QZ96" s="155"/>
      <c r="RA96" s="155"/>
      <c r="RB96" s="155"/>
      <c r="RC96" s="155"/>
      <c r="RD96" s="155"/>
      <c r="RE96" s="155"/>
      <c r="RF96" s="155"/>
      <c r="RG96" s="155"/>
      <c r="RH96" s="155"/>
      <c r="RI96" s="155"/>
      <c r="RJ96" s="155"/>
      <c r="RK96" s="155"/>
      <c r="RL96" s="155"/>
      <c r="RM96" s="155"/>
      <c r="RN96" s="155"/>
      <c r="RO96" s="155"/>
      <c r="RP96" s="155"/>
      <c r="RQ96" s="155"/>
      <c r="RR96" s="155"/>
      <c r="RS96" s="155"/>
      <c r="RT96" s="155"/>
      <c r="RU96" s="155"/>
      <c r="RV96" s="155"/>
      <c r="RW96" s="155"/>
      <c r="RX96" s="155"/>
      <c r="RY96" s="155"/>
      <c r="RZ96" s="155"/>
      <c r="SA96" s="155"/>
      <c r="SB96" s="155"/>
      <c r="SC96" s="155"/>
      <c r="SD96" s="155"/>
      <c r="SE96" s="155"/>
      <c r="SF96" s="155"/>
      <c r="SG96" s="155"/>
      <c r="SH96" s="155"/>
      <c r="SI96" s="155"/>
      <c r="SJ96" s="155"/>
      <c r="SK96" s="155"/>
      <c r="SL96" s="155"/>
      <c r="SM96" s="155"/>
      <c r="SN96" s="155"/>
      <c r="SO96" s="155"/>
      <c r="SP96" s="155"/>
      <c r="SQ96" s="155"/>
      <c r="SR96" s="155"/>
      <c r="SS96" s="155"/>
      <c r="ST96" s="155"/>
      <c r="SU96" s="155"/>
      <c r="SV96" s="155"/>
      <c r="SW96" s="155"/>
      <c r="SX96" s="155"/>
      <c r="SY96" s="155"/>
      <c r="SZ96" s="155"/>
      <c r="TA96" s="155"/>
      <c r="TB96" s="155"/>
      <c r="TC96" s="155"/>
      <c r="TD96" s="155"/>
      <c r="TE96" s="155"/>
      <c r="TF96" s="155"/>
      <c r="TG96" s="155"/>
      <c r="TH96" s="155"/>
      <c r="TI96" s="155"/>
      <c r="TJ96" s="155"/>
      <c r="TK96" s="155"/>
      <c r="TL96" s="155"/>
      <c r="TM96" s="155"/>
      <c r="TN96" s="155"/>
      <c r="TO96" s="155"/>
      <c r="TP96" s="155"/>
      <c r="TQ96" s="155"/>
      <c r="TR96" s="155"/>
      <c r="TS96" s="155"/>
      <c r="TT96" s="155"/>
      <c r="TU96" s="155"/>
      <c r="TV96" s="155"/>
      <c r="TW96" s="155"/>
      <c r="TX96" s="155"/>
      <c r="TY96" s="155"/>
      <c r="TZ96" s="155"/>
      <c r="UA96" s="155"/>
      <c r="UB96" s="155"/>
      <c r="UC96" s="155"/>
      <c r="UD96" s="155"/>
      <c r="UE96" s="155"/>
      <c r="UF96" s="155"/>
      <c r="UG96" s="155"/>
      <c r="UH96" s="155"/>
      <c r="UI96" s="155"/>
      <c r="UJ96" s="155"/>
      <c r="UK96" s="155"/>
      <c r="UL96" s="155"/>
      <c r="UM96" s="155"/>
      <c r="UN96" s="155"/>
      <c r="UO96" s="155"/>
      <c r="UP96" s="155"/>
      <c r="UQ96" s="155"/>
      <c r="UR96" s="155"/>
      <c r="US96" s="155"/>
      <c r="UT96" s="155"/>
      <c r="UU96" s="155"/>
      <c r="UV96" s="155"/>
      <c r="UW96" s="155"/>
      <c r="UX96" s="155"/>
      <c r="UY96" s="155"/>
      <c r="UZ96" s="155"/>
      <c r="VA96" s="155"/>
      <c r="VB96" s="155"/>
      <c r="VC96" s="155"/>
      <c r="VD96" s="155"/>
      <c r="VE96" s="155"/>
      <c r="VF96" s="155"/>
      <c r="VG96" s="155"/>
      <c r="VH96" s="155"/>
      <c r="VI96" s="155"/>
      <c r="VJ96" s="155"/>
      <c r="VK96" s="155"/>
      <c r="VL96" s="155"/>
      <c r="VM96" s="155"/>
      <c r="VN96" s="155"/>
      <c r="VO96" s="155"/>
      <c r="VP96" s="155"/>
      <c r="VQ96" s="155"/>
      <c r="VR96" s="155"/>
      <c r="VS96" s="155"/>
      <c r="VT96" s="155"/>
      <c r="VU96" s="155"/>
      <c r="VV96" s="155"/>
      <c r="VW96" s="155"/>
      <c r="VX96" s="155"/>
      <c r="VY96" s="155"/>
      <c r="VZ96" s="155"/>
      <c r="WA96" s="155"/>
      <c r="WB96" s="155"/>
      <c r="WC96" s="155"/>
      <c r="WD96" s="155"/>
      <c r="WE96" s="155"/>
      <c r="WF96" s="155"/>
      <c r="WG96" s="155"/>
      <c r="WH96" s="155"/>
      <c r="WI96" s="155"/>
      <c r="WJ96" s="155"/>
      <c r="WK96" s="155"/>
      <c r="WL96" s="155"/>
      <c r="WM96" s="155"/>
      <c r="WN96" s="155"/>
      <c r="WO96" s="155"/>
      <c r="WP96" s="155"/>
      <c r="WQ96" s="155"/>
      <c r="WR96" s="155"/>
      <c r="WS96" s="155"/>
      <c r="WT96" s="155"/>
      <c r="WU96" s="155"/>
      <c r="WV96" s="155"/>
      <c r="WW96" s="155"/>
      <c r="WX96" s="155"/>
      <c r="WY96" s="155"/>
      <c r="WZ96" s="155"/>
      <c r="XA96" s="155"/>
      <c r="XB96" s="155"/>
      <c r="XC96" s="155"/>
      <c r="XD96" s="155"/>
      <c r="XE96" s="155"/>
      <c r="XF96" s="155"/>
      <c r="XG96" s="155"/>
      <c r="XH96" s="155"/>
      <c r="XI96" s="155"/>
      <c r="XJ96" s="155"/>
      <c r="XK96" s="155"/>
      <c r="XL96" s="155"/>
      <c r="XM96" s="155"/>
      <c r="XN96" s="155"/>
      <c r="XO96" s="155"/>
      <c r="XP96" s="155"/>
      <c r="XQ96" s="155"/>
      <c r="XR96" s="155"/>
      <c r="XS96" s="155"/>
      <c r="XT96" s="155"/>
      <c r="XU96" s="155"/>
      <c r="XV96" s="155"/>
      <c r="XW96" s="155"/>
      <c r="XX96" s="155"/>
      <c r="XY96" s="155"/>
      <c r="XZ96" s="155"/>
      <c r="YA96" s="155"/>
      <c r="YB96" s="155"/>
      <c r="YC96" s="155"/>
      <c r="YD96" s="155"/>
      <c r="YE96" s="155"/>
      <c r="YF96" s="155"/>
      <c r="YG96" s="155"/>
      <c r="YH96" s="155"/>
      <c r="YI96" s="155"/>
      <c r="YJ96" s="155"/>
      <c r="YK96" s="155"/>
      <c r="YL96" s="155"/>
      <c r="YM96" s="155"/>
      <c r="YN96" s="155"/>
      <c r="YO96" s="155"/>
      <c r="YP96" s="155"/>
      <c r="YQ96" s="155"/>
      <c r="YR96" s="155"/>
      <c r="YS96" s="155"/>
      <c r="YT96" s="155"/>
      <c r="YU96" s="155"/>
      <c r="YV96" s="155"/>
      <c r="YW96" s="155"/>
      <c r="YX96" s="155"/>
      <c r="YY96" s="155"/>
      <c r="YZ96" s="155"/>
      <c r="ZA96" s="155"/>
      <c r="ZB96" s="155"/>
      <c r="ZC96" s="155"/>
      <c r="ZD96" s="155"/>
      <c r="ZE96" s="155"/>
      <c r="ZF96" s="155"/>
      <c r="ZG96" s="155"/>
      <c r="ZH96" s="155"/>
      <c r="ZI96" s="155"/>
      <c r="ZJ96" s="155"/>
      <c r="ZK96" s="155"/>
      <c r="ZL96" s="155"/>
      <c r="ZM96" s="155"/>
      <c r="ZN96" s="155"/>
      <c r="ZO96" s="155"/>
      <c r="ZP96" s="155"/>
      <c r="ZQ96" s="155"/>
      <c r="ZR96" s="155"/>
      <c r="ZS96" s="155"/>
      <c r="ZT96" s="155"/>
      <c r="ZU96" s="155"/>
      <c r="ZV96" s="155"/>
      <c r="ZW96" s="155"/>
      <c r="ZX96" s="155"/>
      <c r="ZY96" s="155"/>
      <c r="ZZ96" s="155"/>
      <c r="AAA96" s="155"/>
      <c r="AAB96" s="155"/>
      <c r="AAC96" s="155"/>
      <c r="AAD96" s="155"/>
      <c r="AAE96" s="155"/>
      <c r="AAF96" s="155"/>
      <c r="AAG96" s="155"/>
      <c r="AAH96" s="155"/>
      <c r="AAI96" s="155"/>
      <c r="AAJ96" s="155"/>
      <c r="AAK96" s="155"/>
      <c r="AAL96" s="155"/>
      <c r="AAM96" s="155"/>
      <c r="AAN96" s="155"/>
      <c r="AAO96" s="155"/>
      <c r="AAP96" s="155"/>
      <c r="AAQ96" s="155"/>
      <c r="AAR96" s="155"/>
      <c r="AAS96" s="155"/>
      <c r="AAT96" s="155"/>
      <c r="AAU96" s="155"/>
      <c r="AAV96" s="155"/>
      <c r="AAW96" s="155"/>
      <c r="AAX96" s="155"/>
      <c r="AAY96" s="155"/>
      <c r="AAZ96" s="155"/>
      <c r="ABA96" s="155"/>
      <c r="ABB96" s="155"/>
      <c r="ABC96" s="155"/>
      <c r="ABD96" s="155"/>
      <c r="ABE96" s="155"/>
      <c r="ABF96" s="155"/>
      <c r="ABG96" s="155"/>
      <c r="ABH96" s="155"/>
      <c r="ABI96" s="155"/>
      <c r="ABJ96" s="155"/>
      <c r="ABK96" s="155"/>
      <c r="ABL96" s="155"/>
      <c r="ABM96" s="155"/>
      <c r="ABN96" s="155"/>
      <c r="ABO96" s="155"/>
      <c r="ABP96" s="155"/>
      <c r="ABQ96" s="155"/>
      <c r="ABR96" s="155"/>
      <c r="ABS96" s="155"/>
      <c r="ABT96" s="155"/>
      <c r="ABU96" s="155"/>
      <c r="ABV96" s="155"/>
      <c r="ABW96" s="155"/>
      <c r="ABX96" s="155"/>
      <c r="ABY96" s="155"/>
      <c r="ABZ96" s="155"/>
      <c r="ACA96" s="155"/>
      <c r="ACB96" s="155"/>
      <c r="ACC96" s="155"/>
      <c r="ACD96" s="155"/>
      <c r="ACE96" s="155"/>
      <c r="ACF96" s="155"/>
      <c r="ACG96" s="155"/>
      <c r="ACH96" s="155"/>
      <c r="ACI96" s="155"/>
      <c r="ACJ96" s="155"/>
      <c r="ACK96" s="155"/>
      <c r="ACL96" s="155"/>
      <c r="ACM96" s="155"/>
      <c r="ACN96" s="155"/>
      <c r="ACO96" s="155"/>
      <c r="ACP96" s="155"/>
      <c r="ACQ96" s="155"/>
      <c r="ACR96" s="155"/>
      <c r="ACS96" s="155"/>
      <c r="ACT96" s="155"/>
      <c r="ACU96" s="155"/>
      <c r="ACV96" s="155"/>
      <c r="ACW96" s="155"/>
      <c r="ACX96" s="155"/>
      <c r="ACY96" s="155"/>
      <c r="ACZ96" s="155"/>
      <c r="ADA96" s="155"/>
      <c r="ADB96" s="155"/>
      <c r="ADC96" s="155"/>
      <c r="ADD96" s="155"/>
      <c r="ADE96" s="155"/>
      <c r="ADF96" s="155"/>
      <c r="ADG96" s="155"/>
      <c r="ADH96" s="155"/>
      <c r="ADI96" s="155"/>
      <c r="ADJ96" s="155"/>
      <c r="ADK96" s="155"/>
      <c r="ADL96" s="155"/>
      <c r="ADM96" s="155"/>
      <c r="ADN96" s="155"/>
      <c r="ADO96" s="155"/>
      <c r="ADP96" s="155"/>
      <c r="ADQ96" s="155"/>
      <c r="ADR96" s="155"/>
      <c r="ADS96" s="155"/>
      <c r="ADT96" s="155"/>
      <c r="ADU96" s="155"/>
      <c r="ADV96" s="155"/>
      <c r="ADW96" s="155"/>
      <c r="ADX96" s="155"/>
      <c r="ADY96" s="155"/>
      <c r="ADZ96" s="155"/>
      <c r="AEA96" s="155"/>
      <c r="AEB96" s="155"/>
      <c r="AEC96" s="155"/>
      <c r="AED96" s="155"/>
      <c r="AEE96" s="155"/>
      <c r="AEF96" s="155"/>
      <c r="AEG96" s="155"/>
      <c r="AEH96" s="155"/>
      <c r="AEI96" s="155"/>
      <c r="AEJ96" s="155"/>
      <c r="AEK96" s="155"/>
      <c r="AEL96" s="155"/>
      <c r="AEM96" s="155"/>
      <c r="AEN96" s="155"/>
      <c r="AEO96" s="155"/>
      <c r="AEP96" s="155"/>
      <c r="AEQ96" s="155"/>
      <c r="AER96" s="155"/>
      <c r="AES96" s="155"/>
      <c r="AET96" s="155"/>
      <c r="AEU96" s="155"/>
      <c r="AEV96" s="155"/>
      <c r="AEW96" s="155"/>
      <c r="AEX96" s="155"/>
      <c r="AEY96" s="155"/>
      <c r="AEZ96" s="155"/>
      <c r="AFA96" s="155"/>
      <c r="AFB96" s="155"/>
      <c r="AFC96" s="155"/>
      <c r="AFD96" s="155"/>
      <c r="AFE96" s="155"/>
      <c r="AFF96" s="155"/>
      <c r="AFG96" s="155"/>
      <c r="AFH96" s="155"/>
      <c r="AFI96" s="155"/>
      <c r="AFJ96" s="155"/>
      <c r="AFK96" s="155"/>
      <c r="AFL96" s="155"/>
      <c r="AFM96" s="155"/>
      <c r="AFN96" s="155"/>
      <c r="AFO96" s="155"/>
      <c r="AFP96" s="155"/>
      <c r="AFQ96" s="155"/>
      <c r="AFR96" s="155"/>
      <c r="AFS96" s="155"/>
      <c r="AFT96" s="155"/>
      <c r="AFU96" s="155"/>
      <c r="AFV96" s="155"/>
      <c r="AFW96" s="155"/>
      <c r="AFX96" s="155"/>
      <c r="AFY96" s="155"/>
      <c r="AFZ96" s="155"/>
      <c r="AGA96" s="155"/>
      <c r="AGB96" s="155"/>
      <c r="AGC96" s="155"/>
      <c r="AGD96" s="155"/>
      <c r="AGE96" s="155"/>
      <c r="AGF96" s="155"/>
      <c r="AGG96" s="155"/>
      <c r="AGH96" s="155"/>
      <c r="AGI96" s="155"/>
      <c r="AGJ96" s="155"/>
      <c r="AGK96" s="155"/>
      <c r="AGL96" s="155"/>
      <c r="AGM96" s="155"/>
      <c r="AGN96" s="155"/>
      <c r="AGO96" s="155"/>
      <c r="AGP96" s="155"/>
      <c r="AGQ96" s="155"/>
      <c r="AGR96" s="155"/>
      <c r="AGS96" s="155"/>
      <c r="AGT96" s="155"/>
      <c r="AGU96" s="155"/>
      <c r="AGV96" s="155"/>
      <c r="AGW96" s="155"/>
      <c r="AGX96" s="155"/>
      <c r="AGY96" s="155"/>
      <c r="AGZ96" s="155"/>
      <c r="AHA96" s="155"/>
      <c r="AHB96" s="155"/>
      <c r="AHC96" s="155"/>
      <c r="AHD96" s="155"/>
      <c r="AHE96" s="155"/>
      <c r="AHF96" s="155"/>
      <c r="AHG96" s="155"/>
      <c r="AHH96" s="155"/>
      <c r="AHI96" s="155"/>
      <c r="AHJ96" s="155"/>
      <c r="AHK96" s="155"/>
      <c r="AHL96" s="155"/>
      <c r="AHM96" s="155"/>
      <c r="AHN96" s="155"/>
      <c r="AHO96" s="155"/>
      <c r="AHP96" s="155"/>
      <c r="AHQ96" s="155"/>
      <c r="AHR96" s="155"/>
      <c r="AHS96" s="155"/>
      <c r="AHT96" s="155"/>
      <c r="AHU96" s="155"/>
      <c r="AHV96" s="155"/>
      <c r="AHW96" s="155"/>
      <c r="AHX96" s="155"/>
      <c r="AHY96" s="155"/>
      <c r="AHZ96" s="155"/>
      <c r="AIA96" s="155"/>
      <c r="AIB96" s="155"/>
      <c r="AIC96" s="155"/>
      <c r="AID96" s="155"/>
      <c r="AIE96" s="155"/>
      <c r="AIF96" s="155"/>
      <c r="AIG96" s="155"/>
      <c r="AIH96" s="155"/>
      <c r="AII96" s="155"/>
      <c r="AIJ96" s="155"/>
      <c r="AIK96" s="155"/>
      <c r="AIL96" s="155"/>
    </row>
    <row r="97" spans="1:922" s="160" customFormat="1" x14ac:dyDescent="0.35">
      <c r="A97" s="155"/>
      <c r="B97" s="155"/>
      <c r="C97" s="155"/>
      <c r="D97" s="1"/>
      <c r="E97" s="145"/>
      <c r="F97" s="187"/>
      <c r="G97" s="145"/>
      <c r="H97" s="187"/>
      <c r="I97" s="145"/>
      <c r="J97" s="152">
        <f>+Manpower!C99</f>
        <v>0</v>
      </c>
      <c r="K97" s="145"/>
      <c r="L97" s="152">
        <f>+Productivity!C99</f>
        <v>0</v>
      </c>
      <c r="M97" s="145"/>
      <c r="N97" s="287">
        <f>+Reactor!C99</f>
        <v>0</v>
      </c>
      <c r="O97" s="155"/>
      <c r="P97" s="155"/>
      <c r="Q97" s="155"/>
      <c r="R97" s="155"/>
      <c r="S97" s="155"/>
      <c r="T97" s="155"/>
      <c r="U97" s="155"/>
      <c r="V97" s="155"/>
      <c r="W97" s="155"/>
      <c r="X97" s="155"/>
      <c r="Y97" s="155"/>
      <c r="Z97" s="155"/>
      <c r="AA97" s="155"/>
      <c r="AB97" s="155"/>
      <c r="AC97" s="155"/>
      <c r="AD97" s="155"/>
      <c r="AE97" s="155"/>
      <c r="AF97" s="155"/>
      <c r="AG97" s="155"/>
      <c r="AH97" s="155"/>
      <c r="AI97" s="155"/>
      <c r="AJ97" s="155"/>
      <c r="AK97" s="155"/>
      <c r="AL97" s="155"/>
      <c r="AM97" s="155"/>
      <c r="AN97" s="155"/>
      <c r="AO97" s="155"/>
      <c r="AP97" s="155"/>
      <c r="AQ97" s="155"/>
      <c r="AR97" s="155"/>
      <c r="AS97" s="155"/>
      <c r="AT97" s="155"/>
      <c r="AU97" s="155"/>
      <c r="AV97" s="155"/>
      <c r="AW97" s="155"/>
      <c r="AX97" s="155"/>
      <c r="AY97" s="155"/>
      <c r="AZ97" s="155"/>
      <c r="BA97" s="155"/>
      <c r="BB97" s="155"/>
      <c r="BC97" s="155"/>
      <c r="BD97" s="155"/>
      <c r="BE97" s="155"/>
      <c r="BF97" s="155"/>
      <c r="BG97" s="155"/>
      <c r="BH97" s="155"/>
      <c r="BI97" s="155"/>
      <c r="BJ97" s="155"/>
      <c r="BK97" s="155"/>
      <c r="BL97" s="155"/>
      <c r="BM97" s="155"/>
      <c r="BN97" s="155"/>
      <c r="BO97" s="155"/>
      <c r="BP97" s="155"/>
      <c r="BQ97" s="155"/>
      <c r="BR97" s="155"/>
      <c r="BS97" s="155"/>
      <c r="BT97" s="155"/>
      <c r="BU97" s="155"/>
      <c r="BV97" s="155"/>
      <c r="BW97" s="155"/>
      <c r="BX97" s="155"/>
      <c r="BY97" s="155"/>
      <c r="BZ97" s="155"/>
      <c r="CA97" s="155"/>
      <c r="CB97" s="155"/>
      <c r="CC97" s="155"/>
      <c r="CD97" s="155"/>
      <c r="CE97" s="155"/>
      <c r="CF97" s="155"/>
      <c r="CG97" s="155"/>
      <c r="CH97" s="155"/>
      <c r="CI97" s="155"/>
      <c r="CJ97" s="155"/>
      <c r="CK97" s="155"/>
      <c r="CL97" s="155"/>
      <c r="CM97" s="155"/>
      <c r="CN97" s="155"/>
      <c r="CO97" s="155"/>
      <c r="CP97" s="155"/>
      <c r="CQ97" s="155"/>
      <c r="CR97" s="155"/>
      <c r="CS97" s="155"/>
      <c r="CT97" s="155"/>
      <c r="CU97" s="155"/>
      <c r="CV97" s="155"/>
      <c r="CW97" s="155"/>
      <c r="CX97" s="155"/>
      <c r="CY97" s="155"/>
      <c r="CZ97" s="155"/>
      <c r="DA97" s="155"/>
      <c r="DB97" s="155"/>
      <c r="DC97" s="155"/>
      <c r="DD97" s="155"/>
      <c r="DE97" s="155"/>
      <c r="DF97" s="155"/>
      <c r="DG97" s="155"/>
      <c r="DH97" s="155"/>
      <c r="DI97" s="155"/>
      <c r="DJ97" s="155"/>
      <c r="DK97" s="155"/>
      <c r="DL97" s="155"/>
      <c r="DM97" s="155"/>
      <c r="DN97" s="155"/>
      <c r="DO97" s="155"/>
      <c r="DP97" s="155"/>
      <c r="DQ97" s="155"/>
      <c r="DR97" s="155"/>
      <c r="DS97" s="155"/>
      <c r="DT97" s="155"/>
      <c r="DU97" s="155"/>
      <c r="DV97" s="155"/>
      <c r="DW97" s="155"/>
      <c r="DX97" s="155"/>
      <c r="DY97" s="155"/>
      <c r="DZ97" s="155"/>
      <c r="EA97" s="155"/>
      <c r="EB97" s="155"/>
      <c r="EC97" s="155"/>
      <c r="ED97" s="155"/>
      <c r="EE97" s="155"/>
      <c r="EF97" s="155"/>
      <c r="EG97" s="155"/>
      <c r="EH97" s="155"/>
      <c r="EI97" s="155"/>
      <c r="EJ97" s="155"/>
      <c r="EK97" s="155"/>
      <c r="EL97" s="155"/>
      <c r="EM97" s="155"/>
      <c r="EN97" s="155"/>
      <c r="EO97" s="155"/>
      <c r="EP97" s="155"/>
      <c r="EQ97" s="155"/>
      <c r="ER97" s="155"/>
      <c r="ES97" s="155"/>
      <c r="ET97" s="155"/>
      <c r="EU97" s="155"/>
      <c r="EV97" s="155"/>
      <c r="EW97" s="155"/>
      <c r="EX97" s="155"/>
      <c r="EY97" s="155"/>
      <c r="EZ97" s="155"/>
      <c r="FA97" s="155"/>
      <c r="FB97" s="155"/>
      <c r="FC97" s="155"/>
      <c r="FD97" s="155"/>
      <c r="FE97" s="155"/>
      <c r="FF97" s="155"/>
      <c r="FG97" s="155"/>
      <c r="FH97" s="155"/>
      <c r="FI97" s="155"/>
      <c r="FJ97" s="155"/>
      <c r="FK97" s="155"/>
      <c r="FL97" s="155"/>
      <c r="FM97" s="155"/>
      <c r="FN97" s="155"/>
      <c r="FO97" s="155"/>
      <c r="FP97" s="155"/>
      <c r="FQ97" s="155"/>
      <c r="FR97" s="155"/>
      <c r="FS97" s="155"/>
      <c r="FT97" s="155"/>
      <c r="FU97" s="155"/>
      <c r="FV97" s="155"/>
      <c r="FW97" s="155"/>
      <c r="FX97" s="155"/>
      <c r="FY97" s="155"/>
      <c r="FZ97" s="155"/>
      <c r="GA97" s="155"/>
      <c r="GB97" s="155"/>
      <c r="GC97" s="155"/>
      <c r="GD97" s="155"/>
      <c r="GE97" s="155"/>
      <c r="GF97" s="155"/>
      <c r="GG97" s="155"/>
      <c r="GH97" s="155"/>
      <c r="GI97" s="155"/>
      <c r="GJ97" s="155"/>
      <c r="GK97" s="155"/>
      <c r="GL97" s="155"/>
      <c r="GM97" s="155"/>
      <c r="GN97" s="155"/>
      <c r="GO97" s="155"/>
      <c r="GP97" s="155"/>
      <c r="GQ97" s="155"/>
      <c r="GR97" s="155"/>
      <c r="GS97" s="155"/>
      <c r="GT97" s="155"/>
      <c r="GU97" s="155"/>
      <c r="GV97" s="155"/>
      <c r="GW97" s="155"/>
      <c r="GX97" s="155"/>
      <c r="GY97" s="155"/>
      <c r="GZ97" s="155"/>
      <c r="HA97" s="155"/>
      <c r="HB97" s="155"/>
      <c r="HC97" s="155"/>
      <c r="HD97" s="155"/>
      <c r="HE97" s="155"/>
      <c r="HF97" s="155"/>
      <c r="HG97" s="155"/>
      <c r="HH97" s="155"/>
      <c r="HI97" s="155"/>
      <c r="HJ97" s="155"/>
      <c r="HK97" s="155"/>
      <c r="HL97" s="155"/>
      <c r="HM97" s="155"/>
      <c r="HN97" s="155"/>
      <c r="HO97" s="155"/>
      <c r="HP97" s="155"/>
      <c r="HQ97" s="155"/>
      <c r="HR97" s="155"/>
      <c r="HS97" s="155"/>
      <c r="HT97" s="155"/>
      <c r="HU97" s="155"/>
      <c r="HV97" s="155"/>
      <c r="HW97" s="155"/>
      <c r="HX97" s="155"/>
      <c r="HY97" s="155"/>
      <c r="HZ97" s="155"/>
      <c r="IA97" s="155"/>
      <c r="IB97" s="155"/>
      <c r="IC97" s="155"/>
      <c r="ID97" s="155"/>
      <c r="IE97" s="155"/>
      <c r="IF97" s="155"/>
      <c r="IG97" s="155"/>
      <c r="IH97" s="155"/>
      <c r="II97" s="155"/>
      <c r="IJ97" s="155"/>
      <c r="IK97" s="155"/>
      <c r="IL97" s="155"/>
      <c r="IM97" s="155"/>
      <c r="IN97" s="155"/>
      <c r="IO97" s="155"/>
      <c r="IP97" s="155"/>
      <c r="IQ97" s="155"/>
      <c r="IR97" s="155"/>
      <c r="IS97" s="155"/>
      <c r="IT97" s="155"/>
      <c r="IU97" s="155"/>
      <c r="IV97" s="155"/>
      <c r="IW97" s="155"/>
      <c r="IX97" s="155"/>
      <c r="IY97" s="155"/>
      <c r="IZ97" s="155"/>
      <c r="JA97" s="155"/>
      <c r="JB97" s="155"/>
      <c r="JC97" s="155"/>
      <c r="JD97" s="155"/>
      <c r="JE97" s="155"/>
      <c r="JF97" s="155"/>
      <c r="JG97" s="155"/>
      <c r="JH97" s="155"/>
      <c r="JI97" s="155"/>
      <c r="JJ97" s="155"/>
      <c r="JK97" s="155"/>
      <c r="JL97" s="155"/>
      <c r="JM97" s="155"/>
      <c r="JN97" s="155"/>
      <c r="JO97" s="155"/>
      <c r="JP97" s="155"/>
      <c r="JQ97" s="155"/>
      <c r="JR97" s="155"/>
      <c r="JS97" s="155"/>
      <c r="JT97" s="155"/>
      <c r="JU97" s="155"/>
      <c r="JV97" s="155"/>
      <c r="JW97" s="155"/>
      <c r="JX97" s="155"/>
      <c r="JY97" s="155"/>
      <c r="JZ97" s="155"/>
      <c r="KA97" s="155"/>
      <c r="KB97" s="155"/>
      <c r="KC97" s="155"/>
      <c r="KD97" s="155"/>
      <c r="KE97" s="155"/>
      <c r="KF97" s="155"/>
      <c r="KG97" s="155"/>
      <c r="KH97" s="155"/>
      <c r="KI97" s="155"/>
      <c r="KJ97" s="155"/>
      <c r="KK97" s="155"/>
      <c r="KL97" s="155"/>
      <c r="KM97" s="155"/>
      <c r="KN97" s="155"/>
      <c r="KO97" s="155"/>
      <c r="KP97" s="155"/>
      <c r="KQ97" s="155"/>
      <c r="KR97" s="155"/>
      <c r="KS97" s="155"/>
      <c r="KT97" s="155"/>
      <c r="KU97" s="155"/>
      <c r="KV97" s="155"/>
      <c r="KW97" s="155"/>
      <c r="KX97" s="155"/>
      <c r="KY97" s="155"/>
      <c r="KZ97" s="155"/>
      <c r="LA97" s="155"/>
      <c r="LB97" s="155"/>
      <c r="LC97" s="155"/>
      <c r="LD97" s="155"/>
      <c r="LE97" s="155"/>
      <c r="LF97" s="155"/>
      <c r="LG97" s="155"/>
      <c r="LH97" s="155"/>
      <c r="LI97" s="155"/>
      <c r="LJ97" s="155"/>
      <c r="LK97" s="155"/>
      <c r="LL97" s="155"/>
      <c r="LM97" s="155"/>
      <c r="LN97" s="155"/>
      <c r="LO97" s="155"/>
      <c r="LP97" s="155"/>
      <c r="LQ97" s="155"/>
      <c r="LR97" s="155"/>
      <c r="LS97" s="155"/>
      <c r="LT97" s="155"/>
      <c r="LU97" s="155"/>
      <c r="LV97" s="155"/>
      <c r="LW97" s="155"/>
      <c r="LX97" s="155"/>
      <c r="LY97" s="155"/>
      <c r="LZ97" s="155"/>
      <c r="MA97" s="155"/>
      <c r="MB97" s="155"/>
      <c r="MC97" s="155"/>
      <c r="MD97" s="155"/>
      <c r="ME97" s="155"/>
      <c r="MF97" s="155"/>
      <c r="MG97" s="155"/>
      <c r="MH97" s="155"/>
      <c r="MI97" s="155"/>
      <c r="MJ97" s="155"/>
      <c r="MK97" s="155"/>
      <c r="ML97" s="155"/>
      <c r="MM97" s="155"/>
      <c r="MN97" s="155"/>
      <c r="MO97" s="155"/>
      <c r="MP97" s="155"/>
      <c r="MQ97" s="155"/>
      <c r="MR97" s="155"/>
      <c r="MS97" s="155"/>
      <c r="MT97" s="155"/>
      <c r="MU97" s="155"/>
      <c r="MV97" s="155"/>
      <c r="MW97" s="155"/>
      <c r="MX97" s="155"/>
      <c r="MY97" s="155"/>
      <c r="MZ97" s="155"/>
      <c r="NA97" s="155"/>
      <c r="NB97" s="155"/>
      <c r="NC97" s="155"/>
      <c r="ND97" s="155"/>
      <c r="NE97" s="155"/>
      <c r="NF97" s="155"/>
      <c r="NG97" s="155"/>
      <c r="NH97" s="155"/>
      <c r="NI97" s="155"/>
      <c r="NJ97" s="155"/>
      <c r="NK97" s="155"/>
      <c r="NL97" s="155"/>
      <c r="NM97" s="155"/>
      <c r="NN97" s="155"/>
      <c r="NO97" s="155"/>
      <c r="NP97" s="155"/>
      <c r="NQ97" s="155"/>
      <c r="NR97" s="155"/>
      <c r="NS97" s="155"/>
      <c r="NT97" s="155"/>
      <c r="NU97" s="155"/>
      <c r="NV97" s="155"/>
      <c r="NW97" s="155"/>
      <c r="NX97" s="155"/>
      <c r="NY97" s="155"/>
      <c r="NZ97" s="155"/>
      <c r="OA97" s="155"/>
      <c r="OB97" s="155"/>
      <c r="OC97" s="155"/>
      <c r="OD97" s="155"/>
      <c r="OE97" s="155"/>
      <c r="OF97" s="155"/>
      <c r="OG97" s="155"/>
      <c r="OH97" s="155"/>
      <c r="OI97" s="155"/>
      <c r="OJ97" s="155"/>
      <c r="OK97" s="155"/>
      <c r="OL97" s="155"/>
      <c r="OM97" s="155"/>
      <c r="ON97" s="155"/>
      <c r="OO97" s="155"/>
      <c r="OP97" s="155"/>
      <c r="OQ97" s="155"/>
      <c r="OR97" s="155"/>
      <c r="OS97" s="155"/>
      <c r="OT97" s="155"/>
      <c r="OU97" s="155"/>
      <c r="OV97" s="155"/>
      <c r="OW97" s="155"/>
      <c r="OX97" s="155"/>
      <c r="OY97" s="155"/>
      <c r="OZ97" s="155"/>
      <c r="PA97" s="155"/>
      <c r="PB97" s="155"/>
      <c r="PC97" s="155"/>
      <c r="PD97" s="155"/>
      <c r="PE97" s="155"/>
      <c r="PF97" s="155"/>
      <c r="PG97" s="155"/>
      <c r="PH97" s="155"/>
      <c r="PI97" s="155"/>
      <c r="PJ97" s="155"/>
      <c r="PK97" s="155"/>
      <c r="PL97" s="155"/>
      <c r="PM97" s="155"/>
      <c r="PN97" s="155"/>
      <c r="PO97" s="155"/>
      <c r="PP97" s="155"/>
      <c r="PQ97" s="155"/>
      <c r="PR97" s="155"/>
      <c r="PS97" s="155"/>
      <c r="PT97" s="155"/>
      <c r="PU97" s="155"/>
      <c r="PV97" s="155"/>
      <c r="PW97" s="155"/>
      <c r="PX97" s="155"/>
      <c r="PY97" s="155"/>
      <c r="PZ97" s="155"/>
      <c r="QA97" s="155"/>
      <c r="QB97" s="155"/>
      <c r="QC97" s="155"/>
      <c r="QD97" s="155"/>
      <c r="QE97" s="155"/>
      <c r="QF97" s="155"/>
      <c r="QG97" s="155"/>
      <c r="QH97" s="155"/>
      <c r="QI97" s="155"/>
      <c r="QJ97" s="155"/>
      <c r="QK97" s="155"/>
      <c r="QL97" s="155"/>
      <c r="QM97" s="155"/>
      <c r="QN97" s="155"/>
      <c r="QO97" s="155"/>
      <c r="QP97" s="155"/>
      <c r="QQ97" s="155"/>
      <c r="QR97" s="155"/>
      <c r="QS97" s="155"/>
      <c r="QT97" s="155"/>
      <c r="QU97" s="155"/>
      <c r="QV97" s="155"/>
      <c r="QW97" s="155"/>
      <c r="QX97" s="155"/>
      <c r="QY97" s="155"/>
      <c r="QZ97" s="155"/>
      <c r="RA97" s="155"/>
      <c r="RB97" s="155"/>
      <c r="RC97" s="155"/>
      <c r="RD97" s="155"/>
      <c r="RE97" s="155"/>
      <c r="RF97" s="155"/>
      <c r="RG97" s="155"/>
      <c r="RH97" s="155"/>
      <c r="RI97" s="155"/>
      <c r="RJ97" s="155"/>
      <c r="RK97" s="155"/>
      <c r="RL97" s="155"/>
      <c r="RM97" s="155"/>
      <c r="RN97" s="155"/>
      <c r="RO97" s="155"/>
      <c r="RP97" s="155"/>
      <c r="RQ97" s="155"/>
      <c r="RR97" s="155"/>
      <c r="RS97" s="155"/>
      <c r="RT97" s="155"/>
      <c r="RU97" s="155"/>
      <c r="RV97" s="155"/>
      <c r="RW97" s="155"/>
      <c r="RX97" s="155"/>
      <c r="RY97" s="155"/>
      <c r="RZ97" s="155"/>
      <c r="SA97" s="155"/>
      <c r="SB97" s="155"/>
      <c r="SC97" s="155"/>
      <c r="SD97" s="155"/>
      <c r="SE97" s="155"/>
      <c r="SF97" s="155"/>
      <c r="SG97" s="155"/>
      <c r="SH97" s="155"/>
      <c r="SI97" s="155"/>
      <c r="SJ97" s="155"/>
      <c r="SK97" s="155"/>
      <c r="SL97" s="155"/>
      <c r="SM97" s="155"/>
      <c r="SN97" s="155"/>
      <c r="SO97" s="155"/>
      <c r="SP97" s="155"/>
      <c r="SQ97" s="155"/>
      <c r="SR97" s="155"/>
      <c r="SS97" s="155"/>
      <c r="ST97" s="155"/>
      <c r="SU97" s="155"/>
      <c r="SV97" s="155"/>
      <c r="SW97" s="155"/>
      <c r="SX97" s="155"/>
      <c r="SY97" s="155"/>
      <c r="SZ97" s="155"/>
      <c r="TA97" s="155"/>
      <c r="TB97" s="155"/>
      <c r="TC97" s="155"/>
      <c r="TD97" s="155"/>
      <c r="TE97" s="155"/>
      <c r="TF97" s="155"/>
      <c r="TG97" s="155"/>
      <c r="TH97" s="155"/>
      <c r="TI97" s="155"/>
      <c r="TJ97" s="155"/>
      <c r="TK97" s="155"/>
      <c r="TL97" s="155"/>
      <c r="TM97" s="155"/>
      <c r="TN97" s="155"/>
      <c r="TO97" s="155"/>
      <c r="TP97" s="155"/>
      <c r="TQ97" s="155"/>
      <c r="TR97" s="155"/>
      <c r="TS97" s="155"/>
      <c r="TT97" s="155"/>
      <c r="TU97" s="155"/>
      <c r="TV97" s="155"/>
      <c r="TW97" s="155"/>
      <c r="TX97" s="155"/>
      <c r="TY97" s="155"/>
      <c r="TZ97" s="155"/>
      <c r="UA97" s="155"/>
      <c r="UB97" s="155"/>
      <c r="UC97" s="155"/>
      <c r="UD97" s="155"/>
      <c r="UE97" s="155"/>
      <c r="UF97" s="155"/>
      <c r="UG97" s="155"/>
      <c r="UH97" s="155"/>
      <c r="UI97" s="155"/>
      <c r="UJ97" s="155"/>
      <c r="UK97" s="155"/>
      <c r="UL97" s="155"/>
      <c r="UM97" s="155"/>
      <c r="UN97" s="155"/>
      <c r="UO97" s="155"/>
      <c r="UP97" s="155"/>
      <c r="UQ97" s="155"/>
      <c r="UR97" s="155"/>
      <c r="US97" s="155"/>
      <c r="UT97" s="155"/>
      <c r="UU97" s="155"/>
      <c r="UV97" s="155"/>
      <c r="UW97" s="155"/>
      <c r="UX97" s="155"/>
      <c r="UY97" s="155"/>
      <c r="UZ97" s="155"/>
      <c r="VA97" s="155"/>
      <c r="VB97" s="155"/>
      <c r="VC97" s="155"/>
      <c r="VD97" s="155"/>
      <c r="VE97" s="155"/>
      <c r="VF97" s="155"/>
      <c r="VG97" s="155"/>
      <c r="VH97" s="155"/>
      <c r="VI97" s="155"/>
      <c r="VJ97" s="155"/>
      <c r="VK97" s="155"/>
      <c r="VL97" s="155"/>
      <c r="VM97" s="155"/>
      <c r="VN97" s="155"/>
      <c r="VO97" s="155"/>
      <c r="VP97" s="155"/>
      <c r="VQ97" s="155"/>
      <c r="VR97" s="155"/>
      <c r="VS97" s="155"/>
      <c r="VT97" s="155"/>
      <c r="VU97" s="155"/>
      <c r="VV97" s="155"/>
      <c r="VW97" s="155"/>
      <c r="VX97" s="155"/>
      <c r="VY97" s="155"/>
      <c r="VZ97" s="155"/>
      <c r="WA97" s="155"/>
      <c r="WB97" s="155"/>
      <c r="WC97" s="155"/>
      <c r="WD97" s="155"/>
      <c r="WE97" s="155"/>
      <c r="WF97" s="155"/>
      <c r="WG97" s="155"/>
      <c r="WH97" s="155"/>
      <c r="WI97" s="155"/>
      <c r="WJ97" s="155"/>
      <c r="WK97" s="155"/>
      <c r="WL97" s="155"/>
      <c r="WM97" s="155"/>
      <c r="WN97" s="155"/>
      <c r="WO97" s="155"/>
      <c r="WP97" s="155"/>
      <c r="WQ97" s="155"/>
      <c r="WR97" s="155"/>
      <c r="WS97" s="155"/>
      <c r="WT97" s="155"/>
      <c r="WU97" s="155"/>
      <c r="WV97" s="155"/>
      <c r="WW97" s="155"/>
      <c r="WX97" s="155"/>
      <c r="WY97" s="155"/>
      <c r="WZ97" s="155"/>
      <c r="XA97" s="155"/>
      <c r="XB97" s="155"/>
      <c r="XC97" s="155"/>
      <c r="XD97" s="155"/>
      <c r="XE97" s="155"/>
      <c r="XF97" s="155"/>
      <c r="XG97" s="155"/>
      <c r="XH97" s="155"/>
      <c r="XI97" s="155"/>
      <c r="XJ97" s="155"/>
      <c r="XK97" s="155"/>
      <c r="XL97" s="155"/>
      <c r="XM97" s="155"/>
      <c r="XN97" s="155"/>
      <c r="XO97" s="155"/>
      <c r="XP97" s="155"/>
      <c r="XQ97" s="155"/>
      <c r="XR97" s="155"/>
      <c r="XS97" s="155"/>
      <c r="XT97" s="155"/>
      <c r="XU97" s="155"/>
      <c r="XV97" s="155"/>
      <c r="XW97" s="155"/>
      <c r="XX97" s="155"/>
      <c r="XY97" s="155"/>
      <c r="XZ97" s="155"/>
      <c r="YA97" s="155"/>
      <c r="YB97" s="155"/>
      <c r="YC97" s="155"/>
      <c r="YD97" s="155"/>
      <c r="YE97" s="155"/>
      <c r="YF97" s="155"/>
      <c r="YG97" s="155"/>
      <c r="YH97" s="155"/>
      <c r="YI97" s="155"/>
      <c r="YJ97" s="155"/>
      <c r="YK97" s="155"/>
      <c r="YL97" s="155"/>
      <c r="YM97" s="155"/>
      <c r="YN97" s="155"/>
      <c r="YO97" s="155"/>
      <c r="YP97" s="155"/>
      <c r="YQ97" s="155"/>
      <c r="YR97" s="155"/>
      <c r="YS97" s="155"/>
      <c r="YT97" s="155"/>
      <c r="YU97" s="155"/>
      <c r="YV97" s="155"/>
      <c r="YW97" s="155"/>
      <c r="YX97" s="155"/>
      <c r="YY97" s="155"/>
      <c r="YZ97" s="155"/>
      <c r="ZA97" s="155"/>
      <c r="ZB97" s="155"/>
      <c r="ZC97" s="155"/>
      <c r="ZD97" s="155"/>
      <c r="ZE97" s="155"/>
      <c r="ZF97" s="155"/>
      <c r="ZG97" s="155"/>
      <c r="ZH97" s="155"/>
      <c r="ZI97" s="155"/>
      <c r="ZJ97" s="155"/>
      <c r="ZK97" s="155"/>
      <c r="ZL97" s="155"/>
      <c r="ZM97" s="155"/>
      <c r="ZN97" s="155"/>
      <c r="ZO97" s="155"/>
      <c r="ZP97" s="155"/>
      <c r="ZQ97" s="155"/>
      <c r="ZR97" s="155"/>
      <c r="ZS97" s="155"/>
      <c r="ZT97" s="155"/>
      <c r="ZU97" s="155"/>
      <c r="ZV97" s="155"/>
      <c r="ZW97" s="155"/>
      <c r="ZX97" s="155"/>
      <c r="ZY97" s="155"/>
      <c r="ZZ97" s="155"/>
      <c r="AAA97" s="155"/>
      <c r="AAB97" s="155"/>
      <c r="AAC97" s="155"/>
      <c r="AAD97" s="155"/>
      <c r="AAE97" s="155"/>
      <c r="AAF97" s="155"/>
      <c r="AAG97" s="155"/>
      <c r="AAH97" s="155"/>
      <c r="AAI97" s="155"/>
      <c r="AAJ97" s="155"/>
      <c r="AAK97" s="155"/>
      <c r="AAL97" s="155"/>
      <c r="AAM97" s="155"/>
      <c r="AAN97" s="155"/>
      <c r="AAO97" s="155"/>
      <c r="AAP97" s="155"/>
      <c r="AAQ97" s="155"/>
      <c r="AAR97" s="155"/>
      <c r="AAS97" s="155"/>
      <c r="AAT97" s="155"/>
      <c r="AAU97" s="155"/>
      <c r="AAV97" s="155"/>
      <c r="AAW97" s="155"/>
      <c r="AAX97" s="155"/>
      <c r="AAY97" s="155"/>
      <c r="AAZ97" s="155"/>
      <c r="ABA97" s="155"/>
      <c r="ABB97" s="155"/>
      <c r="ABC97" s="155"/>
      <c r="ABD97" s="155"/>
      <c r="ABE97" s="155"/>
      <c r="ABF97" s="155"/>
      <c r="ABG97" s="155"/>
      <c r="ABH97" s="155"/>
      <c r="ABI97" s="155"/>
      <c r="ABJ97" s="155"/>
      <c r="ABK97" s="155"/>
      <c r="ABL97" s="155"/>
      <c r="ABM97" s="155"/>
      <c r="ABN97" s="155"/>
      <c r="ABO97" s="155"/>
      <c r="ABP97" s="155"/>
      <c r="ABQ97" s="155"/>
      <c r="ABR97" s="155"/>
      <c r="ABS97" s="155"/>
      <c r="ABT97" s="155"/>
      <c r="ABU97" s="155"/>
      <c r="ABV97" s="155"/>
      <c r="ABW97" s="155"/>
      <c r="ABX97" s="155"/>
      <c r="ABY97" s="155"/>
      <c r="ABZ97" s="155"/>
      <c r="ACA97" s="155"/>
      <c r="ACB97" s="155"/>
      <c r="ACC97" s="155"/>
      <c r="ACD97" s="155"/>
      <c r="ACE97" s="155"/>
      <c r="ACF97" s="155"/>
      <c r="ACG97" s="155"/>
      <c r="ACH97" s="155"/>
      <c r="ACI97" s="155"/>
      <c r="ACJ97" s="155"/>
      <c r="ACK97" s="155"/>
      <c r="ACL97" s="155"/>
      <c r="ACM97" s="155"/>
      <c r="ACN97" s="155"/>
      <c r="ACO97" s="155"/>
      <c r="ACP97" s="155"/>
      <c r="ACQ97" s="155"/>
      <c r="ACR97" s="155"/>
      <c r="ACS97" s="155"/>
      <c r="ACT97" s="155"/>
      <c r="ACU97" s="155"/>
      <c r="ACV97" s="155"/>
      <c r="ACW97" s="155"/>
      <c r="ACX97" s="155"/>
      <c r="ACY97" s="155"/>
      <c r="ACZ97" s="155"/>
      <c r="ADA97" s="155"/>
      <c r="ADB97" s="155"/>
      <c r="ADC97" s="155"/>
      <c r="ADD97" s="155"/>
      <c r="ADE97" s="155"/>
      <c r="ADF97" s="155"/>
      <c r="ADG97" s="155"/>
      <c r="ADH97" s="155"/>
      <c r="ADI97" s="155"/>
      <c r="ADJ97" s="155"/>
      <c r="ADK97" s="155"/>
      <c r="ADL97" s="155"/>
      <c r="ADM97" s="155"/>
      <c r="ADN97" s="155"/>
      <c r="ADO97" s="155"/>
      <c r="ADP97" s="155"/>
      <c r="ADQ97" s="155"/>
      <c r="ADR97" s="155"/>
      <c r="ADS97" s="155"/>
      <c r="ADT97" s="155"/>
      <c r="ADU97" s="155"/>
      <c r="ADV97" s="155"/>
      <c r="ADW97" s="155"/>
      <c r="ADX97" s="155"/>
      <c r="ADY97" s="155"/>
      <c r="ADZ97" s="155"/>
      <c r="AEA97" s="155"/>
      <c r="AEB97" s="155"/>
      <c r="AEC97" s="155"/>
      <c r="AED97" s="155"/>
      <c r="AEE97" s="155"/>
      <c r="AEF97" s="155"/>
      <c r="AEG97" s="155"/>
      <c r="AEH97" s="155"/>
      <c r="AEI97" s="155"/>
      <c r="AEJ97" s="155"/>
      <c r="AEK97" s="155"/>
      <c r="AEL97" s="155"/>
      <c r="AEM97" s="155"/>
      <c r="AEN97" s="155"/>
      <c r="AEO97" s="155"/>
      <c r="AEP97" s="155"/>
      <c r="AEQ97" s="155"/>
      <c r="AER97" s="155"/>
      <c r="AES97" s="155"/>
      <c r="AET97" s="155"/>
      <c r="AEU97" s="155"/>
      <c r="AEV97" s="155"/>
      <c r="AEW97" s="155"/>
      <c r="AEX97" s="155"/>
      <c r="AEY97" s="155"/>
      <c r="AEZ97" s="155"/>
      <c r="AFA97" s="155"/>
      <c r="AFB97" s="155"/>
      <c r="AFC97" s="155"/>
      <c r="AFD97" s="155"/>
      <c r="AFE97" s="155"/>
      <c r="AFF97" s="155"/>
      <c r="AFG97" s="155"/>
      <c r="AFH97" s="155"/>
      <c r="AFI97" s="155"/>
      <c r="AFJ97" s="155"/>
      <c r="AFK97" s="155"/>
      <c r="AFL97" s="155"/>
      <c r="AFM97" s="155"/>
      <c r="AFN97" s="155"/>
      <c r="AFO97" s="155"/>
      <c r="AFP97" s="155"/>
      <c r="AFQ97" s="155"/>
      <c r="AFR97" s="155"/>
      <c r="AFS97" s="155"/>
      <c r="AFT97" s="155"/>
      <c r="AFU97" s="155"/>
      <c r="AFV97" s="155"/>
      <c r="AFW97" s="155"/>
      <c r="AFX97" s="155"/>
      <c r="AFY97" s="155"/>
      <c r="AFZ97" s="155"/>
      <c r="AGA97" s="155"/>
      <c r="AGB97" s="155"/>
      <c r="AGC97" s="155"/>
      <c r="AGD97" s="155"/>
      <c r="AGE97" s="155"/>
      <c r="AGF97" s="155"/>
      <c r="AGG97" s="155"/>
      <c r="AGH97" s="155"/>
      <c r="AGI97" s="155"/>
      <c r="AGJ97" s="155"/>
      <c r="AGK97" s="155"/>
      <c r="AGL97" s="155"/>
      <c r="AGM97" s="155"/>
      <c r="AGN97" s="155"/>
      <c r="AGO97" s="155"/>
      <c r="AGP97" s="155"/>
      <c r="AGQ97" s="155"/>
      <c r="AGR97" s="155"/>
      <c r="AGS97" s="155"/>
      <c r="AGT97" s="155"/>
      <c r="AGU97" s="155"/>
      <c r="AGV97" s="155"/>
      <c r="AGW97" s="155"/>
      <c r="AGX97" s="155"/>
      <c r="AGY97" s="155"/>
      <c r="AGZ97" s="155"/>
      <c r="AHA97" s="155"/>
      <c r="AHB97" s="155"/>
      <c r="AHC97" s="155"/>
      <c r="AHD97" s="155"/>
      <c r="AHE97" s="155"/>
      <c r="AHF97" s="155"/>
      <c r="AHG97" s="155"/>
      <c r="AHH97" s="155"/>
      <c r="AHI97" s="155"/>
      <c r="AHJ97" s="155"/>
      <c r="AHK97" s="155"/>
      <c r="AHL97" s="155"/>
      <c r="AHM97" s="155"/>
      <c r="AHN97" s="155"/>
      <c r="AHO97" s="155"/>
      <c r="AHP97" s="155"/>
      <c r="AHQ97" s="155"/>
      <c r="AHR97" s="155"/>
      <c r="AHS97" s="155"/>
      <c r="AHT97" s="155"/>
      <c r="AHU97" s="155"/>
      <c r="AHV97" s="155"/>
      <c r="AHW97" s="155"/>
      <c r="AHX97" s="155"/>
      <c r="AHY97" s="155"/>
      <c r="AHZ97" s="155"/>
      <c r="AIA97" s="155"/>
      <c r="AIB97" s="155"/>
      <c r="AIC97" s="155"/>
      <c r="AID97" s="155"/>
      <c r="AIE97" s="155"/>
      <c r="AIF97" s="155"/>
      <c r="AIG97" s="155"/>
      <c r="AIH97" s="155"/>
      <c r="AII97" s="155"/>
      <c r="AIJ97" s="155"/>
      <c r="AIK97" s="155"/>
      <c r="AIL97" s="155"/>
    </row>
    <row r="98" spans="1:922" s="163" customFormat="1" x14ac:dyDescent="0.35">
      <c r="A98" s="181"/>
      <c r="B98" s="181"/>
      <c r="C98" s="181"/>
      <c r="D98" s="168" t="str">
        <f>+D90</f>
        <v>Total raw materials</v>
      </c>
      <c r="E98" s="145"/>
      <c r="F98" s="186">
        <f>+F90/F$95</f>
        <v>0.17090008860533148</v>
      </c>
      <c r="G98" s="145"/>
      <c r="H98" s="186">
        <f>+H90/H$95</f>
        <v>4.1326582988081076E-2</v>
      </c>
      <c r="I98" s="145"/>
      <c r="J98" s="186">
        <f>+J90/J$95</f>
        <v>4.9227282901216647E-2</v>
      </c>
      <c r="K98" s="145"/>
      <c r="L98" s="186">
        <f>+L90/L$95</f>
        <v>7.1611492574468152E-2</v>
      </c>
      <c r="M98" s="145"/>
      <c r="N98" s="186">
        <f>+N90/N$95</f>
        <v>7.5094258440632652E-2</v>
      </c>
      <c r="O98" s="181"/>
      <c r="P98" s="181"/>
      <c r="Q98" s="181"/>
      <c r="R98" s="181"/>
      <c r="S98" s="181"/>
      <c r="T98" s="181"/>
      <c r="U98" s="181"/>
      <c r="V98" s="181"/>
      <c r="W98" s="181"/>
      <c r="X98" s="181"/>
      <c r="Y98" s="181"/>
      <c r="Z98" s="181"/>
      <c r="AA98" s="181"/>
      <c r="AB98" s="181"/>
      <c r="AC98" s="181"/>
      <c r="AD98" s="181"/>
      <c r="AE98" s="181"/>
      <c r="AF98" s="181"/>
      <c r="AG98" s="181"/>
      <c r="AH98" s="181"/>
      <c r="AI98" s="181"/>
      <c r="AJ98" s="181"/>
      <c r="AK98" s="181"/>
      <c r="AL98" s="181"/>
      <c r="AM98" s="181"/>
      <c r="AN98" s="181"/>
      <c r="AO98" s="181"/>
      <c r="AP98" s="181"/>
      <c r="AQ98" s="181"/>
      <c r="AR98" s="181"/>
      <c r="AS98" s="181"/>
      <c r="AT98" s="181"/>
      <c r="AU98" s="181"/>
      <c r="AV98" s="181"/>
      <c r="AW98" s="181"/>
      <c r="AX98" s="181"/>
      <c r="AY98" s="181"/>
      <c r="AZ98" s="181"/>
      <c r="BA98" s="181"/>
      <c r="BB98" s="181"/>
      <c r="BC98" s="181"/>
      <c r="BD98" s="181"/>
      <c r="BE98" s="181"/>
      <c r="BF98" s="181"/>
      <c r="BG98" s="181"/>
      <c r="BH98" s="181"/>
      <c r="BI98" s="181"/>
      <c r="BJ98" s="181"/>
      <c r="BK98" s="181"/>
      <c r="BL98" s="181"/>
      <c r="BM98" s="181"/>
      <c r="BN98" s="181"/>
      <c r="BO98" s="181"/>
      <c r="BP98" s="181"/>
      <c r="BQ98" s="181"/>
      <c r="BR98" s="181"/>
      <c r="BS98" s="181"/>
      <c r="BT98" s="181"/>
      <c r="BU98" s="181"/>
      <c r="BV98" s="181"/>
      <c r="BW98" s="181"/>
      <c r="BX98" s="181"/>
      <c r="BY98" s="181"/>
      <c r="BZ98" s="181"/>
      <c r="CA98" s="181"/>
      <c r="CB98" s="181"/>
      <c r="CC98" s="181"/>
      <c r="CD98" s="181"/>
      <c r="CE98" s="181"/>
      <c r="CF98" s="181"/>
      <c r="CG98" s="181"/>
      <c r="CH98" s="181"/>
      <c r="CI98" s="181"/>
      <c r="CJ98" s="181"/>
      <c r="CK98" s="181"/>
      <c r="CL98" s="181"/>
      <c r="CM98" s="181"/>
      <c r="CN98" s="181"/>
      <c r="CO98" s="181"/>
      <c r="CP98" s="181"/>
      <c r="CQ98" s="181"/>
      <c r="CR98" s="181"/>
      <c r="CS98" s="181"/>
      <c r="CT98" s="181"/>
      <c r="CU98" s="181"/>
      <c r="CV98" s="181"/>
      <c r="CW98" s="181"/>
      <c r="CX98" s="181"/>
      <c r="CY98" s="181"/>
      <c r="CZ98" s="181"/>
      <c r="DA98" s="181"/>
      <c r="DB98" s="181"/>
      <c r="DC98" s="181"/>
      <c r="DD98" s="181"/>
      <c r="DE98" s="181"/>
      <c r="DF98" s="181"/>
      <c r="DG98" s="181"/>
      <c r="DH98" s="181"/>
      <c r="DI98" s="181"/>
      <c r="DJ98" s="181"/>
      <c r="DK98" s="181"/>
      <c r="DL98" s="181"/>
      <c r="DM98" s="181"/>
      <c r="DN98" s="181"/>
      <c r="DO98" s="181"/>
      <c r="DP98" s="181"/>
      <c r="DQ98" s="181"/>
      <c r="DR98" s="181"/>
      <c r="DS98" s="181"/>
      <c r="DT98" s="181"/>
      <c r="DU98" s="181"/>
      <c r="DV98" s="181"/>
      <c r="DW98" s="181"/>
      <c r="DX98" s="181"/>
      <c r="DY98" s="181"/>
      <c r="DZ98" s="181"/>
      <c r="EA98" s="181"/>
      <c r="EB98" s="181"/>
      <c r="EC98" s="181"/>
      <c r="ED98" s="181"/>
      <c r="EE98" s="181"/>
      <c r="EF98" s="181"/>
      <c r="EG98" s="181"/>
      <c r="EH98" s="181"/>
      <c r="EI98" s="181"/>
      <c r="EJ98" s="181"/>
      <c r="EK98" s="181"/>
      <c r="EL98" s="181"/>
      <c r="EM98" s="181"/>
      <c r="EN98" s="181"/>
      <c r="EO98" s="181"/>
      <c r="EP98" s="181"/>
      <c r="EQ98" s="181"/>
      <c r="ER98" s="181"/>
      <c r="ES98" s="181"/>
      <c r="ET98" s="181"/>
      <c r="EU98" s="181"/>
      <c r="EV98" s="181"/>
      <c r="EW98" s="181"/>
      <c r="EX98" s="181"/>
      <c r="EY98" s="181"/>
      <c r="EZ98" s="181"/>
      <c r="FA98" s="181"/>
      <c r="FB98" s="181"/>
      <c r="FC98" s="181"/>
      <c r="FD98" s="181"/>
      <c r="FE98" s="181"/>
      <c r="FF98" s="181"/>
      <c r="FG98" s="181"/>
      <c r="FH98" s="181"/>
      <c r="FI98" s="181"/>
      <c r="FJ98" s="181"/>
      <c r="FK98" s="181"/>
      <c r="FL98" s="181"/>
      <c r="FM98" s="181"/>
      <c r="FN98" s="181"/>
      <c r="FO98" s="181"/>
      <c r="FP98" s="181"/>
      <c r="FQ98" s="181"/>
      <c r="FR98" s="181"/>
      <c r="FS98" s="181"/>
      <c r="FT98" s="181"/>
      <c r="FU98" s="181"/>
      <c r="FV98" s="181"/>
      <c r="FW98" s="181"/>
      <c r="FX98" s="181"/>
      <c r="FY98" s="181"/>
      <c r="FZ98" s="181"/>
      <c r="GA98" s="181"/>
      <c r="GB98" s="181"/>
      <c r="GC98" s="181"/>
      <c r="GD98" s="181"/>
      <c r="GE98" s="181"/>
      <c r="GF98" s="181"/>
      <c r="GG98" s="181"/>
      <c r="GH98" s="181"/>
      <c r="GI98" s="181"/>
      <c r="GJ98" s="181"/>
      <c r="GK98" s="181"/>
      <c r="GL98" s="181"/>
      <c r="GM98" s="181"/>
      <c r="GN98" s="181"/>
      <c r="GO98" s="181"/>
      <c r="GP98" s="181"/>
      <c r="GQ98" s="181"/>
      <c r="GR98" s="181"/>
      <c r="GS98" s="181"/>
      <c r="GT98" s="181"/>
      <c r="GU98" s="181"/>
      <c r="GV98" s="181"/>
      <c r="GW98" s="181"/>
      <c r="GX98" s="181"/>
      <c r="GY98" s="181"/>
      <c r="GZ98" s="181"/>
      <c r="HA98" s="181"/>
      <c r="HB98" s="181"/>
      <c r="HC98" s="181"/>
      <c r="HD98" s="181"/>
      <c r="HE98" s="181"/>
      <c r="HF98" s="181"/>
      <c r="HG98" s="181"/>
      <c r="HH98" s="181"/>
      <c r="HI98" s="181"/>
      <c r="HJ98" s="181"/>
      <c r="HK98" s="181"/>
      <c r="HL98" s="181"/>
      <c r="HM98" s="181"/>
      <c r="HN98" s="181"/>
      <c r="HO98" s="181"/>
      <c r="HP98" s="181"/>
      <c r="HQ98" s="181"/>
      <c r="HR98" s="181"/>
      <c r="HS98" s="181"/>
      <c r="HT98" s="181"/>
      <c r="HU98" s="181"/>
      <c r="HV98" s="181"/>
      <c r="HW98" s="181"/>
      <c r="HX98" s="181"/>
      <c r="HY98" s="181"/>
      <c r="HZ98" s="181"/>
      <c r="IA98" s="181"/>
      <c r="IB98" s="181"/>
      <c r="IC98" s="181"/>
      <c r="ID98" s="181"/>
      <c r="IE98" s="181"/>
      <c r="IF98" s="181"/>
      <c r="IG98" s="181"/>
      <c r="IH98" s="181"/>
      <c r="II98" s="181"/>
      <c r="IJ98" s="181"/>
      <c r="IK98" s="181"/>
      <c r="IL98" s="181"/>
      <c r="IM98" s="181"/>
      <c r="IN98" s="181"/>
      <c r="IO98" s="181"/>
      <c r="IP98" s="181"/>
      <c r="IQ98" s="181"/>
      <c r="IR98" s="181"/>
      <c r="IS98" s="181"/>
      <c r="IT98" s="181"/>
      <c r="IU98" s="181"/>
      <c r="IV98" s="181"/>
      <c r="IW98" s="181"/>
      <c r="IX98" s="181"/>
      <c r="IY98" s="181"/>
      <c r="IZ98" s="181"/>
      <c r="JA98" s="181"/>
      <c r="JB98" s="181"/>
      <c r="JC98" s="181"/>
      <c r="JD98" s="181"/>
      <c r="JE98" s="181"/>
      <c r="JF98" s="181"/>
      <c r="JG98" s="181"/>
      <c r="JH98" s="181"/>
      <c r="JI98" s="181"/>
      <c r="JJ98" s="181"/>
      <c r="JK98" s="181"/>
      <c r="JL98" s="181"/>
      <c r="JM98" s="181"/>
      <c r="JN98" s="181"/>
      <c r="JO98" s="181"/>
      <c r="JP98" s="181"/>
      <c r="JQ98" s="181"/>
      <c r="JR98" s="181"/>
      <c r="JS98" s="181"/>
      <c r="JT98" s="181"/>
      <c r="JU98" s="181"/>
      <c r="JV98" s="181"/>
      <c r="JW98" s="181"/>
      <c r="JX98" s="181"/>
      <c r="JY98" s="181"/>
      <c r="JZ98" s="181"/>
      <c r="KA98" s="181"/>
      <c r="KB98" s="181"/>
      <c r="KC98" s="181"/>
      <c r="KD98" s="181"/>
      <c r="KE98" s="181"/>
      <c r="KF98" s="181"/>
      <c r="KG98" s="181"/>
      <c r="KH98" s="181"/>
      <c r="KI98" s="181"/>
      <c r="KJ98" s="181"/>
      <c r="KK98" s="181"/>
      <c r="KL98" s="181"/>
      <c r="KM98" s="181"/>
      <c r="KN98" s="181"/>
      <c r="KO98" s="181"/>
      <c r="KP98" s="181"/>
      <c r="KQ98" s="181"/>
      <c r="KR98" s="181"/>
      <c r="KS98" s="181"/>
      <c r="KT98" s="181"/>
      <c r="KU98" s="181"/>
      <c r="KV98" s="181"/>
      <c r="KW98" s="181"/>
      <c r="KX98" s="181"/>
      <c r="KY98" s="181"/>
      <c r="KZ98" s="181"/>
      <c r="LA98" s="181"/>
      <c r="LB98" s="181"/>
      <c r="LC98" s="181"/>
      <c r="LD98" s="181"/>
      <c r="LE98" s="181"/>
      <c r="LF98" s="181"/>
      <c r="LG98" s="181"/>
      <c r="LH98" s="181"/>
      <c r="LI98" s="181"/>
      <c r="LJ98" s="181"/>
      <c r="LK98" s="181"/>
      <c r="LL98" s="181"/>
      <c r="LM98" s="181"/>
      <c r="LN98" s="181"/>
      <c r="LO98" s="181"/>
      <c r="LP98" s="181"/>
      <c r="LQ98" s="181"/>
      <c r="LR98" s="181"/>
      <c r="LS98" s="181"/>
      <c r="LT98" s="181"/>
      <c r="LU98" s="181"/>
      <c r="LV98" s="181"/>
      <c r="LW98" s="181"/>
      <c r="LX98" s="181"/>
      <c r="LY98" s="181"/>
      <c r="LZ98" s="181"/>
      <c r="MA98" s="181"/>
      <c r="MB98" s="181"/>
      <c r="MC98" s="181"/>
      <c r="MD98" s="181"/>
      <c r="ME98" s="181"/>
      <c r="MF98" s="181"/>
      <c r="MG98" s="181"/>
      <c r="MH98" s="181"/>
      <c r="MI98" s="181"/>
      <c r="MJ98" s="181"/>
      <c r="MK98" s="181"/>
      <c r="ML98" s="181"/>
      <c r="MM98" s="181"/>
      <c r="MN98" s="181"/>
      <c r="MO98" s="181"/>
      <c r="MP98" s="181"/>
      <c r="MQ98" s="181"/>
      <c r="MR98" s="181"/>
      <c r="MS98" s="181"/>
      <c r="MT98" s="181"/>
      <c r="MU98" s="181"/>
      <c r="MV98" s="181"/>
      <c r="MW98" s="181"/>
      <c r="MX98" s="181"/>
      <c r="MY98" s="181"/>
      <c r="MZ98" s="181"/>
      <c r="NA98" s="181"/>
      <c r="NB98" s="181"/>
      <c r="NC98" s="181"/>
      <c r="ND98" s="181"/>
      <c r="NE98" s="181"/>
      <c r="NF98" s="181"/>
      <c r="NG98" s="181"/>
      <c r="NH98" s="181"/>
      <c r="NI98" s="181"/>
      <c r="NJ98" s="181"/>
      <c r="NK98" s="181"/>
      <c r="NL98" s="181"/>
      <c r="NM98" s="181"/>
      <c r="NN98" s="181"/>
      <c r="NO98" s="181"/>
      <c r="NP98" s="181"/>
      <c r="NQ98" s="181"/>
      <c r="NR98" s="181"/>
      <c r="NS98" s="181"/>
      <c r="NT98" s="181"/>
      <c r="NU98" s="181"/>
      <c r="NV98" s="181"/>
      <c r="NW98" s="181"/>
      <c r="NX98" s="181"/>
      <c r="NY98" s="181"/>
      <c r="NZ98" s="181"/>
      <c r="OA98" s="181"/>
      <c r="OB98" s="181"/>
      <c r="OC98" s="181"/>
      <c r="OD98" s="181"/>
      <c r="OE98" s="181"/>
      <c r="OF98" s="181"/>
      <c r="OG98" s="181"/>
      <c r="OH98" s="181"/>
      <c r="OI98" s="181"/>
      <c r="OJ98" s="181"/>
      <c r="OK98" s="181"/>
      <c r="OL98" s="181"/>
      <c r="OM98" s="181"/>
      <c r="ON98" s="181"/>
      <c r="OO98" s="181"/>
      <c r="OP98" s="181"/>
      <c r="OQ98" s="181"/>
      <c r="OR98" s="181"/>
      <c r="OS98" s="181"/>
      <c r="OT98" s="181"/>
      <c r="OU98" s="181"/>
      <c r="OV98" s="181"/>
      <c r="OW98" s="181"/>
      <c r="OX98" s="181"/>
      <c r="OY98" s="181"/>
      <c r="OZ98" s="181"/>
      <c r="PA98" s="181"/>
      <c r="PB98" s="181"/>
      <c r="PC98" s="181"/>
      <c r="PD98" s="181"/>
      <c r="PE98" s="181"/>
      <c r="PF98" s="181"/>
      <c r="PG98" s="181"/>
      <c r="PH98" s="181"/>
      <c r="PI98" s="181"/>
      <c r="PJ98" s="181"/>
      <c r="PK98" s="181"/>
      <c r="PL98" s="181"/>
      <c r="PM98" s="181"/>
      <c r="PN98" s="181"/>
      <c r="PO98" s="181"/>
      <c r="PP98" s="181"/>
      <c r="PQ98" s="181"/>
      <c r="PR98" s="181"/>
      <c r="PS98" s="181"/>
      <c r="PT98" s="181"/>
      <c r="PU98" s="181"/>
      <c r="PV98" s="181"/>
      <c r="PW98" s="181"/>
      <c r="PX98" s="181"/>
      <c r="PY98" s="181"/>
      <c r="PZ98" s="181"/>
      <c r="QA98" s="181"/>
      <c r="QB98" s="181"/>
      <c r="QC98" s="181"/>
      <c r="QD98" s="181"/>
      <c r="QE98" s="181"/>
      <c r="QF98" s="181"/>
      <c r="QG98" s="181"/>
      <c r="QH98" s="181"/>
      <c r="QI98" s="181"/>
      <c r="QJ98" s="181"/>
      <c r="QK98" s="181"/>
      <c r="QL98" s="181"/>
      <c r="QM98" s="181"/>
      <c r="QN98" s="181"/>
      <c r="QO98" s="181"/>
      <c r="QP98" s="181"/>
      <c r="QQ98" s="181"/>
      <c r="QR98" s="181"/>
      <c r="QS98" s="181"/>
      <c r="QT98" s="181"/>
      <c r="QU98" s="181"/>
      <c r="QV98" s="181"/>
      <c r="QW98" s="181"/>
      <c r="QX98" s="181"/>
      <c r="QY98" s="181"/>
      <c r="QZ98" s="181"/>
      <c r="RA98" s="181"/>
      <c r="RB98" s="181"/>
      <c r="RC98" s="181"/>
      <c r="RD98" s="181"/>
      <c r="RE98" s="181"/>
      <c r="RF98" s="181"/>
      <c r="RG98" s="181"/>
      <c r="RH98" s="181"/>
      <c r="RI98" s="181"/>
      <c r="RJ98" s="181"/>
      <c r="RK98" s="181"/>
      <c r="RL98" s="181"/>
      <c r="RM98" s="181"/>
      <c r="RN98" s="181"/>
      <c r="RO98" s="181"/>
      <c r="RP98" s="181"/>
      <c r="RQ98" s="181"/>
      <c r="RR98" s="181"/>
      <c r="RS98" s="181"/>
      <c r="RT98" s="181"/>
      <c r="RU98" s="181"/>
      <c r="RV98" s="181"/>
      <c r="RW98" s="181"/>
      <c r="RX98" s="181"/>
      <c r="RY98" s="181"/>
      <c r="RZ98" s="181"/>
      <c r="SA98" s="181"/>
      <c r="SB98" s="181"/>
      <c r="SC98" s="181"/>
      <c r="SD98" s="181"/>
      <c r="SE98" s="181"/>
      <c r="SF98" s="181"/>
      <c r="SG98" s="181"/>
      <c r="SH98" s="181"/>
      <c r="SI98" s="181"/>
      <c r="SJ98" s="181"/>
      <c r="SK98" s="181"/>
      <c r="SL98" s="181"/>
      <c r="SM98" s="181"/>
      <c r="SN98" s="181"/>
      <c r="SO98" s="181"/>
      <c r="SP98" s="181"/>
      <c r="SQ98" s="181"/>
      <c r="SR98" s="181"/>
      <c r="SS98" s="181"/>
      <c r="ST98" s="181"/>
      <c r="SU98" s="181"/>
      <c r="SV98" s="181"/>
      <c r="SW98" s="181"/>
      <c r="SX98" s="181"/>
      <c r="SY98" s="181"/>
      <c r="SZ98" s="181"/>
      <c r="TA98" s="181"/>
      <c r="TB98" s="181"/>
      <c r="TC98" s="181"/>
      <c r="TD98" s="181"/>
      <c r="TE98" s="181"/>
      <c r="TF98" s="181"/>
      <c r="TG98" s="181"/>
      <c r="TH98" s="181"/>
      <c r="TI98" s="181"/>
      <c r="TJ98" s="181"/>
      <c r="TK98" s="181"/>
      <c r="TL98" s="181"/>
      <c r="TM98" s="181"/>
      <c r="TN98" s="181"/>
      <c r="TO98" s="181"/>
      <c r="TP98" s="181"/>
      <c r="TQ98" s="181"/>
      <c r="TR98" s="181"/>
      <c r="TS98" s="181"/>
      <c r="TT98" s="181"/>
      <c r="TU98" s="181"/>
      <c r="TV98" s="181"/>
      <c r="TW98" s="181"/>
      <c r="TX98" s="181"/>
      <c r="TY98" s="181"/>
      <c r="TZ98" s="181"/>
      <c r="UA98" s="181"/>
      <c r="UB98" s="181"/>
      <c r="UC98" s="181"/>
      <c r="UD98" s="181"/>
      <c r="UE98" s="181"/>
      <c r="UF98" s="181"/>
      <c r="UG98" s="181"/>
      <c r="UH98" s="181"/>
      <c r="UI98" s="181"/>
      <c r="UJ98" s="181"/>
      <c r="UK98" s="181"/>
      <c r="UL98" s="181"/>
      <c r="UM98" s="181"/>
      <c r="UN98" s="181"/>
      <c r="UO98" s="181"/>
      <c r="UP98" s="181"/>
      <c r="UQ98" s="181"/>
      <c r="UR98" s="181"/>
      <c r="US98" s="181"/>
      <c r="UT98" s="181"/>
      <c r="UU98" s="181"/>
      <c r="UV98" s="181"/>
      <c r="UW98" s="181"/>
      <c r="UX98" s="181"/>
      <c r="UY98" s="181"/>
      <c r="UZ98" s="181"/>
      <c r="VA98" s="181"/>
      <c r="VB98" s="181"/>
      <c r="VC98" s="181"/>
      <c r="VD98" s="181"/>
      <c r="VE98" s="181"/>
      <c r="VF98" s="181"/>
      <c r="VG98" s="181"/>
      <c r="VH98" s="181"/>
      <c r="VI98" s="181"/>
      <c r="VJ98" s="181"/>
      <c r="VK98" s="181"/>
      <c r="VL98" s="181"/>
      <c r="VM98" s="181"/>
      <c r="VN98" s="181"/>
      <c r="VO98" s="181"/>
      <c r="VP98" s="181"/>
      <c r="VQ98" s="181"/>
      <c r="VR98" s="181"/>
      <c r="VS98" s="181"/>
      <c r="VT98" s="181"/>
      <c r="VU98" s="181"/>
      <c r="VV98" s="181"/>
      <c r="VW98" s="181"/>
      <c r="VX98" s="181"/>
      <c r="VY98" s="181"/>
      <c r="VZ98" s="181"/>
      <c r="WA98" s="181"/>
      <c r="WB98" s="181"/>
      <c r="WC98" s="181"/>
      <c r="WD98" s="181"/>
      <c r="WE98" s="181"/>
      <c r="WF98" s="181"/>
      <c r="WG98" s="181"/>
      <c r="WH98" s="181"/>
      <c r="WI98" s="181"/>
      <c r="WJ98" s="181"/>
      <c r="WK98" s="181"/>
      <c r="WL98" s="181"/>
      <c r="WM98" s="181"/>
      <c r="WN98" s="181"/>
      <c r="WO98" s="181"/>
      <c r="WP98" s="181"/>
      <c r="WQ98" s="181"/>
      <c r="WR98" s="181"/>
      <c r="WS98" s="181"/>
      <c r="WT98" s="181"/>
      <c r="WU98" s="181"/>
      <c r="WV98" s="181"/>
      <c r="WW98" s="181"/>
      <c r="WX98" s="181"/>
      <c r="WY98" s="181"/>
      <c r="WZ98" s="181"/>
      <c r="XA98" s="181"/>
      <c r="XB98" s="181"/>
      <c r="XC98" s="181"/>
      <c r="XD98" s="181"/>
      <c r="XE98" s="181"/>
      <c r="XF98" s="181"/>
      <c r="XG98" s="181"/>
      <c r="XH98" s="181"/>
      <c r="XI98" s="181"/>
      <c r="XJ98" s="181"/>
      <c r="XK98" s="181"/>
      <c r="XL98" s="181"/>
      <c r="XM98" s="181"/>
      <c r="XN98" s="181"/>
      <c r="XO98" s="181"/>
      <c r="XP98" s="181"/>
      <c r="XQ98" s="181"/>
      <c r="XR98" s="181"/>
      <c r="XS98" s="181"/>
      <c r="XT98" s="181"/>
      <c r="XU98" s="181"/>
      <c r="XV98" s="181"/>
      <c r="XW98" s="181"/>
      <c r="XX98" s="181"/>
      <c r="XY98" s="181"/>
      <c r="XZ98" s="181"/>
      <c r="YA98" s="181"/>
      <c r="YB98" s="181"/>
      <c r="YC98" s="181"/>
      <c r="YD98" s="181"/>
      <c r="YE98" s="181"/>
      <c r="YF98" s="181"/>
      <c r="YG98" s="181"/>
      <c r="YH98" s="181"/>
      <c r="YI98" s="181"/>
      <c r="YJ98" s="181"/>
      <c r="YK98" s="181"/>
      <c r="YL98" s="181"/>
      <c r="YM98" s="181"/>
      <c r="YN98" s="181"/>
      <c r="YO98" s="181"/>
      <c r="YP98" s="181"/>
      <c r="YQ98" s="181"/>
      <c r="YR98" s="181"/>
      <c r="YS98" s="181"/>
      <c r="YT98" s="181"/>
      <c r="YU98" s="181"/>
      <c r="YV98" s="181"/>
      <c r="YW98" s="181"/>
      <c r="YX98" s="181"/>
      <c r="YY98" s="181"/>
      <c r="YZ98" s="181"/>
      <c r="ZA98" s="181"/>
      <c r="ZB98" s="181"/>
      <c r="ZC98" s="181"/>
      <c r="ZD98" s="181"/>
      <c r="ZE98" s="181"/>
      <c r="ZF98" s="181"/>
      <c r="ZG98" s="181"/>
      <c r="ZH98" s="181"/>
      <c r="ZI98" s="181"/>
      <c r="ZJ98" s="181"/>
      <c r="ZK98" s="181"/>
      <c r="ZL98" s="181"/>
      <c r="ZM98" s="181"/>
      <c r="ZN98" s="181"/>
      <c r="ZO98" s="181"/>
      <c r="ZP98" s="181"/>
      <c r="ZQ98" s="181"/>
      <c r="ZR98" s="181"/>
      <c r="ZS98" s="181"/>
      <c r="ZT98" s="181"/>
      <c r="ZU98" s="181"/>
      <c r="ZV98" s="181"/>
      <c r="ZW98" s="181"/>
      <c r="ZX98" s="181"/>
      <c r="ZY98" s="181"/>
      <c r="ZZ98" s="181"/>
      <c r="AAA98" s="181"/>
      <c r="AAB98" s="181"/>
      <c r="AAC98" s="181"/>
      <c r="AAD98" s="181"/>
      <c r="AAE98" s="181"/>
      <c r="AAF98" s="181"/>
      <c r="AAG98" s="181"/>
      <c r="AAH98" s="181"/>
      <c r="AAI98" s="181"/>
      <c r="AAJ98" s="181"/>
      <c r="AAK98" s="181"/>
      <c r="AAL98" s="181"/>
      <c r="AAM98" s="181"/>
      <c r="AAN98" s="181"/>
      <c r="AAO98" s="181"/>
      <c r="AAP98" s="181"/>
      <c r="AAQ98" s="181"/>
      <c r="AAR98" s="181"/>
      <c r="AAS98" s="181"/>
      <c r="AAT98" s="181"/>
      <c r="AAU98" s="181"/>
      <c r="AAV98" s="181"/>
      <c r="AAW98" s="181"/>
      <c r="AAX98" s="181"/>
      <c r="AAY98" s="181"/>
      <c r="AAZ98" s="181"/>
      <c r="ABA98" s="181"/>
      <c r="ABB98" s="181"/>
      <c r="ABC98" s="181"/>
      <c r="ABD98" s="181"/>
      <c r="ABE98" s="181"/>
      <c r="ABF98" s="181"/>
      <c r="ABG98" s="181"/>
      <c r="ABH98" s="181"/>
      <c r="ABI98" s="181"/>
      <c r="ABJ98" s="181"/>
      <c r="ABK98" s="181"/>
      <c r="ABL98" s="181"/>
      <c r="ABM98" s="181"/>
      <c r="ABN98" s="181"/>
      <c r="ABO98" s="181"/>
      <c r="ABP98" s="181"/>
      <c r="ABQ98" s="181"/>
      <c r="ABR98" s="181"/>
      <c r="ABS98" s="181"/>
      <c r="ABT98" s="181"/>
      <c r="ABU98" s="181"/>
      <c r="ABV98" s="181"/>
      <c r="ABW98" s="181"/>
      <c r="ABX98" s="181"/>
      <c r="ABY98" s="181"/>
      <c r="ABZ98" s="181"/>
      <c r="ACA98" s="181"/>
      <c r="ACB98" s="181"/>
      <c r="ACC98" s="181"/>
      <c r="ACD98" s="181"/>
      <c r="ACE98" s="181"/>
      <c r="ACF98" s="181"/>
      <c r="ACG98" s="181"/>
      <c r="ACH98" s="181"/>
      <c r="ACI98" s="181"/>
      <c r="ACJ98" s="181"/>
      <c r="ACK98" s="181"/>
      <c r="ACL98" s="181"/>
      <c r="ACM98" s="181"/>
      <c r="ACN98" s="181"/>
      <c r="ACO98" s="181"/>
      <c r="ACP98" s="181"/>
      <c r="ACQ98" s="181"/>
      <c r="ACR98" s="181"/>
      <c r="ACS98" s="181"/>
      <c r="ACT98" s="181"/>
      <c r="ACU98" s="181"/>
      <c r="ACV98" s="181"/>
      <c r="ACW98" s="181"/>
      <c r="ACX98" s="181"/>
      <c r="ACY98" s="181"/>
      <c r="ACZ98" s="181"/>
      <c r="ADA98" s="181"/>
      <c r="ADB98" s="181"/>
      <c r="ADC98" s="181"/>
      <c r="ADD98" s="181"/>
      <c r="ADE98" s="181"/>
      <c r="ADF98" s="181"/>
      <c r="ADG98" s="181"/>
      <c r="ADH98" s="181"/>
      <c r="ADI98" s="181"/>
      <c r="ADJ98" s="181"/>
      <c r="ADK98" s="181"/>
      <c r="ADL98" s="181"/>
      <c r="ADM98" s="181"/>
      <c r="ADN98" s="181"/>
      <c r="ADO98" s="181"/>
      <c r="ADP98" s="181"/>
      <c r="ADQ98" s="181"/>
      <c r="ADR98" s="181"/>
      <c r="ADS98" s="181"/>
      <c r="ADT98" s="181"/>
      <c r="ADU98" s="181"/>
      <c r="ADV98" s="181"/>
      <c r="ADW98" s="181"/>
      <c r="ADX98" s="181"/>
      <c r="ADY98" s="181"/>
      <c r="ADZ98" s="181"/>
      <c r="AEA98" s="181"/>
      <c r="AEB98" s="181"/>
      <c r="AEC98" s="181"/>
      <c r="AED98" s="181"/>
      <c r="AEE98" s="181"/>
      <c r="AEF98" s="181"/>
      <c r="AEG98" s="181"/>
      <c r="AEH98" s="181"/>
      <c r="AEI98" s="181"/>
      <c r="AEJ98" s="181"/>
      <c r="AEK98" s="181"/>
      <c r="AEL98" s="181"/>
      <c r="AEM98" s="181"/>
      <c r="AEN98" s="181"/>
      <c r="AEO98" s="181"/>
      <c r="AEP98" s="181"/>
      <c r="AEQ98" s="181"/>
      <c r="AER98" s="181"/>
      <c r="AES98" s="181"/>
      <c r="AET98" s="181"/>
      <c r="AEU98" s="181"/>
      <c r="AEV98" s="181"/>
      <c r="AEW98" s="181"/>
      <c r="AEX98" s="181"/>
      <c r="AEY98" s="181"/>
      <c r="AEZ98" s="181"/>
      <c r="AFA98" s="181"/>
      <c r="AFB98" s="181"/>
      <c r="AFC98" s="181"/>
      <c r="AFD98" s="181"/>
      <c r="AFE98" s="181"/>
      <c r="AFF98" s="181"/>
      <c r="AFG98" s="181"/>
      <c r="AFH98" s="181"/>
      <c r="AFI98" s="181"/>
      <c r="AFJ98" s="181"/>
      <c r="AFK98" s="181"/>
      <c r="AFL98" s="181"/>
      <c r="AFM98" s="181"/>
      <c r="AFN98" s="181"/>
      <c r="AFO98" s="181"/>
      <c r="AFP98" s="181"/>
      <c r="AFQ98" s="181"/>
      <c r="AFR98" s="181"/>
      <c r="AFS98" s="181"/>
      <c r="AFT98" s="181"/>
      <c r="AFU98" s="181"/>
      <c r="AFV98" s="181"/>
      <c r="AFW98" s="181"/>
      <c r="AFX98" s="181"/>
      <c r="AFY98" s="181"/>
      <c r="AFZ98" s="181"/>
      <c r="AGA98" s="181"/>
      <c r="AGB98" s="181"/>
      <c r="AGC98" s="181"/>
      <c r="AGD98" s="181"/>
      <c r="AGE98" s="181"/>
      <c r="AGF98" s="181"/>
      <c r="AGG98" s="181"/>
      <c r="AGH98" s="181"/>
      <c r="AGI98" s="181"/>
      <c r="AGJ98" s="181"/>
      <c r="AGK98" s="181"/>
      <c r="AGL98" s="181"/>
      <c r="AGM98" s="181"/>
      <c r="AGN98" s="181"/>
      <c r="AGO98" s="181"/>
      <c r="AGP98" s="181"/>
      <c r="AGQ98" s="181"/>
      <c r="AGR98" s="181"/>
      <c r="AGS98" s="181"/>
      <c r="AGT98" s="181"/>
      <c r="AGU98" s="181"/>
      <c r="AGV98" s="181"/>
      <c r="AGW98" s="181"/>
      <c r="AGX98" s="181"/>
      <c r="AGY98" s="181"/>
      <c r="AGZ98" s="181"/>
      <c r="AHA98" s="181"/>
      <c r="AHB98" s="181"/>
      <c r="AHC98" s="181"/>
      <c r="AHD98" s="181"/>
      <c r="AHE98" s="181"/>
      <c r="AHF98" s="181"/>
      <c r="AHG98" s="181"/>
      <c r="AHH98" s="181"/>
      <c r="AHI98" s="181"/>
      <c r="AHJ98" s="181"/>
      <c r="AHK98" s="181"/>
      <c r="AHL98" s="181"/>
      <c r="AHM98" s="181"/>
      <c r="AHN98" s="181"/>
      <c r="AHO98" s="181"/>
      <c r="AHP98" s="181"/>
      <c r="AHQ98" s="181"/>
      <c r="AHR98" s="181"/>
      <c r="AHS98" s="181"/>
      <c r="AHT98" s="181"/>
      <c r="AHU98" s="181"/>
      <c r="AHV98" s="181"/>
      <c r="AHW98" s="181"/>
      <c r="AHX98" s="181"/>
      <c r="AHY98" s="181"/>
      <c r="AHZ98" s="181"/>
      <c r="AIA98" s="181"/>
      <c r="AIB98" s="181"/>
      <c r="AIC98" s="181"/>
      <c r="AID98" s="181"/>
      <c r="AIE98" s="181"/>
      <c r="AIF98" s="181"/>
      <c r="AIG98" s="181"/>
      <c r="AIH98" s="181"/>
      <c r="AII98" s="181"/>
      <c r="AIJ98" s="181"/>
      <c r="AIK98" s="181"/>
      <c r="AIL98" s="181"/>
    </row>
    <row r="99" spans="1:922" x14ac:dyDescent="0.35">
      <c r="D99" s="168" t="str">
        <f t="shared" ref="D99:D103" si="19">+D91</f>
        <v>Total utilities</v>
      </c>
      <c r="F99" s="186">
        <f t="shared" ref="F99:F103" si="20">+F91/F$95</f>
        <v>0.16449133528263157</v>
      </c>
      <c r="H99" s="186">
        <f t="shared" ref="H99" si="21">+H91/H$95</f>
        <v>0.19888418063014016</v>
      </c>
      <c r="J99" s="186">
        <f t="shared" ref="J99" si="22">+J91/J$95</f>
        <v>0.23690629896210511</v>
      </c>
      <c r="L99" s="186">
        <f t="shared" ref="L99" si="23">+L91/L$95</f>
        <v>0.22975353867641865</v>
      </c>
      <c r="N99" s="186">
        <f t="shared" ref="N99" si="24">+N91/N$95</f>
        <v>0.24092741249702976</v>
      </c>
    </row>
    <row r="100" spans="1:922" x14ac:dyDescent="0.35">
      <c r="D100" s="168" t="str">
        <f t="shared" si="19"/>
        <v>Total labor and others</v>
      </c>
      <c r="F100" s="186">
        <f t="shared" si="20"/>
        <v>0.44747184250429839</v>
      </c>
      <c r="H100" s="186">
        <f t="shared" ref="H100" si="25">+H92/H$95</f>
        <v>0.49725223846587713</v>
      </c>
      <c r="J100" s="186">
        <f t="shared" ref="J100" si="26">+J92/J$95</f>
        <v>0.40113833529059351</v>
      </c>
      <c r="L100" s="186">
        <f t="shared" ref="L100" si="27">+L92/L$95</f>
        <v>0.39534888479035285</v>
      </c>
      <c r="N100" s="186">
        <f t="shared" ref="N100" si="28">+N92/N$95</f>
        <v>0.40687293922227369</v>
      </c>
    </row>
    <row r="101" spans="1:922" x14ac:dyDescent="0.35">
      <c r="D101" s="168" t="str">
        <f t="shared" si="19"/>
        <v>Total fix capital per annun</v>
      </c>
      <c r="F101" s="186">
        <f t="shared" si="20"/>
        <v>0.21713673360773866</v>
      </c>
      <c r="H101" s="186">
        <f t="shared" ref="H101" si="29">+H93/H$95</f>
        <v>0.26253699791590168</v>
      </c>
      <c r="J101" s="186">
        <f t="shared" ref="J101" si="30">+J93/J$95</f>
        <v>0.31272808284608478</v>
      </c>
      <c r="L101" s="186">
        <f t="shared" ref="L101" si="31">+L93/L$95</f>
        <v>0.30328608395876039</v>
      </c>
      <c r="N101" s="186">
        <f t="shared" ref="N101" si="32">+N93/N$95</f>
        <v>0.27710538984006378</v>
      </c>
    </row>
    <row r="102" spans="1:922" x14ac:dyDescent="0.35">
      <c r="D102" s="168" t="str">
        <f t="shared" si="19"/>
        <v>Total direct production costs</v>
      </c>
      <c r="F102" s="186">
        <f t="shared" si="20"/>
        <v>0.78286326639226134</v>
      </c>
      <c r="H102" s="186">
        <f t="shared" ref="H102" si="33">+H94/H$95</f>
        <v>0.73746300208409843</v>
      </c>
      <c r="J102" s="186">
        <f t="shared" ref="J102" si="34">+J94/J$95</f>
        <v>0.68727191715391522</v>
      </c>
      <c r="L102" s="186">
        <f t="shared" ref="L102" si="35">+L94/L$95</f>
        <v>0.69671391604123967</v>
      </c>
      <c r="N102" s="186">
        <f t="shared" ref="N102" si="36">+N94/N$95</f>
        <v>0.72289461015993606</v>
      </c>
    </row>
    <row r="103" spans="1:922" x14ac:dyDescent="0.35">
      <c r="D103" s="168" t="str">
        <f t="shared" si="19"/>
        <v>Total production costs</v>
      </c>
      <c r="F103" s="186">
        <f t="shared" si="20"/>
        <v>1</v>
      </c>
      <c r="H103" s="186">
        <f t="shared" ref="H103" si="37">+H95/H$95</f>
        <v>1</v>
      </c>
      <c r="J103" s="186">
        <f t="shared" ref="J103" si="38">+J95/J$95</f>
        <v>1</v>
      </c>
      <c r="L103" s="186">
        <f t="shared" ref="L103" si="39">+L95/L$95</f>
        <v>1</v>
      </c>
      <c r="N103" s="186">
        <f t="shared" ref="N103" si="40">+N95/N$95</f>
        <v>1</v>
      </c>
    </row>
    <row r="104" spans="1:922" x14ac:dyDescent="0.35">
      <c r="D104" s="168"/>
      <c r="F104" s="186"/>
      <c r="H104" s="186"/>
      <c r="J104" s="186"/>
      <c r="L104" s="186"/>
      <c r="N104" s="186"/>
    </row>
    <row r="105" spans="1:922" x14ac:dyDescent="0.35">
      <c r="F105" s="145" t="s">
        <v>178</v>
      </c>
      <c r="H105" s="145" t="s">
        <v>178</v>
      </c>
      <c r="J105" s="145" t="s">
        <v>178</v>
      </c>
      <c r="L105" s="145" t="s">
        <v>178</v>
      </c>
      <c r="N105" s="145" t="s">
        <v>178</v>
      </c>
    </row>
    <row r="106" spans="1:922" x14ac:dyDescent="0.35">
      <c r="D106" s="168" t="s">
        <v>56</v>
      </c>
      <c r="E106" s="145" t="s">
        <v>87</v>
      </c>
      <c r="F106" s="187">
        <f>+F93/(F$15*F$10*1000)</f>
        <v>0.63527390588188593</v>
      </c>
      <c r="G106" s="145" t="s">
        <v>87</v>
      </c>
      <c r="H106" s="187">
        <f>+H93/(H$15*H$10*1000)</f>
        <v>0.63527390588188593</v>
      </c>
      <c r="I106" s="145" t="s">
        <v>87</v>
      </c>
      <c r="J106" s="187">
        <f>+J93/(J$15*J$10*1000)</f>
        <v>0.63527390588188593</v>
      </c>
      <c r="K106" s="145" t="s">
        <v>87</v>
      </c>
      <c r="L106" s="187">
        <f>+L93/(L$15*L$10*1000)</f>
        <v>0.42351593725459064</v>
      </c>
      <c r="M106" s="145" t="s">
        <v>87</v>
      </c>
      <c r="N106" s="187">
        <f>+N93/(N$15*N$10*1000)</f>
        <v>0.36901008891263676</v>
      </c>
    </row>
    <row r="107" spans="1:922" x14ac:dyDescent="0.35">
      <c r="D107" s="168" t="s">
        <v>152</v>
      </c>
      <c r="E107" s="145" t="str">
        <f>+E106</f>
        <v>€/kg</v>
      </c>
      <c r="F107" s="187">
        <f>+F73/(F$15*F$10*1000)</f>
        <v>0.3</v>
      </c>
      <c r="G107" s="145" t="str">
        <f>+G106</f>
        <v>€/kg</v>
      </c>
      <c r="H107" s="187">
        <f>+H73/(H$15*H$10*1000)</f>
        <v>0</v>
      </c>
      <c r="I107" s="145" t="str">
        <f>+I106</f>
        <v>€/kg</v>
      </c>
      <c r="J107" s="187">
        <f>+J73/(J$15*J$10*1000)</f>
        <v>0</v>
      </c>
      <c r="K107" s="145" t="str">
        <f>+K106</f>
        <v>€/kg</v>
      </c>
      <c r="L107" s="187">
        <f>+L73/(L$15*L$10*1000)</f>
        <v>0</v>
      </c>
      <c r="M107" s="145" t="str">
        <f>+M106</f>
        <v>€/kg</v>
      </c>
      <c r="N107" s="187">
        <f>+N73/(N$15*N$10*1000)</f>
        <v>0</v>
      </c>
    </row>
    <row r="108" spans="1:922" x14ac:dyDescent="0.35">
      <c r="D108" s="168" t="s">
        <v>174</v>
      </c>
      <c r="E108" s="145" t="str">
        <f t="shared" ref="E108:I111" si="41">+E107</f>
        <v>€/kg</v>
      </c>
      <c r="F108" s="187">
        <f>+F75/(F$15*F$10*1000)</f>
        <v>0.2</v>
      </c>
      <c r="G108" s="145" t="str">
        <f t="shared" ref="G108" si="42">+G107</f>
        <v>€/kg</v>
      </c>
      <c r="H108" s="187">
        <f>+H75/(H$15*H$10*1000)</f>
        <v>0.1</v>
      </c>
      <c r="I108" s="145" t="str">
        <f t="shared" si="41"/>
        <v>€/kg</v>
      </c>
      <c r="J108" s="187">
        <f>+J75/(J$15*J$10*1000)</f>
        <v>0.1</v>
      </c>
      <c r="K108" s="145" t="str">
        <f t="shared" ref="K108:M108" si="43">+K107</f>
        <v>€/kg</v>
      </c>
      <c r="L108" s="187">
        <f>+L75/(L$15*L$10*1000)</f>
        <v>0.1</v>
      </c>
      <c r="M108" s="145" t="str">
        <f t="shared" si="43"/>
        <v>€/kg</v>
      </c>
      <c r="N108" s="187">
        <f>+N75/(N$15*N$10*1000)</f>
        <v>0.1</v>
      </c>
    </row>
    <row r="109" spans="1:922" x14ac:dyDescent="0.35">
      <c r="D109" s="168" t="s">
        <v>67</v>
      </c>
      <c r="E109" s="145" t="str">
        <f t="shared" si="41"/>
        <v>€/kg</v>
      </c>
      <c r="F109" s="187">
        <f>+F81/(F$15*F$10*1000)</f>
        <v>0.41095890410958902</v>
      </c>
      <c r="G109" s="145" t="str">
        <f t="shared" ref="G109" si="44">+G108</f>
        <v>€/kg</v>
      </c>
      <c r="H109" s="187">
        <f>+H81/(H$15*H$10*1000)</f>
        <v>0.41095890410958902</v>
      </c>
      <c r="I109" s="145" t="str">
        <f t="shared" si="41"/>
        <v>€/kg</v>
      </c>
      <c r="J109" s="187">
        <f>+J81/(J$15*J$10*1000)</f>
        <v>0.20547945205479451</v>
      </c>
      <c r="K109" s="145" t="str">
        <f t="shared" ref="K109:M109" si="45">+K108</f>
        <v>€/kg</v>
      </c>
      <c r="L109" s="187">
        <f>+L81/(L$15*L$10*1000)</f>
        <v>0.13698630136986301</v>
      </c>
      <c r="M109" s="145" t="str">
        <f t="shared" si="45"/>
        <v>€/kg</v>
      </c>
      <c r="N109" s="187">
        <f>+N81/(N$15*N$10*1000)</f>
        <v>0.13698630136986301</v>
      </c>
    </row>
    <row r="110" spans="1:922" x14ac:dyDescent="0.35">
      <c r="D110" s="168" t="s">
        <v>175</v>
      </c>
      <c r="E110" s="145" t="str">
        <f t="shared" si="41"/>
        <v>€/kg</v>
      </c>
      <c r="F110" s="187">
        <f>+(F78+F79)/(F$15*F$10*1000)</f>
        <v>0.48125000000000001</v>
      </c>
      <c r="G110" s="145" t="str">
        <f t="shared" ref="G110" si="46">+G109</f>
        <v>€/kg</v>
      </c>
      <c r="H110" s="187">
        <f>+(H78+H79)/(H$15*H$10*1000)</f>
        <v>0.48125000000000001</v>
      </c>
      <c r="I110" s="145" t="str">
        <f t="shared" si="41"/>
        <v>€/kg</v>
      </c>
      <c r="J110" s="187">
        <f>+(J78+J79)/(J$15*J$10*1000)</f>
        <v>0.48125000000000001</v>
      </c>
      <c r="K110" s="145" t="str">
        <f t="shared" ref="K110:M110" si="47">+K109</f>
        <v>€/kg</v>
      </c>
      <c r="L110" s="187">
        <f>+(L78+L79)/(L$15*L$10*1000)</f>
        <v>0.32083333333333336</v>
      </c>
      <c r="M110" s="145" t="str">
        <f t="shared" si="47"/>
        <v>€/kg</v>
      </c>
      <c r="N110" s="187">
        <f>+(N78+N79)/(N$15*N$10*1000)</f>
        <v>0.32083333333333336</v>
      </c>
    </row>
    <row r="111" spans="1:922" x14ac:dyDescent="0.35">
      <c r="D111" s="168" t="s">
        <v>176</v>
      </c>
      <c r="E111" s="145" t="str">
        <f t="shared" si="41"/>
        <v>€/kg</v>
      </c>
      <c r="F111" s="187">
        <f>+F86/(F$15*F$10*1000)</f>
        <v>0.30802128265344503</v>
      </c>
      <c r="G111" s="145" t="str">
        <f t="shared" ref="G111" si="48">+G110</f>
        <v>€/kg</v>
      </c>
      <c r="H111" s="187">
        <f>+H86/(H$15*H$10*1000)</f>
        <v>0.30802128265344503</v>
      </c>
      <c r="I111" s="145" t="str">
        <f t="shared" si="41"/>
        <v>€/kg</v>
      </c>
      <c r="J111" s="187">
        <f>+J86/(J$15*J$10*1000)</f>
        <v>0.19500758402330801</v>
      </c>
      <c r="K111" s="145" t="str">
        <f t="shared" ref="K111:M111" si="49">+K110</f>
        <v>€/kg</v>
      </c>
      <c r="L111" s="187">
        <f>+L86/(L$15*L$10*1000)</f>
        <v>0.13000505601553866</v>
      </c>
      <c r="M111" s="145" t="str">
        <f t="shared" si="49"/>
        <v>€/kg</v>
      </c>
      <c r="N111" s="187">
        <f>+N86/(N$15*N$10*1000)</f>
        <v>0.12684864858812336</v>
      </c>
    </row>
    <row r="112" spans="1:922" x14ac:dyDescent="0.35">
      <c r="D112" s="168" t="s">
        <v>177</v>
      </c>
      <c r="E112" s="145" t="str">
        <f>+E111</f>
        <v>€/kg</v>
      </c>
      <c r="F112" s="187">
        <f>+F96-SUM(F106:F111)</f>
        <v>0.59018192706614103</v>
      </c>
      <c r="G112" s="145" t="str">
        <f>+G111</f>
        <v>€/kg</v>
      </c>
      <c r="H112" s="187">
        <f>+H96-SUM(H106:H111)</f>
        <v>0.48424592706614189</v>
      </c>
      <c r="I112" s="145" t="str">
        <f>+I111</f>
        <v>€/kg</v>
      </c>
      <c r="J112" s="187">
        <f>+J96-SUM(J106:J111)</f>
        <v>0.41438291336751143</v>
      </c>
      <c r="K112" s="145" t="str">
        <f>+K111</f>
        <v>€/kg</v>
      </c>
      <c r="L112" s="187">
        <f>+L96-SUM(L106:L111)</f>
        <v>0.28508327557834101</v>
      </c>
      <c r="M112" s="145" t="str">
        <f>+M111</f>
        <v>€/kg</v>
      </c>
      <c r="N112" s="187">
        <f>+N96-SUM(N106:N111)</f>
        <v>0.27798135886665665</v>
      </c>
    </row>
  </sheetData>
  <mergeCells count="5">
    <mergeCell ref="M1:N1"/>
    <mergeCell ref="E1:F1"/>
    <mergeCell ref="I1:J1"/>
    <mergeCell ref="K1:L1"/>
    <mergeCell ref="G1:H1"/>
  </mergeCells>
  <pageMargins left="0.70866141732283472" right="0.70866141732283472" top="0.74803149606299213" bottom="0.74803149606299213" header="0.31496062992125984" footer="0.31496062992125984"/>
  <pageSetup paperSize="9" scale="4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X98"/>
  <sheetViews>
    <sheetView zoomScaleNormal="100" workbookViewId="0">
      <selection activeCell="E28" sqref="E28"/>
    </sheetView>
  </sheetViews>
  <sheetFormatPr baseColWidth="10" defaultColWidth="11.453125" defaultRowHeight="12.5" x14ac:dyDescent="0.25"/>
  <cols>
    <col min="1" max="1" width="35.453125" style="6" customWidth="1"/>
    <col min="2" max="2" width="19.1796875" style="6" bestFit="1" customWidth="1"/>
    <col min="3" max="3" width="16.54296875" style="6" bestFit="1" customWidth="1"/>
    <col min="4" max="4" width="23.26953125" style="6" bestFit="1" customWidth="1"/>
    <col min="5" max="5" width="29.26953125" style="6" bestFit="1" customWidth="1"/>
    <col min="6" max="6" width="18.453125" style="6" bestFit="1" customWidth="1"/>
    <col min="7" max="7" width="12.81640625" style="6" customWidth="1"/>
    <col min="8" max="8" width="11.54296875" style="6" bestFit="1" customWidth="1"/>
    <col min="9" max="9" width="16.1796875" style="6" bestFit="1" customWidth="1"/>
    <col min="10" max="10" width="13.1796875" style="6" bestFit="1" customWidth="1"/>
    <col min="11" max="11" width="7.1796875" style="6" customWidth="1"/>
    <col min="12" max="12" width="8.7265625" style="6" customWidth="1"/>
    <col min="13" max="13" width="60.453125" style="6" bestFit="1" customWidth="1"/>
    <col min="14" max="14" width="15.1796875" style="6" bestFit="1" customWidth="1"/>
    <col min="15" max="15" width="17.26953125" style="6" customWidth="1"/>
    <col min="16" max="16" width="16.453125" style="6" customWidth="1"/>
    <col min="17" max="17" width="12.54296875" style="6" customWidth="1"/>
    <col min="18" max="18" width="21.1796875" style="6" bestFit="1" customWidth="1"/>
    <col min="19" max="19" width="10.81640625" style="6" bestFit="1" customWidth="1"/>
    <col min="20" max="20" width="6.54296875" style="6" bestFit="1" customWidth="1"/>
    <col min="21" max="21" width="4" style="6" customWidth="1"/>
    <col min="22" max="22" width="20.26953125" style="6" bestFit="1" customWidth="1"/>
    <col min="23" max="23" width="11" style="6" bestFit="1" customWidth="1"/>
    <col min="24" max="24" width="10" style="6" bestFit="1" customWidth="1"/>
    <col min="25" max="16384" width="11.453125" style="6"/>
  </cols>
  <sheetData>
    <row r="1" spans="1:50" ht="13" thickBot="1" x14ac:dyDescent="0.3"/>
    <row r="2" spans="1:50" ht="13.5" thickBot="1" x14ac:dyDescent="0.35">
      <c r="L2" s="112"/>
      <c r="M2" s="55" t="s">
        <v>79</v>
      </c>
      <c r="N2" s="51"/>
      <c r="O2" s="54"/>
    </row>
    <row r="3" spans="1:50" x14ac:dyDescent="0.25">
      <c r="L3" s="112">
        <v>1</v>
      </c>
      <c r="M3" s="113" t="s">
        <v>81</v>
      </c>
      <c r="N3" s="129">
        <f>+N13*N14*N8/100</f>
        <v>73</v>
      </c>
      <c r="O3" s="130" t="s">
        <v>82</v>
      </c>
    </row>
    <row r="4" spans="1:50" ht="13" thickBot="1" x14ac:dyDescent="0.3">
      <c r="L4" s="33">
        <v>2</v>
      </c>
      <c r="M4" s="22" t="s">
        <v>3</v>
      </c>
      <c r="N4" s="29">
        <f>+N14/(N5*1000)</f>
        <v>0.1</v>
      </c>
      <c r="O4" s="30" t="s">
        <v>85</v>
      </c>
      <c r="AI4" s="7"/>
      <c r="AJ4" s="7"/>
      <c r="AK4" s="7"/>
      <c r="AL4" s="7"/>
      <c r="AM4" s="7"/>
      <c r="AN4" s="7"/>
      <c r="AO4" s="7"/>
    </row>
    <row r="5" spans="1:50" ht="13.5" thickBot="1" x14ac:dyDescent="0.35">
      <c r="A5" s="121" t="str">
        <f>+Model!D3</f>
        <v>Technical parameters</v>
      </c>
      <c r="B5" s="122"/>
      <c r="C5" s="123"/>
      <c r="E5" s="58" t="s">
        <v>80</v>
      </c>
      <c r="F5" s="9"/>
      <c r="G5" s="10"/>
      <c r="L5" s="13">
        <v>3</v>
      </c>
      <c r="M5" s="14" t="s">
        <v>22</v>
      </c>
      <c r="N5" s="12">
        <f>+C13</f>
        <v>0.2</v>
      </c>
      <c r="O5" s="15" t="s">
        <v>88</v>
      </c>
      <c r="AI5" s="11"/>
      <c r="AJ5" s="11"/>
      <c r="AK5" s="11"/>
      <c r="AL5" s="11"/>
      <c r="AM5" s="11"/>
      <c r="AN5" s="11"/>
      <c r="AO5" s="11"/>
    </row>
    <row r="6" spans="1:50" ht="13" x14ac:dyDescent="0.3">
      <c r="A6" s="124" t="str">
        <f>+Model!D4</f>
        <v>Biomass productivity</v>
      </c>
      <c r="B6" s="125" t="str">
        <f>+Model!E4</f>
        <v>g/m2/day</v>
      </c>
      <c r="C6" s="147">
        <f>+Model!F4</f>
        <v>20</v>
      </c>
      <c r="D6" s="140"/>
      <c r="E6" s="148" t="s">
        <v>83</v>
      </c>
      <c r="F6" s="149">
        <f>+C26</f>
        <v>20</v>
      </c>
      <c r="G6" s="130" t="s">
        <v>91</v>
      </c>
      <c r="L6" s="13">
        <v>4</v>
      </c>
      <c r="M6" s="14" t="s">
        <v>89</v>
      </c>
      <c r="N6" s="20">
        <v>0.01</v>
      </c>
      <c r="O6" s="15" t="s">
        <v>90</v>
      </c>
      <c r="P6" s="12"/>
    </row>
    <row r="7" spans="1:50" ht="13" x14ac:dyDescent="0.3">
      <c r="A7" s="124" t="str">
        <f>+Model!D5</f>
        <v>CO2 usage</v>
      </c>
      <c r="B7" s="125" t="str">
        <f>+Model!E5</f>
        <v>kg/kg algae biomass</v>
      </c>
      <c r="C7" s="147">
        <f>+Model!F5</f>
        <v>2</v>
      </c>
      <c r="D7" s="140"/>
      <c r="E7" s="28" t="s">
        <v>96</v>
      </c>
      <c r="F7" s="201">
        <f>+C20</f>
        <v>0</v>
      </c>
      <c r="G7" s="141" t="s">
        <v>91</v>
      </c>
      <c r="L7" s="13">
        <v>5</v>
      </c>
      <c r="M7" s="14" t="s">
        <v>21</v>
      </c>
      <c r="N7" s="20">
        <f>+C9</f>
        <v>20</v>
      </c>
      <c r="O7" s="15" t="s">
        <v>92</v>
      </c>
      <c r="P7" s="12"/>
      <c r="AI7" s="16"/>
      <c r="AJ7" s="16"/>
      <c r="AK7" s="16"/>
      <c r="AL7" s="16"/>
      <c r="AM7" s="16"/>
      <c r="AN7" s="16"/>
      <c r="AO7" s="16"/>
    </row>
    <row r="8" spans="1:50" ht="13" x14ac:dyDescent="0.3">
      <c r="A8" s="124" t="str">
        <f>+Model!D6</f>
        <v>Water evaporation</v>
      </c>
      <c r="B8" s="125" t="str">
        <f>+Model!E6</f>
        <v>L/m2/day</v>
      </c>
      <c r="C8" s="147">
        <f>+Model!F6</f>
        <v>6</v>
      </c>
      <c r="D8" s="140"/>
      <c r="E8" s="28" t="s">
        <v>86</v>
      </c>
      <c r="F8" s="29">
        <f>+C21</f>
        <v>0.1</v>
      </c>
      <c r="G8" s="30" t="s">
        <v>87</v>
      </c>
      <c r="L8" s="13">
        <v>6</v>
      </c>
      <c r="M8" s="14" t="s">
        <v>93</v>
      </c>
      <c r="N8" s="24">
        <f>+C11</f>
        <v>365</v>
      </c>
      <c r="O8" s="15" t="s">
        <v>94</v>
      </c>
      <c r="P8" s="12"/>
      <c r="AI8" s="16"/>
      <c r="AJ8" s="16"/>
      <c r="AK8" s="16"/>
      <c r="AL8" s="16"/>
      <c r="AM8" s="16"/>
      <c r="AN8" s="16"/>
      <c r="AO8" s="16"/>
    </row>
    <row r="9" spans="1:50" ht="13" x14ac:dyDescent="0.3">
      <c r="A9" s="124" t="str">
        <f>+Model!D7</f>
        <v>Mixing power consumption</v>
      </c>
      <c r="B9" s="125" t="str">
        <f>+Model!E7</f>
        <v>W/m3</v>
      </c>
      <c r="C9" s="147">
        <f>+Model!F7</f>
        <v>20</v>
      </c>
      <c r="D9" s="140"/>
      <c r="E9" s="28" t="s">
        <v>150</v>
      </c>
      <c r="F9" s="29">
        <f>+C22</f>
        <v>1</v>
      </c>
      <c r="G9" s="30" t="s">
        <v>87</v>
      </c>
      <c r="L9" s="28">
        <v>7</v>
      </c>
      <c r="M9" s="22" t="s">
        <v>93</v>
      </c>
      <c r="N9" s="29">
        <v>10</v>
      </c>
      <c r="O9" s="30" t="s">
        <v>95</v>
      </c>
      <c r="P9" s="20"/>
      <c r="AI9" s="16"/>
      <c r="AJ9" s="16"/>
      <c r="AK9" s="16"/>
      <c r="AL9" s="16"/>
      <c r="AM9" s="16"/>
      <c r="AN9" s="16"/>
      <c r="AO9" s="16"/>
    </row>
    <row r="10" spans="1:50" ht="13" x14ac:dyDescent="0.3">
      <c r="A10" s="124" t="str">
        <f>+Model!D8</f>
        <v xml:space="preserve">Labour </v>
      </c>
      <c r="B10" s="125" t="str">
        <f>+Model!E8</f>
        <v>people/ha</v>
      </c>
      <c r="C10" s="147">
        <f>+Model!F8</f>
        <v>1</v>
      </c>
      <c r="E10" s="33" t="s">
        <v>152</v>
      </c>
      <c r="F10" s="6">
        <v>0.3</v>
      </c>
      <c r="G10" s="141" t="s">
        <v>141</v>
      </c>
      <c r="I10" s="21"/>
      <c r="J10" s="21"/>
      <c r="K10" s="21"/>
      <c r="L10" s="13">
        <v>8</v>
      </c>
      <c r="M10" s="14" t="s">
        <v>23</v>
      </c>
      <c r="N10" s="12">
        <f>+C15</f>
        <v>0.25</v>
      </c>
      <c r="O10" s="15" t="s">
        <v>24</v>
      </c>
      <c r="P10" s="20"/>
      <c r="AI10" s="16"/>
      <c r="AJ10" s="16"/>
      <c r="AK10" s="16"/>
      <c r="AL10" s="16"/>
      <c r="AM10" s="16"/>
      <c r="AN10" s="16"/>
      <c r="AO10" s="16"/>
    </row>
    <row r="11" spans="1:50" ht="13" x14ac:dyDescent="0.3">
      <c r="A11" s="124" t="str">
        <f>+Model!D9</f>
        <v>Production days</v>
      </c>
      <c r="B11" s="125" t="str">
        <f>+Model!E9</f>
        <v>Days</v>
      </c>
      <c r="C11" s="147">
        <f>+Model!F9</f>
        <v>365</v>
      </c>
      <c r="E11" s="28" t="s">
        <v>97</v>
      </c>
      <c r="F11" s="29">
        <f>+C24</f>
        <v>0.1</v>
      </c>
      <c r="G11" s="141" t="s">
        <v>149</v>
      </c>
      <c r="I11" s="21"/>
      <c r="J11" s="21"/>
      <c r="K11" s="21"/>
      <c r="L11" s="28">
        <v>9</v>
      </c>
      <c r="M11" s="22" t="s">
        <v>98</v>
      </c>
      <c r="N11" s="29">
        <f>+N4/N10</f>
        <v>0.4</v>
      </c>
      <c r="O11" s="30" t="s">
        <v>99</v>
      </c>
      <c r="P11" s="24"/>
    </row>
    <row r="12" spans="1:50" ht="13.5" thickBot="1" x14ac:dyDescent="0.35">
      <c r="A12" s="124" t="str">
        <f>+Model!D10</f>
        <v>Land area</v>
      </c>
      <c r="B12" s="125" t="str">
        <f>+Model!E10</f>
        <v>ha</v>
      </c>
      <c r="C12" s="147">
        <f>+Model!F10</f>
        <v>1</v>
      </c>
      <c r="E12" s="86" t="s">
        <v>155</v>
      </c>
      <c r="F12" s="150">
        <f>+C25</f>
        <v>0.1</v>
      </c>
      <c r="G12" s="151" t="s">
        <v>154</v>
      </c>
      <c r="I12" s="81"/>
      <c r="J12" s="25"/>
      <c r="K12" s="25"/>
      <c r="L12" s="33">
        <v>10</v>
      </c>
      <c r="M12" s="22" t="s">
        <v>25</v>
      </c>
      <c r="N12" s="34">
        <f>+N3*1000/(N4*C11)</f>
        <v>2000</v>
      </c>
      <c r="O12" s="30" t="s">
        <v>37</v>
      </c>
      <c r="P12" s="24"/>
      <c r="S12" s="26"/>
    </row>
    <row r="13" spans="1:50" ht="13" x14ac:dyDescent="0.3">
      <c r="A13" s="124" t="str">
        <f>+Model!D11</f>
        <v>Ratio V/S</v>
      </c>
      <c r="B13" s="125" t="str">
        <f>+Model!E11</f>
        <v>m3/m2</v>
      </c>
      <c r="C13" s="147">
        <f>+Model!F11</f>
        <v>0.2</v>
      </c>
      <c r="I13" s="81"/>
      <c r="J13" s="21"/>
      <c r="K13" s="21"/>
      <c r="L13" s="13">
        <v>11</v>
      </c>
      <c r="M13" s="14" t="s">
        <v>100</v>
      </c>
      <c r="N13" s="24">
        <f>+C12</f>
        <v>1</v>
      </c>
      <c r="O13" s="15" t="s">
        <v>101</v>
      </c>
      <c r="P13" s="12"/>
      <c r="Q13" s="22"/>
      <c r="R13" s="27"/>
      <c r="AI13" s="11"/>
      <c r="AJ13" s="11"/>
      <c r="AK13" s="11"/>
      <c r="AL13" s="11"/>
      <c r="AM13" s="11"/>
      <c r="AN13" s="11"/>
      <c r="AO13" s="11"/>
      <c r="AR13" s="11"/>
      <c r="AS13" s="11"/>
      <c r="AT13" s="11"/>
      <c r="AU13" s="11"/>
      <c r="AV13" s="11"/>
      <c r="AW13" s="11"/>
      <c r="AX13" s="11"/>
    </row>
    <row r="14" spans="1:50" ht="13.5" thickBot="1" x14ac:dyDescent="0.35">
      <c r="A14" s="124" t="str">
        <f>+Model!D12</f>
        <v>CO2 fixation efficiency</v>
      </c>
      <c r="B14" s="125"/>
      <c r="C14" s="147">
        <f>+Model!F12</f>
        <v>0.9</v>
      </c>
      <c r="L14" s="13">
        <v>12</v>
      </c>
      <c r="M14" s="14" t="s">
        <v>3</v>
      </c>
      <c r="N14" s="24">
        <f>+C6</f>
        <v>20</v>
      </c>
      <c r="O14" s="15" t="s">
        <v>103</v>
      </c>
      <c r="P14" s="29"/>
      <c r="Q14" s="22"/>
      <c r="V14" s="22"/>
      <c r="W14" s="31"/>
      <c r="X14" s="23"/>
      <c r="AI14" s="11"/>
      <c r="AJ14" s="11"/>
      <c r="AK14" s="11"/>
      <c r="AL14" s="11"/>
      <c r="AM14" s="11"/>
      <c r="AN14" s="11"/>
      <c r="AO14" s="11"/>
      <c r="AR14" s="11"/>
      <c r="AS14" s="11"/>
      <c r="AT14" s="11"/>
      <c r="AU14" s="11"/>
      <c r="AV14" s="11"/>
      <c r="AW14" s="11"/>
      <c r="AX14" s="11"/>
    </row>
    <row r="15" spans="1:50" ht="13.5" thickBot="1" x14ac:dyDescent="0.35">
      <c r="A15" s="124" t="str">
        <f>+Model!D13</f>
        <v>Dilution rate</v>
      </c>
      <c r="B15" s="125" t="str">
        <f>+Model!E13</f>
        <v>1/day</v>
      </c>
      <c r="C15" s="147">
        <f>+Model!F13</f>
        <v>0.25</v>
      </c>
      <c r="I15" s="32"/>
      <c r="J15" s="32"/>
      <c r="K15" s="32"/>
      <c r="L15" s="282">
        <v>13</v>
      </c>
      <c r="M15" s="283" t="s">
        <v>273</v>
      </c>
      <c r="N15" s="284">
        <v>30000</v>
      </c>
      <c r="O15" s="285" t="s">
        <v>274</v>
      </c>
      <c r="P15" s="34"/>
      <c r="Q15" s="22"/>
      <c r="U15" s="26"/>
      <c r="X15" s="23"/>
      <c r="AI15" s="11"/>
      <c r="AJ15" s="11"/>
      <c r="AK15" s="11"/>
      <c r="AL15" s="11"/>
      <c r="AM15" s="11"/>
      <c r="AN15" s="11"/>
      <c r="AO15" s="11"/>
      <c r="AR15" s="11"/>
      <c r="AS15" s="11"/>
      <c r="AT15" s="11"/>
      <c r="AU15" s="11"/>
      <c r="AV15" s="11"/>
      <c r="AW15" s="11"/>
      <c r="AX15" s="11"/>
    </row>
    <row r="16" spans="1:50" ht="13.5" thickBot="1" x14ac:dyDescent="0.35">
      <c r="A16" s="124" t="str">
        <f>+Model!D14</f>
        <v>Total culture volume</v>
      </c>
      <c r="B16" s="125" t="str">
        <f>+Model!E14</f>
        <v>m3</v>
      </c>
      <c r="C16" s="147">
        <f>+Model!F14</f>
        <v>2000</v>
      </c>
      <c r="L16" s="17">
        <v>14</v>
      </c>
      <c r="M16" s="18" t="s">
        <v>275</v>
      </c>
      <c r="N16" s="131">
        <f>+C10*C12</f>
        <v>1</v>
      </c>
      <c r="O16" s="19" t="s">
        <v>276</v>
      </c>
      <c r="P16" s="29"/>
      <c r="Q16" s="22"/>
      <c r="U16" s="35"/>
      <c r="V16" s="36" t="s">
        <v>102</v>
      </c>
      <c r="W16" s="36"/>
      <c r="X16" s="37"/>
      <c r="AI16" s="11"/>
      <c r="AJ16" s="11"/>
      <c r="AK16" s="11"/>
      <c r="AL16" s="11"/>
      <c r="AM16" s="11"/>
      <c r="AN16" s="11"/>
      <c r="AO16" s="11"/>
      <c r="AR16" s="11"/>
      <c r="AS16" s="11"/>
      <c r="AT16" s="11"/>
      <c r="AU16" s="11"/>
      <c r="AV16" s="11"/>
      <c r="AW16" s="11"/>
      <c r="AX16" s="11"/>
    </row>
    <row r="17" spans="1:24" ht="13.5" thickBot="1" x14ac:dyDescent="0.35">
      <c r="A17" s="124" t="str">
        <f>+Model!D15</f>
        <v>Total biomass production</v>
      </c>
      <c r="B17" s="125" t="str">
        <f>+Model!E15</f>
        <v>ton/ha/year</v>
      </c>
      <c r="C17" s="147">
        <f>+Model!F15</f>
        <v>73</v>
      </c>
      <c r="P17" s="34"/>
      <c r="Q17" s="38"/>
      <c r="R17" s="38"/>
      <c r="U17" s="39"/>
      <c r="V17" s="40" t="s">
        <v>104</v>
      </c>
      <c r="W17" s="41">
        <f>+O95</f>
        <v>2.9256860197110615</v>
      </c>
      <c r="X17" s="42"/>
    </row>
    <row r="18" spans="1:24" ht="13.5" thickBot="1" x14ac:dyDescent="0.35">
      <c r="A18" s="124" t="str">
        <f>+Model!D16</f>
        <v>Total CO2 consumption</v>
      </c>
      <c r="B18" s="125" t="str">
        <f>+Model!E16</f>
        <v>ton/ha/year</v>
      </c>
      <c r="C18" s="147">
        <f>+Model!F16</f>
        <v>146</v>
      </c>
      <c r="I18" s="22"/>
      <c r="J18" s="22"/>
      <c r="K18" s="22"/>
      <c r="M18" s="47"/>
      <c r="N18" s="47"/>
      <c r="O18" s="47"/>
      <c r="Q18" s="38"/>
      <c r="R18" s="38"/>
      <c r="U18" s="43"/>
      <c r="V18" s="44" t="s">
        <v>105</v>
      </c>
      <c r="W18" s="44" t="s">
        <v>84</v>
      </c>
      <c r="X18" s="45"/>
    </row>
    <row r="19" spans="1:24" ht="13.5" thickBot="1" x14ac:dyDescent="0.35">
      <c r="A19" s="124" t="str">
        <f>+Model!D17</f>
        <v>Total water evaporation</v>
      </c>
      <c r="B19" s="125" t="str">
        <f>+Model!E17</f>
        <v>ton/ha/year</v>
      </c>
      <c r="C19" s="147">
        <f>+Model!F17</f>
        <v>21900</v>
      </c>
      <c r="H19" s="22"/>
      <c r="I19" s="22"/>
      <c r="J19" s="22"/>
      <c r="K19" s="22"/>
      <c r="L19" s="29"/>
      <c r="M19" s="47"/>
      <c r="N19" s="47"/>
      <c r="O19" s="47"/>
      <c r="Q19" s="38"/>
      <c r="R19" s="38"/>
      <c r="U19" s="46"/>
      <c r="V19" s="47" t="s">
        <v>56</v>
      </c>
      <c r="W19" s="48">
        <f>+P88</f>
        <v>0.21713673360773866</v>
      </c>
      <c r="X19" s="49"/>
    </row>
    <row r="20" spans="1:24" ht="15" thickBot="1" x14ac:dyDescent="0.4">
      <c r="A20" s="124" t="str">
        <f>+Model!D18</f>
        <v>Water cost</v>
      </c>
      <c r="B20" s="125" t="str">
        <f>+Model!E18</f>
        <v>€/kg</v>
      </c>
      <c r="C20" s="147">
        <f>+Model!F18</f>
        <v>0</v>
      </c>
      <c r="E20" s="50" t="s">
        <v>106</v>
      </c>
      <c r="F20" s="51"/>
      <c r="G20" s="52">
        <v>0.85</v>
      </c>
      <c r="O20" s="53"/>
      <c r="Q20" s="198" t="s">
        <v>182</v>
      </c>
      <c r="U20" s="46"/>
      <c r="V20" s="47" t="s">
        <v>62</v>
      </c>
      <c r="W20" s="48">
        <f>+P89</f>
        <v>0.17090008860533148</v>
      </c>
      <c r="X20" s="49"/>
    </row>
    <row r="21" spans="1:24" ht="13.5" thickBot="1" x14ac:dyDescent="0.35">
      <c r="A21" s="124" t="str">
        <f>+Model!D19</f>
        <v>CO2 cost</v>
      </c>
      <c r="B21" s="125" t="str">
        <f>+Model!E19</f>
        <v>€/kg</v>
      </c>
      <c r="C21" s="147">
        <f>+Model!F19</f>
        <v>0.1</v>
      </c>
      <c r="E21" s="50" t="s">
        <v>107</v>
      </c>
      <c r="F21" s="51"/>
      <c r="G21" s="51"/>
      <c r="H21" s="51"/>
      <c r="I21" s="51"/>
      <c r="J21" s="54"/>
      <c r="L21" s="50" t="s">
        <v>107</v>
      </c>
      <c r="M21" s="51"/>
      <c r="N21" s="55"/>
      <c r="O21" s="55"/>
      <c r="P21" s="55"/>
      <c r="Q21" s="55"/>
      <c r="R21" s="56"/>
      <c r="S21" s="54"/>
      <c r="U21" s="46"/>
      <c r="V21" s="47" t="s">
        <v>64</v>
      </c>
      <c r="W21" s="48">
        <f>+P90</f>
        <v>0.16449133528263157</v>
      </c>
      <c r="X21" s="49"/>
    </row>
    <row r="22" spans="1:24" ht="13.5" thickBot="1" x14ac:dyDescent="0.35">
      <c r="A22" s="124" t="str">
        <f>+Model!D20</f>
        <v>Nutrients cost</v>
      </c>
      <c r="B22" s="125" t="str">
        <f>+Model!E20</f>
        <v>€/kg</v>
      </c>
      <c r="C22" s="147">
        <f>+Model!F20</f>
        <v>1</v>
      </c>
      <c r="E22" s="57" t="s">
        <v>108</v>
      </c>
      <c r="F22" s="9" t="s">
        <v>109</v>
      </c>
      <c r="G22" s="9"/>
      <c r="H22" s="9" t="s">
        <v>110</v>
      </c>
      <c r="I22" s="9" t="s">
        <v>111</v>
      </c>
      <c r="J22" s="10"/>
      <c r="L22" s="58" t="s">
        <v>112</v>
      </c>
      <c r="M22" s="8" t="s">
        <v>113</v>
      </c>
      <c r="N22" s="8" t="s">
        <v>111</v>
      </c>
      <c r="O22" s="8"/>
      <c r="P22" s="8" t="s">
        <v>114</v>
      </c>
      <c r="Q22" s="8" t="s">
        <v>115</v>
      </c>
      <c r="R22" s="59" t="s">
        <v>116</v>
      </c>
      <c r="S22" s="60" t="s">
        <v>117</v>
      </c>
      <c r="T22" s="61"/>
      <c r="U22" s="62"/>
      <c r="V22" s="63" t="s">
        <v>67</v>
      </c>
      <c r="W22" s="64">
        <f>+P91</f>
        <v>0.44747184250429839</v>
      </c>
      <c r="X22" s="65"/>
    </row>
    <row r="23" spans="1:24" ht="13" x14ac:dyDescent="0.3">
      <c r="A23" s="124" t="str">
        <f>+Model!D21</f>
        <v>Fertilizers usage</v>
      </c>
      <c r="B23" s="125" t="str">
        <f>+Model!E21</f>
        <v>kg/kg algae biomass</v>
      </c>
      <c r="C23" s="147">
        <f>+Model!F21</f>
        <v>0.3</v>
      </c>
      <c r="E23" s="66">
        <v>1</v>
      </c>
      <c r="F23" s="6">
        <v>100</v>
      </c>
      <c r="G23" s="6" t="str">
        <f>+O23</f>
        <v>m3/h</v>
      </c>
      <c r="H23" s="6">
        <v>10000</v>
      </c>
      <c r="I23" s="133">
        <f>+N12*N10/N9</f>
        <v>50</v>
      </c>
      <c r="J23" s="68" t="str">
        <f>+G23</f>
        <v>m3/h</v>
      </c>
      <c r="K23" s="27"/>
      <c r="L23" s="33">
        <v>1</v>
      </c>
      <c r="M23" s="6" t="s">
        <v>144</v>
      </c>
      <c r="N23" s="69">
        <f>+IF(I23/F23&lt;1,F23,IF(I23/F23&lt;10,I23,I23/(1+INT(I23/(F23*10)))))</f>
        <v>100</v>
      </c>
      <c r="O23" s="22" t="s">
        <v>36</v>
      </c>
      <c r="P23" s="70">
        <f t="shared" ref="P23:P32" si="0">H23*(N23/F23)^$G$20</f>
        <v>10000</v>
      </c>
      <c r="Q23" s="29">
        <f>+IF(E23=1,ROUNDUP(I23/N23,0),0)</f>
        <v>1</v>
      </c>
      <c r="R23" s="132">
        <f>Q23*P23</f>
        <v>10000</v>
      </c>
      <c r="S23" s="72">
        <f t="shared" ref="S23:S32" si="1">R23/R$33</f>
        <v>8.1919793832892204E-2</v>
      </c>
      <c r="X23" s="26"/>
    </row>
    <row r="24" spans="1:24" ht="13" x14ac:dyDescent="0.3">
      <c r="A24" s="124" t="str">
        <f>+Model!D22</f>
        <v>Power cost</v>
      </c>
      <c r="B24" s="125" t="str">
        <f>+Model!E22</f>
        <v>€/kWh</v>
      </c>
      <c r="C24" s="147">
        <f>+Model!F22</f>
        <v>0.1</v>
      </c>
      <c r="D24" s="199" t="s">
        <v>183</v>
      </c>
      <c r="E24" s="66">
        <v>0</v>
      </c>
      <c r="F24" s="6">
        <v>10</v>
      </c>
      <c r="G24" s="6" t="str">
        <f t="shared" ref="G24:G32" si="2">+O24</f>
        <v>m3/h</v>
      </c>
      <c r="H24" s="6">
        <v>20000</v>
      </c>
      <c r="I24" s="133">
        <f>+IF(E24&gt;0,N10*N12/N9,0)</f>
        <v>0</v>
      </c>
      <c r="J24" s="73" t="str">
        <f>+G24</f>
        <v>m3/h</v>
      </c>
      <c r="L24" s="33">
        <v>2</v>
      </c>
      <c r="M24" s="6" t="s">
        <v>145</v>
      </c>
      <c r="N24" s="69">
        <f t="shared" ref="N24:N32" si="3">+IF(I24/F24&lt;1,F24,IF(I24/F24&lt;10,I24,I24/(1+INT(I24/(F24*10)))))</f>
        <v>10</v>
      </c>
      <c r="O24" s="22" t="s">
        <v>36</v>
      </c>
      <c r="P24" s="70">
        <f t="shared" si="0"/>
        <v>20000</v>
      </c>
      <c r="Q24" s="29">
        <f t="shared" ref="Q24:Q32" si="4">+IF(E24=1,ROUNDUP(I24/N24,0),0)</f>
        <v>0</v>
      </c>
      <c r="R24" s="132">
        <f t="shared" ref="R24:R32" si="5">Q24*P24</f>
        <v>0</v>
      </c>
      <c r="S24" s="72">
        <f t="shared" si="1"/>
        <v>0</v>
      </c>
      <c r="U24" s="26"/>
      <c r="V24" s="26"/>
      <c r="W24" s="26"/>
    </row>
    <row r="25" spans="1:24" ht="13" x14ac:dyDescent="0.3">
      <c r="A25" s="124" t="str">
        <f>+Model!D23</f>
        <v>Power for harvesting and others</v>
      </c>
      <c r="B25" s="125" t="str">
        <f>+Model!E23</f>
        <v>kWh/m3 harvest</v>
      </c>
      <c r="C25" s="147">
        <f>+Model!F23</f>
        <v>0.1</v>
      </c>
      <c r="E25" s="66">
        <v>0</v>
      </c>
      <c r="F25" s="6">
        <v>200</v>
      </c>
      <c r="G25" s="6" t="str">
        <f t="shared" si="2"/>
        <v>m3/h</v>
      </c>
      <c r="H25" s="6">
        <v>2500</v>
      </c>
      <c r="I25" s="133">
        <f>+N6*N12*60</f>
        <v>1200</v>
      </c>
      <c r="J25" s="73" t="str">
        <f t="shared" ref="J25:J31" si="6">+G25</f>
        <v>m3/h</v>
      </c>
      <c r="L25" s="33">
        <v>3</v>
      </c>
      <c r="M25" s="6" t="s">
        <v>118</v>
      </c>
      <c r="N25" s="69">
        <f t="shared" si="3"/>
        <v>1200</v>
      </c>
      <c r="O25" s="22" t="s">
        <v>36</v>
      </c>
      <c r="P25" s="70">
        <f t="shared" si="0"/>
        <v>11464.855133854493</v>
      </c>
      <c r="Q25" s="29">
        <f t="shared" si="4"/>
        <v>0</v>
      </c>
      <c r="R25" s="132">
        <f t="shared" si="5"/>
        <v>0</v>
      </c>
      <c r="S25" s="72">
        <f t="shared" si="1"/>
        <v>0</v>
      </c>
      <c r="U25" s="26"/>
      <c r="V25" s="74"/>
      <c r="W25" s="74"/>
    </row>
    <row r="26" spans="1:24" x14ac:dyDescent="0.25">
      <c r="A26" s="124" t="str">
        <f>+Model!D24</f>
        <v>Photobioreactor cost</v>
      </c>
      <c r="B26" s="125" t="str">
        <f>+Model!E24</f>
        <v>€/m3</v>
      </c>
      <c r="C26" s="147">
        <f>+Model!F24</f>
        <v>20</v>
      </c>
      <c r="E26" s="66">
        <v>1</v>
      </c>
      <c r="F26" s="6">
        <f>1000*0.2</f>
        <v>200</v>
      </c>
      <c r="G26" s="6" t="str">
        <f t="shared" si="2"/>
        <v>m3</v>
      </c>
      <c r="H26" s="6">
        <f>+F26*F6</f>
        <v>4000</v>
      </c>
      <c r="I26" s="133">
        <f>+N12</f>
        <v>2000</v>
      </c>
      <c r="J26" s="73" t="str">
        <f t="shared" si="6"/>
        <v>m3</v>
      </c>
      <c r="L26" s="33">
        <v>4</v>
      </c>
      <c r="M26" s="22" t="s">
        <v>146</v>
      </c>
      <c r="N26" s="69">
        <f t="shared" si="3"/>
        <v>1000</v>
      </c>
      <c r="O26" s="22" t="s">
        <v>37</v>
      </c>
      <c r="P26" s="70">
        <f t="shared" si="0"/>
        <v>15710.300604635284</v>
      </c>
      <c r="Q26" s="29">
        <f t="shared" si="4"/>
        <v>2</v>
      </c>
      <c r="R26" s="132">
        <f t="shared" si="5"/>
        <v>31420.601209270568</v>
      </c>
      <c r="S26" s="72">
        <f t="shared" si="1"/>
        <v>0.25739691731689684</v>
      </c>
    </row>
    <row r="27" spans="1:24" ht="13" thickBot="1" x14ac:dyDescent="0.3">
      <c r="A27" s="126"/>
      <c r="B27" s="127"/>
      <c r="C27" s="128"/>
      <c r="E27" s="66">
        <v>1</v>
      </c>
      <c r="F27" s="6">
        <v>25</v>
      </c>
      <c r="G27" s="6" t="str">
        <f t="shared" si="2"/>
        <v>m3/h</v>
      </c>
      <c r="H27" s="6">
        <v>20000</v>
      </c>
      <c r="I27" s="133">
        <f>+N12*N10/N9</f>
        <v>50</v>
      </c>
      <c r="J27" s="73" t="str">
        <f t="shared" si="6"/>
        <v>m3/h</v>
      </c>
      <c r="L27" s="33">
        <v>5</v>
      </c>
      <c r="M27" s="22" t="s">
        <v>179</v>
      </c>
      <c r="N27" s="69">
        <f t="shared" si="3"/>
        <v>50</v>
      </c>
      <c r="O27" s="22" t="s">
        <v>36</v>
      </c>
      <c r="P27" s="70">
        <f t="shared" si="0"/>
        <v>36050.01850443321</v>
      </c>
      <c r="Q27" s="29">
        <f t="shared" si="4"/>
        <v>1</v>
      </c>
      <c r="R27" s="132">
        <f t="shared" si="5"/>
        <v>36050.01850443321</v>
      </c>
      <c r="S27" s="72">
        <f t="shared" si="1"/>
        <v>0.29532100835551173</v>
      </c>
    </row>
    <row r="28" spans="1:24" ht="13" thickBot="1" x14ac:dyDescent="0.3">
      <c r="A28" s="135" t="str">
        <f>+Model!D26</f>
        <v>Equipment Capacity</v>
      </c>
      <c r="B28" s="136"/>
      <c r="C28" s="137"/>
      <c r="E28" s="66">
        <v>1</v>
      </c>
      <c r="F28" s="6">
        <v>5</v>
      </c>
      <c r="G28" s="6" t="str">
        <f t="shared" si="2"/>
        <v>m3</v>
      </c>
      <c r="H28" s="6">
        <v>600</v>
      </c>
      <c r="I28" s="133">
        <f>+IF(E27&gt;0,I27/20,I23)</f>
        <v>2.5</v>
      </c>
      <c r="J28" s="73" t="str">
        <f t="shared" si="6"/>
        <v>m3</v>
      </c>
      <c r="L28" s="33">
        <v>6</v>
      </c>
      <c r="M28" s="6" t="s">
        <v>147</v>
      </c>
      <c r="N28" s="69">
        <f t="shared" si="3"/>
        <v>5</v>
      </c>
      <c r="O28" s="22" t="s">
        <v>37</v>
      </c>
      <c r="P28" s="70">
        <f t="shared" si="0"/>
        <v>600</v>
      </c>
      <c r="Q28" s="29">
        <f t="shared" si="4"/>
        <v>1</v>
      </c>
      <c r="R28" s="132">
        <f t="shared" si="5"/>
        <v>600</v>
      </c>
      <c r="S28" s="72">
        <f t="shared" si="1"/>
        <v>4.9151876299735322E-3</v>
      </c>
    </row>
    <row r="29" spans="1:24" ht="13" thickBot="1" x14ac:dyDescent="0.3">
      <c r="A29" s="135" t="str">
        <f>+Model!D27</f>
        <v xml:space="preserve">Medium preparation unit </v>
      </c>
      <c r="B29" s="136" t="str">
        <f>+Model!E27</f>
        <v>m3/h</v>
      </c>
      <c r="C29" s="138">
        <f>+I23</f>
        <v>50</v>
      </c>
      <c r="E29" s="66">
        <v>1</v>
      </c>
      <c r="F29" s="6">
        <v>20</v>
      </c>
      <c r="G29" s="6" t="str">
        <f t="shared" si="2"/>
        <v>m3/h</v>
      </c>
      <c r="H29" s="6">
        <v>40000</v>
      </c>
      <c r="I29" s="133">
        <f>+IF(E27=1,I27/20,I27)</f>
        <v>2.5</v>
      </c>
      <c r="J29" s="73" t="str">
        <f t="shared" si="6"/>
        <v>m3/h</v>
      </c>
      <c r="L29" s="33">
        <v>7</v>
      </c>
      <c r="M29" s="6" t="s">
        <v>180</v>
      </c>
      <c r="N29" s="69">
        <f t="shared" si="3"/>
        <v>20</v>
      </c>
      <c r="O29" s="22" t="s">
        <v>36</v>
      </c>
      <c r="P29" s="70">
        <f t="shared" si="0"/>
        <v>40000</v>
      </c>
      <c r="Q29" s="29">
        <f t="shared" si="4"/>
        <v>1</v>
      </c>
      <c r="R29" s="132">
        <f t="shared" si="5"/>
        <v>40000</v>
      </c>
      <c r="S29" s="72">
        <f t="shared" si="1"/>
        <v>0.32767917533156882</v>
      </c>
    </row>
    <row r="30" spans="1:24" ht="13" thickBot="1" x14ac:dyDescent="0.3">
      <c r="A30" s="135" t="str">
        <f>+Model!D28</f>
        <v xml:space="preserve">Sterilization process </v>
      </c>
      <c r="B30" s="136" t="str">
        <f>+Model!E28</f>
        <v>m3/h</v>
      </c>
      <c r="C30" s="138">
        <f>+I24</f>
        <v>0</v>
      </c>
      <c r="E30" s="66">
        <v>1</v>
      </c>
      <c r="F30" s="6">
        <v>10</v>
      </c>
      <c r="G30" s="6" t="str">
        <f t="shared" si="2"/>
        <v>m3/h</v>
      </c>
      <c r="H30" s="6">
        <v>1000</v>
      </c>
      <c r="I30" s="133">
        <f>+IF(E27=1,I27/20,I27)</f>
        <v>2.5</v>
      </c>
      <c r="J30" s="73" t="str">
        <f t="shared" si="6"/>
        <v>m3/h</v>
      </c>
      <c r="L30" s="33">
        <v>8</v>
      </c>
      <c r="M30" s="6" t="s">
        <v>148</v>
      </c>
      <c r="N30" s="69">
        <f t="shared" si="3"/>
        <v>10</v>
      </c>
      <c r="O30" s="69" t="str">
        <f>+O23</f>
        <v>m3/h</v>
      </c>
      <c r="P30" s="70">
        <f t="shared" si="0"/>
        <v>1000</v>
      </c>
      <c r="Q30" s="29">
        <f t="shared" si="4"/>
        <v>1</v>
      </c>
      <c r="R30" s="132">
        <f t="shared" si="5"/>
        <v>1000</v>
      </c>
      <c r="S30" s="72">
        <f t="shared" si="1"/>
        <v>8.1919793832892201E-3</v>
      </c>
    </row>
    <row r="31" spans="1:24" ht="13" thickBot="1" x14ac:dyDescent="0.3">
      <c r="A31" s="135" t="str">
        <f>+Model!D29</f>
        <v xml:space="preserve">Air blower </v>
      </c>
      <c r="B31" s="136" t="str">
        <f>+Model!E29</f>
        <v>m3/h</v>
      </c>
      <c r="C31" s="138">
        <f>+I25</f>
        <v>1200</v>
      </c>
      <c r="E31" s="66">
        <v>1</v>
      </c>
      <c r="F31" s="6">
        <v>100</v>
      </c>
      <c r="G31" s="6" t="str">
        <f t="shared" si="2"/>
        <v>Kg/h</v>
      </c>
      <c r="H31" s="6">
        <v>3000</v>
      </c>
      <c r="I31" s="133">
        <f>+N4*N12*C7/N9</f>
        <v>40</v>
      </c>
      <c r="J31" s="73" t="str">
        <f t="shared" si="6"/>
        <v>Kg/h</v>
      </c>
      <c r="L31" s="33">
        <v>9</v>
      </c>
      <c r="M31" s="6" t="s">
        <v>119</v>
      </c>
      <c r="N31" s="69">
        <f t="shared" si="3"/>
        <v>100</v>
      </c>
      <c r="O31" s="22" t="s">
        <v>38</v>
      </c>
      <c r="P31" s="70">
        <f t="shared" si="0"/>
        <v>3000</v>
      </c>
      <c r="Q31" s="29">
        <f t="shared" si="4"/>
        <v>1</v>
      </c>
      <c r="R31" s="132">
        <f t="shared" si="5"/>
        <v>3000</v>
      </c>
      <c r="S31" s="72">
        <f t="shared" si="1"/>
        <v>2.4575938149867659E-2</v>
      </c>
    </row>
    <row r="32" spans="1:24" ht="13" thickBot="1" x14ac:dyDescent="0.3">
      <c r="A32" s="135" t="str">
        <f>+Model!D30</f>
        <v xml:space="preserve">Photobioreactors </v>
      </c>
      <c r="B32" s="136" t="str">
        <f>+Model!E30</f>
        <v>m3</v>
      </c>
      <c r="C32" s="138">
        <f>+I26</f>
        <v>2000</v>
      </c>
      <c r="E32" s="75">
        <v>0</v>
      </c>
      <c r="F32" s="76">
        <v>80</v>
      </c>
      <c r="G32" s="76" t="str">
        <f t="shared" si="2"/>
        <v>Kg/day</v>
      </c>
      <c r="H32" s="76">
        <v>120000</v>
      </c>
      <c r="I32" s="134">
        <f>+N4*N12*4</f>
        <v>800</v>
      </c>
      <c r="J32" s="77" t="str">
        <f>+G32</f>
        <v>Kg/day</v>
      </c>
      <c r="L32" s="33">
        <v>10</v>
      </c>
      <c r="M32" s="6" t="s">
        <v>191</v>
      </c>
      <c r="N32" s="69">
        <f t="shared" si="3"/>
        <v>400</v>
      </c>
      <c r="O32" s="22" t="s">
        <v>120</v>
      </c>
      <c r="P32" s="70">
        <f t="shared" si="0"/>
        <v>471309.01813905855</v>
      </c>
      <c r="Q32" s="29">
        <f t="shared" si="4"/>
        <v>0</v>
      </c>
      <c r="R32" s="132">
        <f t="shared" si="5"/>
        <v>0</v>
      </c>
      <c r="S32" s="72">
        <f t="shared" si="1"/>
        <v>0</v>
      </c>
    </row>
    <row r="33" spans="1:20" ht="13.5" thickBot="1" x14ac:dyDescent="0.35">
      <c r="A33" s="135" t="str">
        <f>+Model!D31</f>
        <v xml:space="preserve">Sedimenter </v>
      </c>
      <c r="B33" s="136" t="str">
        <f>+Model!E31</f>
        <v>m3/h</v>
      </c>
      <c r="C33" s="138">
        <f t="shared" ref="C33:C37" si="7">+I27</f>
        <v>50</v>
      </c>
      <c r="L33" s="58"/>
      <c r="M33" s="8" t="s">
        <v>121</v>
      </c>
      <c r="N33" s="8"/>
      <c r="O33" s="8"/>
      <c r="P33" s="59"/>
      <c r="Q33" s="8"/>
      <c r="R33" s="78">
        <f>SUM(R23:R32)</f>
        <v>122070.61971370378</v>
      </c>
      <c r="S33" s="79">
        <f>R33/R$33</f>
        <v>1</v>
      </c>
      <c r="T33" s="80"/>
    </row>
    <row r="34" spans="1:20" ht="13" thickBot="1" x14ac:dyDescent="0.3">
      <c r="A34" s="135" t="str">
        <f>+Model!D32</f>
        <v xml:space="preserve">Harvest storage tank </v>
      </c>
      <c r="B34" s="136" t="str">
        <f>+Model!E32</f>
        <v>m3</v>
      </c>
      <c r="C34" s="138">
        <f t="shared" si="7"/>
        <v>2.5</v>
      </c>
    </row>
    <row r="35" spans="1:20" ht="13.5" thickBot="1" x14ac:dyDescent="0.35">
      <c r="A35" s="135" t="str">
        <f>+Model!D33</f>
        <v>Decanter</v>
      </c>
      <c r="B35" s="136" t="str">
        <f>+Model!E33</f>
        <v>m3/h</v>
      </c>
      <c r="C35" s="138">
        <f t="shared" si="7"/>
        <v>2.5</v>
      </c>
      <c r="N35" s="69"/>
      <c r="O35" s="22"/>
      <c r="P35" s="25"/>
      <c r="Q35" s="22"/>
      <c r="R35" s="81"/>
      <c r="S35" s="82"/>
      <c r="T35" s="82"/>
    </row>
    <row r="36" spans="1:20" ht="13.5" thickBot="1" x14ac:dyDescent="0.35">
      <c r="A36" s="135" t="str">
        <f>+Model!D34</f>
        <v>Harvest pump</v>
      </c>
      <c r="B36" s="136" t="str">
        <f>+Model!E34</f>
        <v>m3/h</v>
      </c>
      <c r="C36" s="138">
        <f t="shared" si="7"/>
        <v>2.5</v>
      </c>
      <c r="G36" s="35" t="s">
        <v>122</v>
      </c>
      <c r="H36" s="51"/>
      <c r="I36" s="51"/>
      <c r="J36" s="54"/>
      <c r="L36" s="58" t="s">
        <v>123</v>
      </c>
      <c r="M36" s="9"/>
      <c r="N36" s="9"/>
      <c r="O36" s="9"/>
      <c r="P36" s="9"/>
      <c r="Q36" s="10"/>
    </row>
    <row r="37" spans="1:20" ht="13.5" thickBot="1" x14ac:dyDescent="0.35">
      <c r="A37" s="135" t="str">
        <f>+Model!D35</f>
        <v>CO2 supply unit</v>
      </c>
      <c r="B37" s="136" t="str">
        <f>+Model!E35</f>
        <v>Kg/h</v>
      </c>
      <c r="C37" s="138">
        <f t="shared" si="7"/>
        <v>40</v>
      </c>
      <c r="G37" s="43" t="s">
        <v>124</v>
      </c>
      <c r="H37" s="44" t="s">
        <v>125</v>
      </c>
      <c r="I37" s="44" t="s">
        <v>126</v>
      </c>
      <c r="J37" s="45" t="s">
        <v>127</v>
      </c>
      <c r="L37" s="58" t="s">
        <v>112</v>
      </c>
      <c r="M37" s="8" t="s">
        <v>113</v>
      </c>
      <c r="N37" s="8" t="s">
        <v>128</v>
      </c>
      <c r="O37" s="8"/>
      <c r="P37" s="83" t="s">
        <v>129</v>
      </c>
      <c r="Q37" s="60" t="s">
        <v>117</v>
      </c>
    </row>
    <row r="38" spans="1:20" ht="13" thickBot="1" x14ac:dyDescent="0.3">
      <c r="A38" s="135"/>
      <c r="B38" s="136"/>
      <c r="C38" s="137"/>
      <c r="G38" s="33"/>
      <c r="J38" s="68">
        <v>1</v>
      </c>
      <c r="L38" s="33">
        <v>1</v>
      </c>
      <c r="M38" s="6" t="s">
        <v>42</v>
      </c>
      <c r="N38" s="27">
        <v>1</v>
      </c>
      <c r="P38" s="71">
        <f>R33*N38</f>
        <v>122070.61971370378</v>
      </c>
      <c r="Q38" s="84">
        <f>P38/P$51</f>
        <v>0.30546803047960019</v>
      </c>
    </row>
    <row r="39" spans="1:20" ht="13" thickBot="1" x14ac:dyDescent="0.3">
      <c r="A39" s="135" t="str">
        <f>+Model!D37</f>
        <v>Equipment Costs</v>
      </c>
      <c r="B39" s="136"/>
      <c r="C39" s="137"/>
      <c r="G39" s="33">
        <v>0.5</v>
      </c>
      <c r="H39" s="6">
        <v>0.2</v>
      </c>
      <c r="I39" s="6">
        <v>1.5</v>
      </c>
      <c r="J39" s="85">
        <f>0.4/2</f>
        <v>0.2</v>
      </c>
      <c r="L39" s="33">
        <v>2</v>
      </c>
      <c r="M39" s="6" t="s">
        <v>43</v>
      </c>
      <c r="N39" s="29">
        <f t="shared" ref="N39:N45" si="8">+H39</f>
        <v>0.2</v>
      </c>
      <c r="P39" s="67">
        <f t="shared" ref="P39:P47" si="9">P$38*N39</f>
        <v>24414.123942740756</v>
      </c>
      <c r="Q39" s="72">
        <f t="shared" ref="Q39:Q51" si="10">P39/P$51</f>
        <v>6.1093606095920037E-2</v>
      </c>
    </row>
    <row r="40" spans="1:20" ht="13" thickBot="1" x14ac:dyDescent="0.3">
      <c r="A40" s="135" t="str">
        <f>+Model!D38</f>
        <v xml:space="preserve">Medium preparation unit </v>
      </c>
      <c r="B40" s="136" t="str">
        <f>+Model!E38</f>
        <v>€</v>
      </c>
      <c r="C40" s="138">
        <f>+R23</f>
        <v>10000</v>
      </c>
      <c r="G40" s="33">
        <v>0.35</v>
      </c>
      <c r="H40" s="6">
        <v>0.2</v>
      </c>
      <c r="I40" s="6">
        <v>0.6</v>
      </c>
      <c r="J40" s="68">
        <v>0.15</v>
      </c>
      <c r="L40" s="33">
        <v>3</v>
      </c>
      <c r="M40" s="6" t="s">
        <v>44</v>
      </c>
      <c r="N40" s="29">
        <f t="shared" si="8"/>
        <v>0.2</v>
      </c>
      <c r="P40" s="67">
        <f t="shared" si="9"/>
        <v>24414.123942740756</v>
      </c>
      <c r="Q40" s="72">
        <f t="shared" si="10"/>
        <v>6.1093606095920037E-2</v>
      </c>
    </row>
    <row r="41" spans="1:20" ht="13" thickBot="1" x14ac:dyDescent="0.3">
      <c r="A41" s="135" t="str">
        <f>+Model!D39</f>
        <v xml:space="preserve">Sterilization process </v>
      </c>
      <c r="B41" s="136" t="str">
        <f>+Model!E39</f>
        <v>€</v>
      </c>
      <c r="C41" s="138">
        <f t="shared" ref="C41:C48" si="11">+R24</f>
        <v>0</v>
      </c>
      <c r="G41" s="33">
        <v>0.4</v>
      </c>
      <c r="H41" s="6">
        <v>0.3</v>
      </c>
      <c r="I41" s="6">
        <v>0.6</v>
      </c>
      <c r="J41" s="85">
        <f>0.4/2</f>
        <v>0.2</v>
      </c>
      <c r="L41" s="33">
        <v>4</v>
      </c>
      <c r="M41" s="6" t="s">
        <v>45</v>
      </c>
      <c r="N41" s="29">
        <f t="shared" si="8"/>
        <v>0.3</v>
      </c>
      <c r="P41" s="67">
        <f t="shared" si="9"/>
        <v>36621.185914111134</v>
      </c>
      <c r="Q41" s="72">
        <f t="shared" si="10"/>
        <v>9.1640409143880053E-2</v>
      </c>
    </row>
    <row r="42" spans="1:20" ht="13" thickBot="1" x14ac:dyDescent="0.3">
      <c r="A42" s="135" t="str">
        <f>+Model!D40</f>
        <v xml:space="preserve">Air blower </v>
      </c>
      <c r="B42" s="136" t="str">
        <f>+Model!E40</f>
        <v>€</v>
      </c>
      <c r="C42" s="138">
        <f t="shared" si="11"/>
        <v>0</v>
      </c>
      <c r="G42" s="33">
        <v>0.15</v>
      </c>
      <c r="H42" s="6">
        <v>0.1</v>
      </c>
      <c r="I42" s="6">
        <v>0.2</v>
      </c>
      <c r="J42" s="68">
        <v>0.1</v>
      </c>
      <c r="L42" s="33">
        <v>5</v>
      </c>
      <c r="M42" s="6" t="s">
        <v>46</v>
      </c>
      <c r="N42" s="29">
        <f t="shared" si="8"/>
        <v>0.1</v>
      </c>
      <c r="P42" s="67">
        <f t="shared" si="9"/>
        <v>12207.061971370378</v>
      </c>
      <c r="Q42" s="72">
        <f t="shared" si="10"/>
        <v>3.0546803047960019E-2</v>
      </c>
    </row>
    <row r="43" spans="1:20" ht="13" thickBot="1" x14ac:dyDescent="0.3">
      <c r="A43" s="135" t="str">
        <f>+Model!D41</f>
        <v xml:space="preserve">Photobioreactors </v>
      </c>
      <c r="B43" s="136" t="str">
        <f>+Model!E41</f>
        <v>€</v>
      </c>
      <c r="C43" s="138">
        <f t="shared" si="11"/>
        <v>31420.601209270568</v>
      </c>
      <c r="G43" s="33">
        <v>0.45</v>
      </c>
      <c r="H43" s="6">
        <v>0.1</v>
      </c>
      <c r="I43" s="6">
        <v>2</v>
      </c>
      <c r="J43" s="85">
        <f>0.45/2</f>
        <v>0.22500000000000001</v>
      </c>
      <c r="L43" s="33">
        <v>6</v>
      </c>
      <c r="M43" s="6" t="s">
        <v>47</v>
      </c>
      <c r="N43" s="29">
        <f t="shared" si="8"/>
        <v>0.1</v>
      </c>
      <c r="P43" s="67">
        <f t="shared" si="9"/>
        <v>12207.061971370378</v>
      </c>
      <c r="Q43" s="72">
        <f t="shared" si="10"/>
        <v>3.0546803047960019E-2</v>
      </c>
    </row>
    <row r="44" spans="1:20" ht="13" thickBot="1" x14ac:dyDescent="0.3">
      <c r="A44" s="135" t="str">
        <f>+Model!D42</f>
        <v xml:space="preserve">Sedimenter </v>
      </c>
      <c r="B44" s="136" t="str">
        <f>+Model!E42</f>
        <v>€</v>
      </c>
      <c r="C44" s="138">
        <f t="shared" si="11"/>
        <v>36050.01850443321</v>
      </c>
      <c r="G44" s="33">
        <v>0.15</v>
      </c>
      <c r="H44" s="6">
        <v>0.05</v>
      </c>
      <c r="I44" s="6">
        <v>0.2</v>
      </c>
      <c r="J44" s="68">
        <v>0.12</v>
      </c>
      <c r="L44" s="33">
        <v>7</v>
      </c>
      <c r="M44" s="6" t="s">
        <v>48</v>
      </c>
      <c r="N44" s="29">
        <f t="shared" si="8"/>
        <v>0.05</v>
      </c>
      <c r="P44" s="67">
        <f t="shared" si="9"/>
        <v>6103.5309856851891</v>
      </c>
      <c r="Q44" s="72">
        <f t="shared" si="10"/>
        <v>1.5273401523980009E-2</v>
      </c>
    </row>
    <row r="45" spans="1:20" ht="13" thickBot="1" x14ac:dyDescent="0.3">
      <c r="A45" s="135" t="str">
        <f>+Model!D43</f>
        <v xml:space="preserve">Harvest storage tank </v>
      </c>
      <c r="B45" s="136" t="str">
        <f>+Model!E43</f>
        <v>€</v>
      </c>
      <c r="C45" s="138">
        <f t="shared" si="11"/>
        <v>600</v>
      </c>
      <c r="G45" s="33">
        <v>0.5</v>
      </c>
      <c r="H45" s="6">
        <v>0.2</v>
      </c>
      <c r="I45" s="6">
        <v>1</v>
      </c>
      <c r="J45" s="68">
        <v>0.2</v>
      </c>
      <c r="L45" s="33">
        <v>8</v>
      </c>
      <c r="M45" s="6" t="s">
        <v>49</v>
      </c>
      <c r="N45" s="29">
        <f t="shared" si="8"/>
        <v>0.2</v>
      </c>
      <c r="P45" s="67">
        <f t="shared" si="9"/>
        <v>24414.123942740756</v>
      </c>
      <c r="Q45" s="72">
        <f t="shared" si="10"/>
        <v>6.1093606095920037E-2</v>
      </c>
    </row>
    <row r="46" spans="1:20" ht="13" thickBot="1" x14ac:dyDescent="0.3">
      <c r="A46" s="135" t="str">
        <f>+Model!D44</f>
        <v>Decanter</v>
      </c>
      <c r="B46" s="136" t="str">
        <f>+Model!E44</f>
        <v>€</v>
      </c>
      <c r="C46" s="138">
        <f t="shared" si="11"/>
        <v>40000</v>
      </c>
      <c r="G46" s="33"/>
      <c r="J46" s="68">
        <v>0.06</v>
      </c>
      <c r="L46" s="33">
        <v>9</v>
      </c>
      <c r="M46" s="6" t="s">
        <v>50</v>
      </c>
      <c r="N46" s="29"/>
      <c r="P46" s="67">
        <f t="shared" si="9"/>
        <v>0</v>
      </c>
      <c r="Q46" s="72">
        <f t="shared" si="10"/>
        <v>0</v>
      </c>
    </row>
    <row r="47" spans="1:20" ht="13" thickBot="1" x14ac:dyDescent="0.3">
      <c r="A47" s="135" t="str">
        <f>+Model!D45</f>
        <v>Harvest pump</v>
      </c>
      <c r="B47" s="136" t="str">
        <f>+Model!E45</f>
        <v>€</v>
      </c>
      <c r="C47" s="138">
        <f t="shared" si="11"/>
        <v>1000</v>
      </c>
      <c r="G47" s="33">
        <v>0.25</v>
      </c>
      <c r="H47" s="6">
        <v>0.2</v>
      </c>
      <c r="I47" s="6">
        <v>0.3</v>
      </c>
      <c r="J47" s="68">
        <v>0.3</v>
      </c>
      <c r="L47" s="33">
        <v>10</v>
      </c>
      <c r="M47" s="6" t="s">
        <v>51</v>
      </c>
      <c r="N47" s="29">
        <f>+H47</f>
        <v>0.2</v>
      </c>
      <c r="P47" s="67">
        <f t="shared" si="9"/>
        <v>24414.123942740756</v>
      </c>
      <c r="Q47" s="72">
        <f t="shared" si="10"/>
        <v>6.1093606095920037E-2</v>
      </c>
    </row>
    <row r="48" spans="1:20" ht="13" thickBot="1" x14ac:dyDescent="0.3">
      <c r="A48" s="135" t="str">
        <f>+Model!D46</f>
        <v>CO2 supply unit</v>
      </c>
      <c r="B48" s="136" t="str">
        <f>+Model!E46</f>
        <v>€</v>
      </c>
      <c r="C48" s="138">
        <f t="shared" si="11"/>
        <v>3000</v>
      </c>
      <c r="G48" s="33">
        <v>0.35</v>
      </c>
      <c r="H48" s="6">
        <v>0.3</v>
      </c>
      <c r="I48" s="6">
        <v>0.4</v>
      </c>
      <c r="J48" s="85">
        <f>0.1/2</f>
        <v>0.05</v>
      </c>
      <c r="L48" s="33">
        <v>11</v>
      </c>
      <c r="M48" s="6" t="s">
        <v>52</v>
      </c>
      <c r="N48" s="29">
        <f>+H48</f>
        <v>0.3</v>
      </c>
      <c r="P48" s="67">
        <f>N$48*SUM(P38:P46)</f>
        <v>78735.549715338915</v>
      </c>
      <c r="Q48" s="72">
        <f t="shared" si="10"/>
        <v>0.19702687965934207</v>
      </c>
    </row>
    <row r="49" spans="1:20" ht="13" thickBot="1" x14ac:dyDescent="0.3">
      <c r="A49" s="135"/>
      <c r="B49" s="136"/>
      <c r="C49" s="137"/>
      <c r="G49" s="33">
        <v>0.05</v>
      </c>
      <c r="H49" s="6">
        <v>0.03</v>
      </c>
      <c r="I49" s="6">
        <v>0.08</v>
      </c>
      <c r="J49" s="85">
        <f>0.05/2</f>
        <v>2.5000000000000001E-2</v>
      </c>
      <c r="L49" s="33">
        <v>12</v>
      </c>
      <c r="M49" s="6" t="s">
        <v>53</v>
      </c>
      <c r="N49" s="29">
        <f>+H49</f>
        <v>0.03</v>
      </c>
      <c r="P49" s="67">
        <f>N$49*SUM(P38:P46)</f>
        <v>7873.5549715338911</v>
      </c>
      <c r="Q49" s="72">
        <f t="shared" si="10"/>
        <v>1.9702687965934204E-2</v>
      </c>
    </row>
    <row r="50" spans="1:20" ht="13" thickBot="1" x14ac:dyDescent="0.3">
      <c r="A50" s="135" t="str">
        <f>+Model!D48</f>
        <v>Fix Capital Costs</v>
      </c>
      <c r="B50" s="136"/>
      <c r="C50" s="137"/>
      <c r="G50" s="86">
        <v>0.1</v>
      </c>
      <c r="H50" s="76">
        <v>7.0000000000000007E-2</v>
      </c>
      <c r="I50" s="76">
        <v>0.15</v>
      </c>
      <c r="J50" s="87">
        <v>0.08</v>
      </c>
      <c r="L50" s="33">
        <v>13</v>
      </c>
      <c r="M50" s="6" t="s">
        <v>54</v>
      </c>
      <c r="N50" s="29">
        <f>+H50</f>
        <v>7.0000000000000007E-2</v>
      </c>
      <c r="P50" s="67">
        <f>N$50*SUM(P38:P49)</f>
        <v>26143.254270985362</v>
      </c>
      <c r="Q50" s="72">
        <f t="shared" si="10"/>
        <v>6.5420560747663559E-2</v>
      </c>
    </row>
    <row r="51" spans="1:20" ht="15" thickBot="1" x14ac:dyDescent="0.4">
      <c r="A51" s="135" t="str">
        <f>+Model!D49</f>
        <v>Major purchased equipment</v>
      </c>
      <c r="B51" s="136" t="str">
        <f>+Model!E49</f>
        <v>€</v>
      </c>
      <c r="C51" s="139">
        <f>+P38</f>
        <v>122070.61971370378</v>
      </c>
      <c r="G51" s="200" t="s">
        <v>184</v>
      </c>
      <c r="L51" s="88"/>
      <c r="M51" s="8" t="s">
        <v>130</v>
      </c>
      <c r="N51" s="89"/>
      <c r="O51" s="89"/>
      <c r="P51" s="78">
        <f>SUM(P38:P50)</f>
        <v>399618.31528506195</v>
      </c>
      <c r="Q51" s="90">
        <f t="shared" si="10"/>
        <v>1</v>
      </c>
    </row>
    <row r="52" spans="1:20" ht="13" thickBot="1" x14ac:dyDescent="0.3">
      <c r="A52" s="135" t="str">
        <f>+Model!D50</f>
        <v>Installation costs</v>
      </c>
      <c r="B52" s="136" t="str">
        <f>+Model!E50</f>
        <v>€</v>
      </c>
      <c r="C52" s="139">
        <f t="shared" ref="C52:C63" si="12">+P39</f>
        <v>24414.123942740756</v>
      </c>
      <c r="R52" s="11"/>
    </row>
    <row r="53" spans="1:20" ht="13.5" thickBot="1" x14ac:dyDescent="0.35">
      <c r="A53" s="135" t="str">
        <f>+Model!D51</f>
        <v>Instrumentation and control</v>
      </c>
      <c r="B53" s="136" t="str">
        <f>+Model!E51</f>
        <v>€</v>
      </c>
      <c r="C53" s="139">
        <f t="shared" si="12"/>
        <v>24414.123942740756</v>
      </c>
      <c r="L53" s="50" t="s">
        <v>131</v>
      </c>
      <c r="M53" s="55"/>
      <c r="N53" s="91"/>
      <c r="O53" s="91"/>
      <c r="P53" s="91"/>
      <c r="Q53" s="54"/>
      <c r="R53" s="92"/>
      <c r="S53" s="11"/>
      <c r="T53" s="11"/>
    </row>
    <row r="54" spans="1:20" ht="13.5" thickBot="1" x14ac:dyDescent="0.35">
      <c r="A54" s="135" t="str">
        <f>+Model!D52</f>
        <v>Piping</v>
      </c>
      <c r="B54" s="136" t="str">
        <f>+Model!E52</f>
        <v>€</v>
      </c>
      <c r="C54" s="139">
        <f t="shared" si="12"/>
        <v>36621.185914111134</v>
      </c>
      <c r="H54" s="26"/>
      <c r="I54" s="93"/>
      <c r="J54" s="61"/>
      <c r="L54" s="58" t="s">
        <v>112</v>
      </c>
      <c r="M54" s="94" t="s">
        <v>113</v>
      </c>
      <c r="N54" s="83"/>
      <c r="O54" s="8"/>
      <c r="P54" s="8" t="s">
        <v>129</v>
      </c>
      <c r="Q54" s="95" t="s">
        <v>117</v>
      </c>
      <c r="S54" s="11"/>
      <c r="T54" s="11"/>
    </row>
    <row r="55" spans="1:20" ht="13" thickBot="1" x14ac:dyDescent="0.3">
      <c r="A55" s="135" t="str">
        <f>+Model!D53</f>
        <v>Electrical</v>
      </c>
      <c r="B55" s="136" t="str">
        <f>+Model!E53</f>
        <v>€</v>
      </c>
      <c r="C55" s="139">
        <f t="shared" si="12"/>
        <v>12207.061971370378</v>
      </c>
      <c r="L55" s="33"/>
      <c r="M55" s="6" t="s">
        <v>55</v>
      </c>
      <c r="N55" s="6">
        <v>10</v>
      </c>
      <c r="Q55" s="96"/>
      <c r="S55" s="11"/>
      <c r="T55" s="11"/>
    </row>
    <row r="56" spans="1:20" ht="13" thickBot="1" x14ac:dyDescent="0.3">
      <c r="A56" s="135" t="str">
        <f>+Model!D54</f>
        <v>Buildings</v>
      </c>
      <c r="B56" s="136" t="str">
        <f>+Model!E54</f>
        <v>€</v>
      </c>
      <c r="C56" s="139">
        <f t="shared" si="12"/>
        <v>12207.061971370378</v>
      </c>
      <c r="L56" s="33"/>
      <c r="M56" s="6" t="s">
        <v>56</v>
      </c>
      <c r="P56" s="97">
        <f>+(P51-P44)/N55</f>
        <v>39351.478429937677</v>
      </c>
      <c r="Q56" s="96">
        <f t="shared" ref="Q56:Q60" si="13">+P56/P$60</f>
        <v>0.84854948922699214</v>
      </c>
      <c r="S56" s="11"/>
      <c r="T56" s="11"/>
    </row>
    <row r="57" spans="1:20" ht="13" thickBot="1" x14ac:dyDescent="0.3">
      <c r="A57" s="135" t="str">
        <f>+Model!D55</f>
        <v>Yard improvements</v>
      </c>
      <c r="B57" s="136" t="str">
        <f>+Model!E55</f>
        <v>€</v>
      </c>
      <c r="C57" s="139">
        <f t="shared" si="12"/>
        <v>6103.5309856851891</v>
      </c>
      <c r="L57" s="33"/>
      <c r="M57" s="6" t="s">
        <v>57</v>
      </c>
      <c r="N57" s="98">
        <v>0.01</v>
      </c>
      <c r="P57" s="97">
        <f>0.01*P56</f>
        <v>393.5147842993768</v>
      </c>
      <c r="Q57" s="96">
        <f t="shared" si="13"/>
        <v>8.4854948922699226E-3</v>
      </c>
      <c r="S57" s="11"/>
      <c r="T57" s="11"/>
    </row>
    <row r="58" spans="1:20" ht="13" thickBot="1" x14ac:dyDescent="0.3">
      <c r="A58" s="135" t="str">
        <f>+Model!D56</f>
        <v>Service facilities</v>
      </c>
      <c r="B58" s="136" t="str">
        <f>+Model!E56</f>
        <v>€</v>
      </c>
      <c r="C58" s="139">
        <f t="shared" si="12"/>
        <v>24414.123942740756</v>
      </c>
      <c r="L58" s="33"/>
      <c r="M58" s="6" t="s">
        <v>58</v>
      </c>
      <c r="N58" s="98">
        <v>6.0000000000000001E-3</v>
      </c>
      <c r="P58" s="97">
        <f>0.006*P56</f>
        <v>236.10887057962606</v>
      </c>
      <c r="Q58" s="96">
        <f t="shared" si="13"/>
        <v>5.0912969353619532E-3</v>
      </c>
      <c r="S58" s="11"/>
      <c r="T58" s="11"/>
    </row>
    <row r="59" spans="1:20" ht="15" thickBot="1" x14ac:dyDescent="0.4">
      <c r="A59" s="135" t="str">
        <f>+Model!D57</f>
        <v>Land</v>
      </c>
      <c r="B59" s="136" t="str">
        <f>+Model!E57</f>
        <v>€</v>
      </c>
      <c r="C59" s="139">
        <f t="shared" si="12"/>
        <v>0</v>
      </c>
      <c r="L59" s="33"/>
      <c r="M59" s="6" t="s">
        <v>59</v>
      </c>
      <c r="N59" s="98">
        <v>0.16</v>
      </c>
      <c r="P59" s="209">
        <f>0.16*(P51/N55)</f>
        <v>6393.8930445609922</v>
      </c>
      <c r="Q59" s="96">
        <f t="shared" si="13"/>
        <v>0.13787371894537587</v>
      </c>
      <c r="R59" s="210" t="s">
        <v>192</v>
      </c>
      <c r="S59" s="11"/>
      <c r="T59" s="11"/>
    </row>
    <row r="60" spans="1:20" ht="13.5" thickBot="1" x14ac:dyDescent="0.35">
      <c r="A60" s="135" t="str">
        <f>+Model!D58</f>
        <v>Engineering and supervision</v>
      </c>
      <c r="B60" s="136" t="str">
        <f>+Model!E58</f>
        <v>€</v>
      </c>
      <c r="C60" s="139">
        <f t="shared" si="12"/>
        <v>24414.123942740756</v>
      </c>
      <c r="L60" s="58"/>
      <c r="M60" s="8" t="s">
        <v>132</v>
      </c>
      <c r="N60" s="8"/>
      <c r="O60" s="8"/>
      <c r="P60" s="99">
        <f>SUM(P55:P59)</f>
        <v>46374.995129377676</v>
      </c>
      <c r="Q60" s="100">
        <f t="shared" si="13"/>
        <v>1</v>
      </c>
    </row>
    <row r="61" spans="1:20" ht="13" thickBot="1" x14ac:dyDescent="0.3">
      <c r="A61" s="135" t="str">
        <f>+Model!D59</f>
        <v>Construction expenses</v>
      </c>
      <c r="B61" s="136" t="str">
        <f>+Model!E59</f>
        <v>€</v>
      </c>
      <c r="C61" s="139">
        <f t="shared" si="12"/>
        <v>78735.549715338915</v>
      </c>
      <c r="Q61" s="16"/>
      <c r="S61" s="11"/>
      <c r="T61" s="11"/>
    </row>
    <row r="62" spans="1:20" ht="13.5" thickBot="1" x14ac:dyDescent="0.35">
      <c r="A62" s="135" t="str">
        <f>+Model!D60</f>
        <v>Contractor's fee</v>
      </c>
      <c r="B62" s="136" t="str">
        <f>+Model!E60</f>
        <v>€</v>
      </c>
      <c r="C62" s="139">
        <f t="shared" si="12"/>
        <v>7873.5549715338911</v>
      </c>
      <c r="L62" s="50" t="s">
        <v>133</v>
      </c>
      <c r="M62" s="55"/>
      <c r="N62" s="51"/>
      <c r="O62" s="51"/>
      <c r="P62" s="51"/>
      <c r="Q62" s="101"/>
    </row>
    <row r="63" spans="1:20" ht="13.5" thickBot="1" x14ac:dyDescent="0.35">
      <c r="A63" s="135" t="str">
        <f>+Model!D61</f>
        <v>Contingency</v>
      </c>
      <c r="B63" s="136" t="str">
        <f>+Model!E61</f>
        <v>€</v>
      </c>
      <c r="C63" s="139">
        <f t="shared" si="12"/>
        <v>26143.254270985362</v>
      </c>
      <c r="L63" s="58" t="s">
        <v>112</v>
      </c>
      <c r="M63" s="8" t="s">
        <v>62</v>
      </c>
      <c r="N63" s="8" t="s">
        <v>134</v>
      </c>
      <c r="O63" s="8" t="s">
        <v>135</v>
      </c>
      <c r="P63" s="8" t="s">
        <v>129</v>
      </c>
      <c r="Q63" s="102" t="s">
        <v>117</v>
      </c>
    </row>
    <row r="64" spans="1:20" ht="13.5" thickBot="1" x14ac:dyDescent="0.35">
      <c r="A64" s="135" t="str">
        <f>+Model!D62</f>
        <v>Total fix capital</v>
      </c>
      <c r="B64" s="136" t="str">
        <f>+Model!E62</f>
        <v>€</v>
      </c>
      <c r="C64" s="139">
        <f>+P51</f>
        <v>399618.31528506195</v>
      </c>
      <c r="H64" s="26"/>
      <c r="I64" s="93"/>
      <c r="J64" s="61"/>
      <c r="L64" s="33"/>
      <c r="M64" s="22" t="s">
        <v>151</v>
      </c>
      <c r="N64" s="103">
        <f>+N3*F10*1000</f>
        <v>21900</v>
      </c>
      <c r="O64" s="67">
        <f>+F9</f>
        <v>1</v>
      </c>
      <c r="P64" s="67">
        <f>N64*O64</f>
        <v>21900</v>
      </c>
      <c r="Q64" s="96">
        <f>+P64/P$81</f>
        <v>0.6</v>
      </c>
    </row>
    <row r="65" spans="1:18" ht="13" thickBot="1" x14ac:dyDescent="0.3">
      <c r="A65" s="135"/>
      <c r="B65" s="136"/>
      <c r="C65" s="139"/>
      <c r="L65" s="33"/>
      <c r="M65" s="22" t="s">
        <v>65</v>
      </c>
      <c r="N65" s="103">
        <f>+(N12*N10*N8)*0.1+N12</f>
        <v>20250</v>
      </c>
      <c r="O65" s="67">
        <f>+O68</f>
        <v>0</v>
      </c>
      <c r="P65" s="67">
        <f>N65*O65</f>
        <v>0</v>
      </c>
      <c r="Q65" s="96">
        <f>+P65/P$81</f>
        <v>0</v>
      </c>
    </row>
    <row r="66" spans="1:18" ht="13" thickBot="1" x14ac:dyDescent="0.3">
      <c r="A66" s="135" t="str">
        <f>+Model!D64</f>
        <v>Fix Capital Costs per annun</v>
      </c>
      <c r="B66" s="136"/>
      <c r="C66" s="137"/>
      <c r="L66" s="33"/>
      <c r="M66" s="22" t="s">
        <v>63</v>
      </c>
      <c r="N66" s="103">
        <f>+N3*C7*1000</f>
        <v>146000</v>
      </c>
      <c r="O66" s="67">
        <f>+F8</f>
        <v>0.1</v>
      </c>
      <c r="P66" s="67">
        <f t="shared" ref="P66" si="14">N66*O66</f>
        <v>14600</v>
      </c>
      <c r="Q66" s="96">
        <f>+P66/P$81</f>
        <v>0.4</v>
      </c>
    </row>
    <row r="67" spans="1:18" ht="13.5" thickBot="1" x14ac:dyDescent="0.35">
      <c r="A67" s="135" t="str">
        <f>+Model!D65</f>
        <v>Lifetime</v>
      </c>
      <c r="B67" s="136" t="str">
        <f>+Model!E65</f>
        <v>€</v>
      </c>
      <c r="C67" s="137">
        <f>+N55</f>
        <v>10</v>
      </c>
      <c r="L67" s="58" t="str">
        <f>+L63</f>
        <v>Item</v>
      </c>
      <c r="M67" s="8" t="s">
        <v>64</v>
      </c>
      <c r="N67" s="8" t="s">
        <v>134</v>
      </c>
      <c r="O67" s="8" t="s">
        <v>135</v>
      </c>
      <c r="P67" s="8" t="s">
        <v>129</v>
      </c>
      <c r="Q67" s="102" t="s">
        <v>117</v>
      </c>
    </row>
    <row r="68" spans="1:18" ht="13" thickBot="1" x14ac:dyDescent="0.3">
      <c r="A68" s="135" t="str">
        <f>+Model!D66</f>
        <v>Depreciation</v>
      </c>
      <c r="B68" s="136" t="str">
        <f>+Model!E66</f>
        <v>€</v>
      </c>
      <c r="C68" s="139">
        <f>+P56</f>
        <v>39351.478429937677</v>
      </c>
      <c r="L68" s="33"/>
      <c r="M68" s="6" t="s">
        <v>153</v>
      </c>
      <c r="N68" s="103">
        <f>+C8*C11*C12*10</f>
        <v>21900</v>
      </c>
      <c r="O68" s="67">
        <f>+F7</f>
        <v>0</v>
      </c>
      <c r="P68" s="67">
        <f>+O68*N68</f>
        <v>0</v>
      </c>
      <c r="Q68" s="96">
        <f>+P68/P$82</f>
        <v>0</v>
      </c>
    </row>
    <row r="69" spans="1:18" ht="13" thickBot="1" x14ac:dyDescent="0.3">
      <c r="A69" s="135" t="str">
        <f>+Model!D67</f>
        <v>Property tax (@ 0.01 depreciation)</v>
      </c>
      <c r="B69" s="136" t="str">
        <f>+Model!E67</f>
        <v>€</v>
      </c>
      <c r="C69" s="139">
        <f t="shared" ref="C69:C71" si="15">+P57</f>
        <v>393.5147842993768</v>
      </c>
      <c r="L69" s="33"/>
      <c r="M69" s="6" t="s">
        <v>142</v>
      </c>
      <c r="N69" s="103">
        <f>+N7*N5*N13*10000*24*N8/1000</f>
        <v>350400</v>
      </c>
      <c r="O69" s="67">
        <f>+O70</f>
        <v>0.1</v>
      </c>
      <c r="P69" s="67">
        <f>N69*O69</f>
        <v>35040</v>
      </c>
      <c r="Q69" s="96">
        <f>+P69/P$82</f>
        <v>0.9974025974025974</v>
      </c>
      <c r="R69" s="6" t="s">
        <v>186</v>
      </c>
    </row>
    <row r="70" spans="1:18" ht="13" thickBot="1" x14ac:dyDescent="0.3">
      <c r="A70" s="135" t="str">
        <f>+Model!D68</f>
        <v>Insurance (@ 0.006 depreciation)</v>
      </c>
      <c r="B70" s="136" t="str">
        <f>+Model!E68</f>
        <v>€</v>
      </c>
      <c r="C70" s="139">
        <f t="shared" si="15"/>
        <v>236.10887057962606</v>
      </c>
      <c r="L70" s="33"/>
      <c r="M70" s="6" t="s">
        <v>143</v>
      </c>
      <c r="N70" s="103">
        <f>+I30*N9*N8*F12</f>
        <v>912.5</v>
      </c>
      <c r="O70" s="67">
        <f>+F11</f>
        <v>0.1</v>
      </c>
      <c r="P70" s="67">
        <f>N70*O70</f>
        <v>91.25</v>
      </c>
      <c r="Q70" s="96">
        <f>+P70/P$82</f>
        <v>2.5974025974025974E-3</v>
      </c>
      <c r="R70" s="6" t="s">
        <v>185</v>
      </c>
    </row>
    <row r="71" spans="1:18" ht="13.5" thickBot="1" x14ac:dyDescent="0.35">
      <c r="A71" s="135" t="str">
        <f>+Model!D69</f>
        <v>Purchase tax (@ 0.16 of items 1-12/10)</v>
      </c>
      <c r="B71" s="136" t="str">
        <f>+Model!E69</f>
        <v>€</v>
      </c>
      <c r="C71" s="139">
        <f t="shared" si="15"/>
        <v>6393.8930445609922</v>
      </c>
      <c r="L71" s="58" t="str">
        <f>+L67</f>
        <v>Item</v>
      </c>
      <c r="M71" s="8" t="s">
        <v>66</v>
      </c>
      <c r="N71" s="8" t="s">
        <v>134</v>
      </c>
      <c r="O71" s="8" t="s">
        <v>135</v>
      </c>
      <c r="P71" s="8" t="s">
        <v>129</v>
      </c>
      <c r="Q71" s="102" t="s">
        <v>117</v>
      </c>
    </row>
    <row r="72" spans="1:18" ht="13" thickBot="1" x14ac:dyDescent="0.3">
      <c r="A72" s="135"/>
      <c r="B72" s="136"/>
      <c r="C72" s="137"/>
      <c r="L72" s="33">
        <f>+L70+1</f>
        <v>1</v>
      </c>
      <c r="M72" s="6" t="s">
        <v>67</v>
      </c>
      <c r="N72" s="27">
        <f>+N16</f>
        <v>1</v>
      </c>
      <c r="O72" s="67">
        <f>+N15</f>
        <v>30000</v>
      </c>
      <c r="P72" s="67">
        <f t="shared" ref="P72:P80" si="16">N72*O72</f>
        <v>30000</v>
      </c>
      <c r="Q72" s="96">
        <f>+P72/P$83</f>
        <v>0.31390986629423079</v>
      </c>
    </row>
    <row r="73" spans="1:18" ht="13" thickBot="1" x14ac:dyDescent="0.3">
      <c r="A73" s="135" t="str">
        <f>+Model!D71</f>
        <v>Direct Production Costs</v>
      </c>
      <c r="B73" s="136"/>
      <c r="C73" s="137"/>
      <c r="L73" s="33">
        <f t="shared" ref="L73:L80" si="17">+L72+1</f>
        <v>2</v>
      </c>
      <c r="M73" s="6" t="s">
        <v>68</v>
      </c>
      <c r="N73" s="27">
        <v>0.2</v>
      </c>
      <c r="O73" s="71">
        <f>O72</f>
        <v>30000</v>
      </c>
      <c r="P73" s="67">
        <f t="shared" si="16"/>
        <v>6000</v>
      </c>
      <c r="Q73" s="96">
        <f t="shared" ref="Q73:Q80" si="18">+P73/P$83</f>
        <v>6.2781973258846158E-2</v>
      </c>
    </row>
    <row r="74" spans="1:18" ht="13" thickBot="1" x14ac:dyDescent="0.3">
      <c r="A74" s="135" t="str">
        <f>+Model!D72</f>
        <v>Raw materials</v>
      </c>
      <c r="B74" s="136"/>
      <c r="C74" s="137"/>
      <c r="L74" s="33">
        <f t="shared" si="17"/>
        <v>3</v>
      </c>
      <c r="M74" s="6" t="s">
        <v>69</v>
      </c>
      <c r="N74" s="27">
        <v>0.25</v>
      </c>
      <c r="O74" s="67">
        <f>+P72+P73</f>
        <v>36000</v>
      </c>
      <c r="P74" s="67">
        <f t="shared" si="16"/>
        <v>9000</v>
      </c>
      <c r="Q74" s="96">
        <f t="shared" si="18"/>
        <v>9.4172959888269236E-2</v>
      </c>
    </row>
    <row r="75" spans="1:18" ht="13" thickBot="1" x14ac:dyDescent="0.3">
      <c r="A75" s="135" t="str">
        <f>+Model!D73</f>
        <v>Fertilizers (kg)</v>
      </c>
      <c r="B75" s="136" t="str">
        <f>+Model!E73</f>
        <v>€</v>
      </c>
      <c r="C75" s="139">
        <f>+P64</f>
        <v>21900</v>
      </c>
      <c r="L75" s="33">
        <f t="shared" si="17"/>
        <v>4</v>
      </c>
      <c r="M75" s="6" t="s">
        <v>70</v>
      </c>
      <c r="N75" s="27">
        <v>0.04</v>
      </c>
      <c r="O75" s="67">
        <f>+P38</f>
        <v>122070.61971370378</v>
      </c>
      <c r="P75" s="67">
        <f t="shared" si="16"/>
        <v>4882.8247885481514</v>
      </c>
      <c r="Q75" s="96">
        <f t="shared" si="18"/>
        <v>5.1092229217043532E-2</v>
      </c>
    </row>
    <row r="76" spans="1:18" ht="13" thickBot="1" x14ac:dyDescent="0.3">
      <c r="A76" s="135" t="str">
        <f>+Model!D74</f>
        <v>Water (m3)</v>
      </c>
      <c r="B76" s="136" t="str">
        <f>+Model!E74</f>
        <v>€</v>
      </c>
      <c r="C76" s="139">
        <f t="shared" ref="C76:C77" si="19">+P65</f>
        <v>0</v>
      </c>
      <c r="L76" s="33">
        <f t="shared" si="17"/>
        <v>5</v>
      </c>
      <c r="M76" s="6" t="s">
        <v>193</v>
      </c>
      <c r="N76" s="27">
        <v>4.0000000000000001E-3</v>
      </c>
      <c r="O76" s="67">
        <f>SUM(P64:P66)</f>
        <v>36500</v>
      </c>
      <c r="P76" s="67">
        <f t="shared" si="16"/>
        <v>146</v>
      </c>
      <c r="Q76" s="96">
        <f t="shared" si="18"/>
        <v>1.527694682631923E-3</v>
      </c>
    </row>
    <row r="77" spans="1:18" ht="13" thickBot="1" x14ac:dyDescent="0.3">
      <c r="A77" s="135" t="str">
        <f>+Model!D75</f>
        <v>Carbon dioxide (kg)</v>
      </c>
      <c r="B77" s="136" t="str">
        <f>+Model!E75</f>
        <v>€</v>
      </c>
      <c r="C77" s="139">
        <f t="shared" si="19"/>
        <v>14600</v>
      </c>
      <c r="L77" s="33">
        <f t="shared" si="17"/>
        <v>6</v>
      </c>
      <c r="M77" s="6" t="s">
        <v>72</v>
      </c>
      <c r="N77" s="27">
        <v>0.55000000000000004</v>
      </c>
      <c r="O77" s="67">
        <f>P72+P73+P75</f>
        <v>40882.824788548154</v>
      </c>
      <c r="P77" s="67">
        <f t="shared" si="16"/>
        <v>22485.553633701486</v>
      </c>
      <c r="Q77" s="96">
        <f t="shared" si="18"/>
        <v>0.23528123782356627</v>
      </c>
    </row>
    <row r="78" spans="1:18" ht="13" thickBot="1" x14ac:dyDescent="0.3">
      <c r="A78" s="135" t="str">
        <f>+Model!D76</f>
        <v>Utilities</v>
      </c>
      <c r="B78" s="136"/>
      <c r="C78" s="139"/>
      <c r="L78" s="33">
        <f t="shared" si="17"/>
        <v>7</v>
      </c>
      <c r="M78" s="6" t="s">
        <v>194</v>
      </c>
      <c r="N78" s="27">
        <v>0.16</v>
      </c>
      <c r="O78" s="67">
        <f>SUM(P64:P66)+SUM(P68:P70)+P75+P76</f>
        <v>76660.074788548154</v>
      </c>
      <c r="P78" s="67">
        <f t="shared" si="16"/>
        <v>12265.611966167706</v>
      </c>
      <c r="Q78" s="96">
        <f t="shared" si="18"/>
        <v>0.12834322041055404</v>
      </c>
    </row>
    <row r="79" spans="1:18" ht="13" thickBot="1" x14ac:dyDescent="0.3">
      <c r="A79" s="135" t="str">
        <f>+Model!D77</f>
        <v>Water (m3)</v>
      </c>
      <c r="B79" s="136" t="str">
        <f>+Model!E77</f>
        <v>€</v>
      </c>
      <c r="C79" s="139">
        <f>+P68</f>
        <v>0</v>
      </c>
      <c r="L79" s="33">
        <f t="shared" si="17"/>
        <v>8</v>
      </c>
      <c r="M79" s="6" t="s">
        <v>195</v>
      </c>
      <c r="N79" s="27">
        <v>0.05</v>
      </c>
      <c r="O79" s="67">
        <f>SUM(P64:P66)+SUM(P68:P70)</f>
        <v>71631.25</v>
      </c>
      <c r="P79" s="67">
        <f t="shared" si="16"/>
        <v>3581.5625</v>
      </c>
      <c r="Q79" s="96">
        <f t="shared" si="18"/>
        <v>3.7476260183314361E-2</v>
      </c>
    </row>
    <row r="80" spans="1:18" ht="13" thickBot="1" x14ac:dyDescent="0.3">
      <c r="A80" s="135" t="str">
        <f>+Model!D78</f>
        <v>Power mixing (kWh)</v>
      </c>
      <c r="B80" s="136" t="str">
        <f>+Model!E78</f>
        <v>€</v>
      </c>
      <c r="C80" s="139">
        <f t="shared" ref="C80:C94" si="20">+P69</f>
        <v>35040</v>
      </c>
      <c r="L80" s="33">
        <f t="shared" si="17"/>
        <v>9</v>
      </c>
      <c r="M80" s="6" t="s">
        <v>196</v>
      </c>
      <c r="N80" s="27">
        <v>0.05</v>
      </c>
      <c r="O80" s="67">
        <f>SUM(P64:P66)+SUM(P68:P70)+SUM(P72:P77)</f>
        <v>144145.62842224963</v>
      </c>
      <c r="P80" s="67">
        <f t="shared" si="16"/>
        <v>7207.2814211124823</v>
      </c>
      <c r="Q80" s="96">
        <f t="shared" si="18"/>
        <v>7.5414558241543764E-2</v>
      </c>
    </row>
    <row r="81" spans="1:20" ht="13.5" thickBot="1" x14ac:dyDescent="0.35">
      <c r="A81" s="135" t="str">
        <f>+Model!D79</f>
        <v>Power harvesting and others (Kwh)</v>
      </c>
      <c r="B81" s="136" t="str">
        <f>+Model!E79</f>
        <v>€</v>
      </c>
      <c r="C81" s="139">
        <f t="shared" si="20"/>
        <v>91.25</v>
      </c>
      <c r="L81" s="50"/>
      <c r="M81" s="55" t="s">
        <v>76</v>
      </c>
      <c r="N81" s="55"/>
      <c r="O81" s="55"/>
      <c r="P81" s="104">
        <f>+SUM(P64:P66)</f>
        <v>36500</v>
      </c>
      <c r="Q81" s="101"/>
    </row>
    <row r="82" spans="1:20" ht="13.5" thickBot="1" x14ac:dyDescent="0.35">
      <c r="A82" s="135" t="str">
        <f>+Model!D80</f>
        <v>Labor and others</v>
      </c>
      <c r="B82" s="136"/>
      <c r="C82" s="139"/>
      <c r="L82" s="105"/>
      <c r="M82" s="26" t="s">
        <v>77</v>
      </c>
      <c r="N82" s="26"/>
      <c r="O82" s="26"/>
      <c r="P82" s="106">
        <f>+SUM(P68:P70)</f>
        <v>35131.25</v>
      </c>
      <c r="Q82" s="96"/>
      <c r="R82" s="11"/>
    </row>
    <row r="83" spans="1:20" ht="13.5" thickBot="1" x14ac:dyDescent="0.35">
      <c r="A83" s="135" t="str">
        <f>+Model!D81</f>
        <v>Labor</v>
      </c>
      <c r="B83" s="136" t="str">
        <f>+Model!E81</f>
        <v>€</v>
      </c>
      <c r="C83" s="139">
        <f t="shared" si="20"/>
        <v>30000</v>
      </c>
      <c r="L83" s="107"/>
      <c r="M83" s="108" t="s">
        <v>78</v>
      </c>
      <c r="N83" s="108"/>
      <c r="O83" s="108"/>
      <c r="P83" s="109">
        <f>+SUM(P72:P80)</f>
        <v>95568.834309529819</v>
      </c>
      <c r="Q83" s="110"/>
      <c r="R83" s="11"/>
    </row>
    <row r="84" spans="1:20" ht="13" thickBot="1" x14ac:dyDescent="0.3">
      <c r="A84" s="135" t="str">
        <f>+Model!D82</f>
        <v>Supervision (@ 0.2 labor)</v>
      </c>
      <c r="B84" s="136" t="str">
        <f>+Model!E82</f>
        <v>€</v>
      </c>
      <c r="C84" s="139">
        <f t="shared" si="20"/>
        <v>6000</v>
      </c>
    </row>
    <row r="85" spans="1:20" ht="13" thickBot="1" x14ac:dyDescent="0.3">
      <c r="A85" s="135" t="str">
        <f>+Model!D83</f>
        <v>Payroll charges (@ 0.25 (labor + supervision))</v>
      </c>
      <c r="B85" s="136" t="str">
        <f>+Model!E83</f>
        <v>€</v>
      </c>
      <c r="C85" s="139">
        <f t="shared" si="20"/>
        <v>9000</v>
      </c>
      <c r="R85" s="11"/>
    </row>
    <row r="86" spans="1:20" ht="13.5" thickBot="1" x14ac:dyDescent="0.35">
      <c r="A86" s="135" t="str">
        <f>+Model!D84</f>
        <v>Maintenance (@ 0.04 MEC)</v>
      </c>
      <c r="B86" s="136" t="str">
        <f>+Model!E84</f>
        <v>€</v>
      </c>
      <c r="C86" s="139">
        <f t="shared" si="20"/>
        <v>4882.8247885481514</v>
      </c>
      <c r="L86" s="58" t="s">
        <v>136</v>
      </c>
      <c r="M86" s="8"/>
      <c r="N86" s="8"/>
      <c r="O86" s="8"/>
      <c r="P86" s="111"/>
      <c r="R86" s="11"/>
    </row>
    <row r="87" spans="1:20" ht="13.5" thickBot="1" x14ac:dyDescent="0.35">
      <c r="A87" s="135" t="str">
        <f>+Model!D85</f>
        <v>Operating supplies (@ 0.004 items 1-5)</v>
      </c>
      <c r="B87" s="136" t="str">
        <f>+Model!E85</f>
        <v>€</v>
      </c>
      <c r="C87" s="139">
        <f t="shared" si="20"/>
        <v>146</v>
      </c>
      <c r="L87" s="58" t="s">
        <v>112</v>
      </c>
      <c r="M87" s="8" t="s">
        <v>137</v>
      </c>
      <c r="N87" s="8"/>
      <c r="O87" s="8" t="s">
        <v>129</v>
      </c>
      <c r="P87" s="111" t="s">
        <v>84</v>
      </c>
      <c r="S87" s="25"/>
      <c r="T87" s="25"/>
    </row>
    <row r="88" spans="1:20" ht="13" thickBot="1" x14ac:dyDescent="0.3">
      <c r="A88" s="135" t="str">
        <f>+Model!D86</f>
        <v>General plant overheads (@ 0.55 (labor + supervision + maintenance))</v>
      </c>
      <c r="B88" s="136" t="str">
        <f>+Model!E86</f>
        <v>€</v>
      </c>
      <c r="C88" s="139">
        <f t="shared" si="20"/>
        <v>22485.553633701486</v>
      </c>
      <c r="L88" s="112">
        <v>1</v>
      </c>
      <c r="M88" s="113" t="str">
        <f>+M60</f>
        <v>Total fix capital per annun</v>
      </c>
      <c r="N88" s="113"/>
      <c r="O88" s="114">
        <f>+P60</f>
        <v>46374.995129377676</v>
      </c>
      <c r="P88" s="115">
        <f>+O88/O$94</f>
        <v>0.21713673360773866</v>
      </c>
    </row>
    <row r="89" spans="1:20" ht="13" thickBot="1" x14ac:dyDescent="0.3">
      <c r="A89" s="135" t="str">
        <f>+Model!D87</f>
        <v>Tax (@ 0.16 items 1-7, 11 and 12)</v>
      </c>
      <c r="B89" s="136" t="str">
        <f>+Model!E87</f>
        <v>€</v>
      </c>
      <c r="C89" s="139">
        <f t="shared" si="20"/>
        <v>12265.611966167706</v>
      </c>
      <c r="L89" s="33">
        <v>2</v>
      </c>
      <c r="M89" s="22" t="str">
        <f>+M81</f>
        <v>Total raw materials</v>
      </c>
      <c r="N89" s="22"/>
      <c r="O89" s="71">
        <f>+P81</f>
        <v>36500</v>
      </c>
      <c r="P89" s="116">
        <f>+O89/O$94</f>
        <v>0.17090008860533148</v>
      </c>
    </row>
    <row r="90" spans="1:20" ht="13" thickBot="1" x14ac:dyDescent="0.3">
      <c r="A90" s="135" t="str">
        <f>+Model!D88</f>
        <v>Contingency (@ 0.05 items 1-7)</v>
      </c>
      <c r="B90" s="136" t="str">
        <f>+Model!E88</f>
        <v>€</v>
      </c>
      <c r="C90" s="139">
        <f t="shared" si="20"/>
        <v>3581.5625</v>
      </c>
      <c r="L90" s="33">
        <v>3</v>
      </c>
      <c r="M90" s="22" t="str">
        <f>+M82</f>
        <v>Total utilities</v>
      </c>
      <c r="N90" s="22"/>
      <c r="O90" s="71">
        <f>+P82</f>
        <v>35131.25</v>
      </c>
      <c r="P90" s="116">
        <f>+O90/O$94</f>
        <v>0.16449133528263157</v>
      </c>
    </row>
    <row r="91" spans="1:20" ht="13" thickBot="1" x14ac:dyDescent="0.3">
      <c r="A91" s="135" t="str">
        <f>+Model!D89</f>
        <v>Marketing (@ 0.05 items 1-13)</v>
      </c>
      <c r="B91" s="136" t="str">
        <f>+Model!E89</f>
        <v>€</v>
      </c>
      <c r="C91" s="139">
        <f t="shared" si="20"/>
        <v>7207.2814211124823</v>
      </c>
      <c r="L91" s="86">
        <v>4</v>
      </c>
      <c r="M91" s="190" t="str">
        <f>+M83</f>
        <v>Total labor and others</v>
      </c>
      <c r="N91" s="190"/>
      <c r="O91" s="191">
        <f>+P83</f>
        <v>95568.834309529819</v>
      </c>
      <c r="P91" s="192">
        <f>+O91/O$94</f>
        <v>0.44747184250429839</v>
      </c>
    </row>
    <row r="92" spans="1:20" ht="13.5" thickBot="1" x14ac:dyDescent="0.35">
      <c r="A92" s="135" t="str">
        <f>+Model!D90</f>
        <v>Total raw materials</v>
      </c>
      <c r="B92" s="136" t="str">
        <f>+Model!E90</f>
        <v>€</v>
      </c>
      <c r="C92" s="139">
        <f t="shared" si="20"/>
        <v>36500</v>
      </c>
      <c r="L92" s="188"/>
      <c r="M92" s="26" t="str">
        <f>+M88</f>
        <v>Total fix capital per annun</v>
      </c>
      <c r="N92" s="26"/>
      <c r="O92" s="204">
        <f>+O88</f>
        <v>46374.995129377676</v>
      </c>
      <c r="P92" s="189">
        <f>+O92/O94</f>
        <v>0.21713673360773866</v>
      </c>
    </row>
    <row r="93" spans="1:20" ht="13.5" thickBot="1" x14ac:dyDescent="0.35">
      <c r="A93" s="135" t="str">
        <f>+Model!D91</f>
        <v>Total utilities</v>
      </c>
      <c r="B93" s="136" t="str">
        <f>+Model!E91</f>
        <v>€</v>
      </c>
      <c r="C93" s="139">
        <f t="shared" si="20"/>
        <v>35131.25</v>
      </c>
      <c r="L93" s="105"/>
      <c r="M93" s="26" t="s">
        <v>138</v>
      </c>
      <c r="N93" s="26"/>
      <c r="O93" s="204">
        <f>+P83+P82+P81</f>
        <v>167200.0843095298</v>
      </c>
      <c r="P93" s="118">
        <f>+O93/O94</f>
        <v>0.78286326639226134</v>
      </c>
    </row>
    <row r="94" spans="1:20" ht="13.5" thickBot="1" x14ac:dyDescent="0.35">
      <c r="A94" s="135" t="str">
        <f>+Model!D92</f>
        <v>Total labor and others</v>
      </c>
      <c r="B94" s="136" t="str">
        <f>+Model!E92</f>
        <v>€</v>
      </c>
      <c r="C94" s="139">
        <f t="shared" si="20"/>
        <v>95568.834309529819</v>
      </c>
      <c r="L94" s="58"/>
      <c r="M94" s="8" t="s">
        <v>139</v>
      </c>
      <c r="N94" s="8"/>
      <c r="O94" s="205">
        <f>+O93+P60</f>
        <v>213575.07943890747</v>
      </c>
      <c r="P94" s="119"/>
    </row>
    <row r="95" spans="1:20" ht="13.5" thickBot="1" x14ac:dyDescent="0.35">
      <c r="A95" s="135" t="str">
        <f>+Model!D93</f>
        <v>Total fix capital per annun</v>
      </c>
      <c r="B95" s="136" t="str">
        <f>+Model!E93</f>
        <v>€</v>
      </c>
      <c r="C95" s="139">
        <f>+O92</f>
        <v>46374.995129377676</v>
      </c>
      <c r="L95" s="107"/>
      <c r="M95" s="108" t="s">
        <v>140</v>
      </c>
      <c r="N95" s="108"/>
      <c r="O95" s="143">
        <f>+O94/(N3*1000)</f>
        <v>2.9256860197110615</v>
      </c>
      <c r="P95" s="120"/>
      <c r="R95" s="212"/>
    </row>
    <row r="96" spans="1:20" ht="13" thickBot="1" x14ac:dyDescent="0.3">
      <c r="A96" s="135" t="str">
        <f>+Model!D94</f>
        <v>Total direct production costs</v>
      </c>
      <c r="B96" s="136" t="str">
        <f>+Model!E94</f>
        <v>€</v>
      </c>
      <c r="C96" s="139">
        <f t="shared" ref="C96:C98" si="21">+O93</f>
        <v>167200.0843095298</v>
      </c>
    </row>
    <row r="97" spans="1:3" ht="13" thickBot="1" x14ac:dyDescent="0.3">
      <c r="A97" s="135" t="str">
        <f>+Model!D95</f>
        <v>Total production costs</v>
      </c>
      <c r="B97" s="136" t="str">
        <f>+Model!E95</f>
        <v>€</v>
      </c>
      <c r="C97" s="139">
        <f t="shared" si="21"/>
        <v>213575.07943890747</v>
      </c>
    </row>
    <row r="98" spans="1:3" ht="13" thickBot="1" x14ac:dyDescent="0.3">
      <c r="A98" s="135" t="str">
        <f>+Model!D96</f>
        <v>Unit cost of producing biomass</v>
      </c>
      <c r="B98" s="136" t="str">
        <f>+Model!E96</f>
        <v>€/kg</v>
      </c>
      <c r="C98" s="139">
        <f t="shared" si="21"/>
        <v>2.9256860197110615</v>
      </c>
    </row>
  </sheetData>
  <pageMargins left="0.7" right="0.7" top="0.75" bottom="0.75" header="0.3" footer="0.3"/>
  <pageSetup paperSize="9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X98"/>
  <sheetViews>
    <sheetView zoomScaleNormal="100" workbookViewId="0">
      <selection activeCell="C6" sqref="C6"/>
    </sheetView>
  </sheetViews>
  <sheetFormatPr baseColWidth="10" defaultColWidth="11.453125" defaultRowHeight="12.5" x14ac:dyDescent="0.25"/>
  <cols>
    <col min="1" max="1" width="35.453125" style="6" customWidth="1"/>
    <col min="2" max="2" width="19.1796875" style="6" bestFit="1" customWidth="1"/>
    <col min="3" max="3" width="16.54296875" style="6" bestFit="1" customWidth="1"/>
    <col min="4" max="4" width="23.26953125" style="6" bestFit="1" customWidth="1"/>
    <col min="5" max="5" width="29.26953125" style="6" bestFit="1" customWidth="1"/>
    <col min="6" max="6" width="18.453125" style="6" bestFit="1" customWidth="1"/>
    <col min="7" max="7" width="12.81640625" style="6" customWidth="1"/>
    <col min="8" max="8" width="11.54296875" style="6" bestFit="1" customWidth="1"/>
    <col min="9" max="9" width="16.1796875" style="6" bestFit="1" customWidth="1"/>
    <col min="10" max="10" width="13.1796875" style="6" bestFit="1" customWidth="1"/>
    <col min="11" max="11" width="7.1796875" style="6" customWidth="1"/>
    <col min="12" max="12" width="8.7265625" style="6" customWidth="1"/>
    <col min="13" max="13" width="60.453125" style="6" bestFit="1" customWidth="1"/>
    <col min="14" max="14" width="15.1796875" style="6" bestFit="1" customWidth="1"/>
    <col min="15" max="15" width="17.26953125" style="6" customWidth="1"/>
    <col min="16" max="16" width="16.453125" style="6" customWidth="1"/>
    <col min="17" max="17" width="12.54296875" style="6" customWidth="1"/>
    <col min="18" max="18" width="21.1796875" style="6" bestFit="1" customWidth="1"/>
    <col min="19" max="19" width="10.81640625" style="6" bestFit="1" customWidth="1"/>
    <col min="20" max="20" width="6.54296875" style="6" bestFit="1" customWidth="1"/>
    <col min="21" max="21" width="4" style="6" customWidth="1"/>
    <col min="22" max="22" width="20.26953125" style="6" bestFit="1" customWidth="1"/>
    <col min="23" max="23" width="11" style="6" bestFit="1" customWidth="1"/>
    <col min="24" max="24" width="10" style="6" bestFit="1" customWidth="1"/>
    <col min="25" max="16384" width="11.453125" style="6"/>
  </cols>
  <sheetData>
    <row r="1" spans="1:50" ht="13" thickBot="1" x14ac:dyDescent="0.3"/>
    <row r="2" spans="1:50" ht="13.5" thickBot="1" x14ac:dyDescent="0.35">
      <c r="L2" s="112"/>
      <c r="M2" s="55" t="s">
        <v>79</v>
      </c>
      <c r="N2" s="51"/>
      <c r="O2" s="54"/>
    </row>
    <row r="3" spans="1:50" x14ac:dyDescent="0.25">
      <c r="L3" s="112">
        <v>1</v>
      </c>
      <c r="M3" s="113" t="s">
        <v>81</v>
      </c>
      <c r="N3" s="129">
        <f>+N13*N14*N8/100</f>
        <v>73</v>
      </c>
      <c r="O3" s="130" t="s">
        <v>82</v>
      </c>
    </row>
    <row r="4" spans="1:50" ht="13" thickBot="1" x14ac:dyDescent="0.3">
      <c r="L4" s="33">
        <v>2</v>
      </c>
      <c r="M4" s="22" t="s">
        <v>3</v>
      </c>
      <c r="N4" s="29">
        <f>+N14/(N5*1000)</f>
        <v>0.1</v>
      </c>
      <c r="O4" s="30" t="s">
        <v>85</v>
      </c>
      <c r="AI4" s="7"/>
      <c r="AJ4" s="7"/>
      <c r="AK4" s="7"/>
      <c r="AL4" s="7"/>
      <c r="AM4" s="7"/>
      <c r="AN4" s="7"/>
      <c r="AO4" s="7"/>
    </row>
    <row r="5" spans="1:50" ht="13.5" thickBot="1" x14ac:dyDescent="0.35">
      <c r="A5" s="121" t="str">
        <f>+Model!D3</f>
        <v>Technical parameters</v>
      </c>
      <c r="B5" s="122"/>
      <c r="C5" s="123"/>
      <c r="E5" s="58" t="s">
        <v>80</v>
      </c>
      <c r="F5" s="9"/>
      <c r="G5" s="10"/>
      <c r="L5" s="13">
        <v>3</v>
      </c>
      <c r="M5" s="14" t="s">
        <v>22</v>
      </c>
      <c r="N5" s="12">
        <f>+C13</f>
        <v>0.2</v>
      </c>
      <c r="O5" s="15" t="s">
        <v>88</v>
      </c>
      <c r="AI5" s="11"/>
      <c r="AJ5" s="11"/>
      <c r="AK5" s="11"/>
      <c r="AL5" s="11"/>
      <c r="AM5" s="11"/>
      <c r="AN5" s="11"/>
      <c r="AO5" s="11"/>
    </row>
    <row r="6" spans="1:50" ht="13" x14ac:dyDescent="0.3">
      <c r="A6" s="124" t="str">
        <f>+Model!D4</f>
        <v>Biomass productivity</v>
      </c>
      <c r="B6" s="125" t="str">
        <f>+Model!E4</f>
        <v>g/m2/day</v>
      </c>
      <c r="C6" s="147">
        <f>+Model!H4</f>
        <v>20</v>
      </c>
      <c r="D6" s="140"/>
      <c r="E6" s="148" t="s">
        <v>83</v>
      </c>
      <c r="F6" s="149">
        <f>+C26</f>
        <v>20</v>
      </c>
      <c r="G6" s="130" t="s">
        <v>91</v>
      </c>
      <c r="L6" s="13">
        <v>4</v>
      </c>
      <c r="M6" s="14" t="s">
        <v>89</v>
      </c>
      <c r="N6" s="20">
        <v>0.01</v>
      </c>
      <c r="O6" s="15" t="s">
        <v>90</v>
      </c>
      <c r="P6" s="12"/>
    </row>
    <row r="7" spans="1:50" ht="13" x14ac:dyDescent="0.3">
      <c r="A7" s="124" t="str">
        <f>+Model!D5</f>
        <v>CO2 usage</v>
      </c>
      <c r="B7" s="125" t="str">
        <f>+Model!E5</f>
        <v>kg/kg algae biomass</v>
      </c>
      <c r="C7" s="147">
        <f>+Model!H5</f>
        <v>1</v>
      </c>
      <c r="D7" s="140"/>
      <c r="E7" s="28" t="s">
        <v>96</v>
      </c>
      <c r="F7" s="201">
        <f>+C20</f>
        <v>0</v>
      </c>
      <c r="G7" s="141" t="s">
        <v>91</v>
      </c>
      <c r="L7" s="13">
        <v>5</v>
      </c>
      <c r="M7" s="14" t="s">
        <v>21</v>
      </c>
      <c r="N7" s="20">
        <f>+C9</f>
        <v>20</v>
      </c>
      <c r="O7" s="15" t="s">
        <v>92</v>
      </c>
      <c r="P7" s="12"/>
      <c r="AI7" s="16"/>
      <c r="AJ7" s="16"/>
      <c r="AK7" s="16"/>
      <c r="AL7" s="16"/>
      <c r="AM7" s="16"/>
      <c r="AN7" s="16"/>
      <c r="AO7" s="16"/>
    </row>
    <row r="8" spans="1:50" ht="13" x14ac:dyDescent="0.3">
      <c r="A8" s="124" t="str">
        <f>+Model!D6</f>
        <v>Water evaporation</v>
      </c>
      <c r="B8" s="125" t="str">
        <f>+Model!E6</f>
        <v>L/m2/day</v>
      </c>
      <c r="C8" s="147">
        <f>+Model!H6</f>
        <v>6</v>
      </c>
      <c r="D8" s="140"/>
      <c r="E8" s="28" t="s">
        <v>86</v>
      </c>
      <c r="F8" s="29">
        <f>+C21</f>
        <v>0.1</v>
      </c>
      <c r="G8" s="30" t="s">
        <v>87</v>
      </c>
      <c r="L8" s="13">
        <v>6</v>
      </c>
      <c r="M8" s="14" t="s">
        <v>93</v>
      </c>
      <c r="N8" s="24">
        <f>+C11</f>
        <v>365</v>
      </c>
      <c r="O8" s="15" t="s">
        <v>94</v>
      </c>
      <c r="P8" s="12"/>
      <c r="AI8" s="16"/>
      <c r="AJ8" s="16"/>
      <c r="AK8" s="16"/>
      <c r="AL8" s="16"/>
      <c r="AM8" s="16"/>
      <c r="AN8" s="16"/>
      <c r="AO8" s="16"/>
    </row>
    <row r="9" spans="1:50" ht="13" x14ac:dyDescent="0.3">
      <c r="A9" s="124" t="str">
        <f>+Model!D7</f>
        <v>Mixing power consumption</v>
      </c>
      <c r="B9" s="125" t="str">
        <f>+Model!E7</f>
        <v>W/m3</v>
      </c>
      <c r="C9" s="147">
        <f>+Model!H7</f>
        <v>20</v>
      </c>
      <c r="D9" s="140"/>
      <c r="E9" s="28" t="s">
        <v>150</v>
      </c>
      <c r="F9" s="29">
        <f>+C22</f>
        <v>0</v>
      </c>
      <c r="G9" s="30" t="s">
        <v>87</v>
      </c>
      <c r="L9" s="28">
        <v>7</v>
      </c>
      <c r="M9" s="22" t="s">
        <v>93</v>
      </c>
      <c r="N9" s="29">
        <v>10</v>
      </c>
      <c r="O9" s="30" t="s">
        <v>95</v>
      </c>
      <c r="P9" s="20"/>
      <c r="AI9" s="16"/>
      <c r="AJ9" s="16"/>
      <c r="AK9" s="16"/>
      <c r="AL9" s="16"/>
      <c r="AM9" s="16"/>
      <c r="AN9" s="16"/>
      <c r="AO9" s="16"/>
    </row>
    <row r="10" spans="1:50" ht="13" x14ac:dyDescent="0.3">
      <c r="A10" s="124" t="str">
        <f>+Model!D8</f>
        <v xml:space="preserve">Labour </v>
      </c>
      <c r="B10" s="125" t="str">
        <f>+Model!E8</f>
        <v>people/ha</v>
      </c>
      <c r="C10" s="147">
        <f>+Model!H8</f>
        <v>1</v>
      </c>
      <c r="E10" s="33" t="s">
        <v>152</v>
      </c>
      <c r="F10" s="6">
        <v>0.3</v>
      </c>
      <c r="G10" s="141" t="s">
        <v>141</v>
      </c>
      <c r="I10" s="21"/>
      <c r="J10" s="21"/>
      <c r="K10" s="21"/>
      <c r="L10" s="13">
        <v>8</v>
      </c>
      <c r="M10" s="14" t="s">
        <v>23</v>
      </c>
      <c r="N10" s="12">
        <f>+C15</f>
        <v>0.25</v>
      </c>
      <c r="O10" s="15" t="s">
        <v>24</v>
      </c>
      <c r="P10" s="20"/>
      <c r="AI10" s="16"/>
      <c r="AJ10" s="16"/>
      <c r="AK10" s="16"/>
      <c r="AL10" s="16"/>
      <c r="AM10" s="16"/>
      <c r="AN10" s="16"/>
      <c r="AO10" s="16"/>
    </row>
    <row r="11" spans="1:50" ht="13" x14ac:dyDescent="0.3">
      <c r="A11" s="124" t="str">
        <f>+Model!D9</f>
        <v>Production days</v>
      </c>
      <c r="B11" s="125" t="str">
        <f>+Model!E9</f>
        <v>Days</v>
      </c>
      <c r="C11" s="147">
        <f>+Model!H9</f>
        <v>365</v>
      </c>
      <c r="E11" s="28" t="s">
        <v>97</v>
      </c>
      <c r="F11" s="29">
        <f>+C24</f>
        <v>0.1</v>
      </c>
      <c r="G11" s="141" t="s">
        <v>149</v>
      </c>
      <c r="I11" s="21"/>
      <c r="J11" s="21"/>
      <c r="K11" s="21"/>
      <c r="L11" s="28">
        <v>9</v>
      </c>
      <c r="M11" s="22" t="s">
        <v>98</v>
      </c>
      <c r="N11" s="29">
        <f>+N4/N10</f>
        <v>0.4</v>
      </c>
      <c r="O11" s="30" t="s">
        <v>99</v>
      </c>
      <c r="P11" s="24"/>
    </row>
    <row r="12" spans="1:50" ht="13.5" thickBot="1" x14ac:dyDescent="0.35">
      <c r="A12" s="124" t="str">
        <f>+Model!D10</f>
        <v>Land area</v>
      </c>
      <c r="B12" s="125" t="str">
        <f>+Model!E10</f>
        <v>ha</v>
      </c>
      <c r="C12" s="147">
        <f>+Model!H10</f>
        <v>1</v>
      </c>
      <c r="E12" s="86" t="s">
        <v>155</v>
      </c>
      <c r="F12" s="150">
        <f>+C25</f>
        <v>0.1</v>
      </c>
      <c r="G12" s="151" t="s">
        <v>154</v>
      </c>
      <c r="I12" s="81"/>
      <c r="J12" s="25"/>
      <c r="K12" s="25"/>
      <c r="L12" s="33">
        <v>10</v>
      </c>
      <c r="M12" s="22" t="s">
        <v>25</v>
      </c>
      <c r="N12" s="34">
        <f>+N3*1000/(N4*C11)</f>
        <v>2000</v>
      </c>
      <c r="O12" s="30" t="s">
        <v>37</v>
      </c>
      <c r="P12" s="24"/>
      <c r="S12" s="26"/>
    </row>
    <row r="13" spans="1:50" ht="13" x14ac:dyDescent="0.3">
      <c r="A13" s="124" t="str">
        <f>+Model!D11</f>
        <v>Ratio V/S</v>
      </c>
      <c r="B13" s="125" t="str">
        <f>+Model!E11</f>
        <v>m3/m2</v>
      </c>
      <c r="C13" s="147">
        <f>+Model!H11</f>
        <v>0.2</v>
      </c>
      <c r="I13" s="81"/>
      <c r="J13" s="21"/>
      <c r="K13" s="21"/>
      <c r="L13" s="13">
        <v>11</v>
      </c>
      <c r="M13" s="14" t="s">
        <v>100</v>
      </c>
      <c r="N13" s="24">
        <f>+C12</f>
        <v>1</v>
      </c>
      <c r="O13" s="15" t="s">
        <v>101</v>
      </c>
      <c r="P13" s="12"/>
      <c r="Q13" s="22"/>
      <c r="R13" s="27"/>
      <c r="AI13" s="11"/>
      <c r="AJ13" s="11"/>
      <c r="AK13" s="11"/>
      <c r="AL13" s="11"/>
      <c r="AM13" s="11"/>
      <c r="AN13" s="11"/>
      <c r="AO13" s="11"/>
      <c r="AR13" s="11"/>
      <c r="AS13" s="11"/>
      <c r="AT13" s="11"/>
      <c r="AU13" s="11"/>
      <c r="AV13" s="11"/>
      <c r="AW13" s="11"/>
      <c r="AX13" s="11"/>
    </row>
    <row r="14" spans="1:50" ht="13.5" thickBot="1" x14ac:dyDescent="0.35">
      <c r="A14" s="124" t="str">
        <f>+Model!D12</f>
        <v>CO2 fixation efficiency</v>
      </c>
      <c r="B14" s="125"/>
      <c r="C14" s="147">
        <f>+Model!H12</f>
        <v>1.8</v>
      </c>
      <c r="L14" s="13">
        <v>12</v>
      </c>
      <c r="M14" s="14" t="s">
        <v>3</v>
      </c>
      <c r="N14" s="24">
        <f>+C6</f>
        <v>20</v>
      </c>
      <c r="O14" s="15" t="s">
        <v>103</v>
      </c>
      <c r="P14" s="29"/>
      <c r="Q14" s="22"/>
      <c r="V14" s="22"/>
      <c r="W14" s="31"/>
      <c r="X14" s="23"/>
      <c r="AI14" s="11"/>
      <c r="AJ14" s="11"/>
      <c r="AK14" s="11"/>
      <c r="AL14" s="11"/>
      <c r="AM14" s="11"/>
      <c r="AN14" s="11"/>
      <c r="AO14" s="11"/>
      <c r="AR14" s="11"/>
      <c r="AS14" s="11"/>
      <c r="AT14" s="11"/>
      <c r="AU14" s="11"/>
      <c r="AV14" s="11"/>
      <c r="AW14" s="11"/>
      <c r="AX14" s="11"/>
    </row>
    <row r="15" spans="1:50" ht="13.5" thickBot="1" x14ac:dyDescent="0.35">
      <c r="A15" s="124" t="str">
        <f>+Model!D13</f>
        <v>Dilution rate</v>
      </c>
      <c r="B15" s="125" t="str">
        <f>+Model!E13</f>
        <v>1/day</v>
      </c>
      <c r="C15" s="147">
        <f>+Model!H13</f>
        <v>0.25</v>
      </c>
      <c r="I15" s="32"/>
      <c r="J15" s="32"/>
      <c r="K15" s="32"/>
      <c r="L15" s="282">
        <v>13</v>
      </c>
      <c r="M15" s="283" t="s">
        <v>273</v>
      </c>
      <c r="N15" s="284">
        <v>30000</v>
      </c>
      <c r="O15" s="285" t="s">
        <v>274</v>
      </c>
      <c r="P15" s="34"/>
      <c r="Q15" s="22"/>
      <c r="U15" s="26"/>
      <c r="X15" s="23"/>
      <c r="AI15" s="11"/>
      <c r="AJ15" s="11"/>
      <c r="AK15" s="11"/>
      <c r="AL15" s="11"/>
      <c r="AM15" s="11"/>
      <c r="AN15" s="11"/>
      <c r="AO15" s="11"/>
      <c r="AR15" s="11"/>
      <c r="AS15" s="11"/>
      <c r="AT15" s="11"/>
      <c r="AU15" s="11"/>
      <c r="AV15" s="11"/>
      <c r="AW15" s="11"/>
      <c r="AX15" s="11"/>
    </row>
    <row r="16" spans="1:50" ht="13.5" thickBot="1" x14ac:dyDescent="0.35">
      <c r="A16" s="124" t="str">
        <f>+Model!D14</f>
        <v>Total culture volume</v>
      </c>
      <c r="B16" s="125" t="str">
        <f>+Model!E14</f>
        <v>m3</v>
      </c>
      <c r="C16" s="147">
        <f>+Model!H14</f>
        <v>2000</v>
      </c>
      <c r="L16" s="17">
        <v>14</v>
      </c>
      <c r="M16" s="18" t="s">
        <v>275</v>
      </c>
      <c r="N16" s="131">
        <f>+C10*C12</f>
        <v>1</v>
      </c>
      <c r="O16" s="19" t="s">
        <v>276</v>
      </c>
      <c r="P16" s="29"/>
      <c r="Q16" s="22"/>
      <c r="U16" s="35"/>
      <c r="V16" s="36" t="s">
        <v>102</v>
      </c>
      <c r="W16" s="36"/>
      <c r="X16" s="37"/>
      <c r="AI16" s="11"/>
      <c r="AJ16" s="11"/>
      <c r="AK16" s="11"/>
      <c r="AL16" s="11"/>
      <c r="AM16" s="11"/>
      <c r="AN16" s="11"/>
      <c r="AO16" s="11"/>
      <c r="AR16" s="11"/>
      <c r="AS16" s="11"/>
      <c r="AT16" s="11"/>
      <c r="AU16" s="11"/>
      <c r="AV16" s="11"/>
      <c r="AW16" s="11"/>
      <c r="AX16" s="11"/>
    </row>
    <row r="17" spans="1:24" ht="13.5" thickBot="1" x14ac:dyDescent="0.35">
      <c r="A17" s="124" t="str">
        <f>+Model!D15</f>
        <v>Total biomass production</v>
      </c>
      <c r="B17" s="125" t="str">
        <f>+Model!E15</f>
        <v>ton/ha/year</v>
      </c>
      <c r="C17" s="147">
        <f>+Model!H15</f>
        <v>73</v>
      </c>
      <c r="P17" s="34"/>
      <c r="Q17" s="38"/>
      <c r="R17" s="38"/>
      <c r="U17" s="39"/>
      <c r="V17" s="40" t="s">
        <v>104</v>
      </c>
      <c r="W17" s="41">
        <f>+O95</f>
        <v>2.4197500197110617</v>
      </c>
      <c r="X17" s="42"/>
    </row>
    <row r="18" spans="1:24" ht="13.5" thickBot="1" x14ac:dyDescent="0.35">
      <c r="A18" s="124" t="str">
        <f>+Model!D16</f>
        <v>Total CO2 consumption</v>
      </c>
      <c r="B18" s="125" t="str">
        <f>+Model!E16</f>
        <v>ton/ha/year</v>
      </c>
      <c r="C18" s="147">
        <f>+Model!H16</f>
        <v>73</v>
      </c>
      <c r="I18" s="22"/>
      <c r="J18" s="22"/>
      <c r="K18" s="22"/>
      <c r="M18" s="47"/>
      <c r="N18" s="47"/>
      <c r="O18" s="47"/>
      <c r="Q18" s="38"/>
      <c r="R18" s="38"/>
      <c r="U18" s="43"/>
      <c r="V18" s="44" t="s">
        <v>105</v>
      </c>
      <c r="W18" s="44" t="s">
        <v>84</v>
      </c>
      <c r="X18" s="45"/>
    </row>
    <row r="19" spans="1:24" ht="13.5" thickBot="1" x14ac:dyDescent="0.35">
      <c r="A19" s="124" t="str">
        <f>+Model!D17</f>
        <v>Total water evaporation</v>
      </c>
      <c r="B19" s="125" t="str">
        <f>+Model!E17</f>
        <v>ton/ha/year</v>
      </c>
      <c r="C19" s="147">
        <f>+Model!H17</f>
        <v>21900</v>
      </c>
      <c r="H19" s="22"/>
      <c r="I19" s="22"/>
      <c r="J19" s="22"/>
      <c r="K19" s="22"/>
      <c r="L19" s="29"/>
      <c r="M19" s="47"/>
      <c r="N19" s="47"/>
      <c r="O19" s="47"/>
      <c r="Q19" s="38"/>
      <c r="R19" s="38"/>
      <c r="U19" s="46"/>
      <c r="V19" s="47" t="s">
        <v>56</v>
      </c>
      <c r="W19" s="48">
        <f>+P88</f>
        <v>0.26253699791590168</v>
      </c>
      <c r="X19" s="49"/>
    </row>
    <row r="20" spans="1:24" ht="15" thickBot="1" x14ac:dyDescent="0.4">
      <c r="A20" s="124" t="str">
        <f>+Model!D18</f>
        <v>Water cost</v>
      </c>
      <c r="B20" s="125" t="str">
        <f>+Model!E18</f>
        <v>€/kg</v>
      </c>
      <c r="C20" s="147">
        <f>+Model!H18</f>
        <v>0</v>
      </c>
      <c r="E20" s="50" t="s">
        <v>106</v>
      </c>
      <c r="F20" s="51"/>
      <c r="G20" s="52">
        <v>0.85</v>
      </c>
      <c r="O20" s="53"/>
      <c r="Q20" s="198" t="s">
        <v>182</v>
      </c>
      <c r="U20" s="46"/>
      <c r="V20" s="47" t="s">
        <v>62</v>
      </c>
      <c r="W20" s="48">
        <f>+P89</f>
        <v>4.1326582988081076E-2</v>
      </c>
      <c r="X20" s="49"/>
    </row>
    <row r="21" spans="1:24" ht="13.5" thickBot="1" x14ac:dyDescent="0.35">
      <c r="A21" s="124" t="str">
        <f>+Model!D19</f>
        <v>CO2 cost</v>
      </c>
      <c r="B21" s="125" t="str">
        <f>+Model!E19</f>
        <v>€/kg</v>
      </c>
      <c r="C21" s="147">
        <f>+Model!H19</f>
        <v>0.1</v>
      </c>
      <c r="E21" s="50" t="s">
        <v>107</v>
      </c>
      <c r="F21" s="51"/>
      <c r="G21" s="51"/>
      <c r="H21" s="51"/>
      <c r="I21" s="51"/>
      <c r="J21" s="54"/>
      <c r="L21" s="50" t="s">
        <v>107</v>
      </c>
      <c r="M21" s="51"/>
      <c r="N21" s="55"/>
      <c r="O21" s="55"/>
      <c r="P21" s="55"/>
      <c r="Q21" s="55"/>
      <c r="R21" s="56"/>
      <c r="S21" s="54"/>
      <c r="U21" s="46"/>
      <c r="V21" s="47" t="s">
        <v>64</v>
      </c>
      <c r="W21" s="48">
        <f>+P90</f>
        <v>0.19888418063014016</v>
      </c>
      <c r="X21" s="49"/>
    </row>
    <row r="22" spans="1:24" ht="13.5" thickBot="1" x14ac:dyDescent="0.35">
      <c r="A22" s="124" t="str">
        <f>+Model!D20</f>
        <v>Nutrients cost</v>
      </c>
      <c r="B22" s="125" t="str">
        <f>+Model!E20</f>
        <v>€/kg</v>
      </c>
      <c r="C22" s="147">
        <f>+Model!H20</f>
        <v>0</v>
      </c>
      <c r="E22" s="57" t="s">
        <v>108</v>
      </c>
      <c r="F22" s="9" t="s">
        <v>109</v>
      </c>
      <c r="G22" s="9"/>
      <c r="H22" s="9" t="s">
        <v>110</v>
      </c>
      <c r="I22" s="9" t="s">
        <v>111</v>
      </c>
      <c r="J22" s="10"/>
      <c r="L22" s="58" t="s">
        <v>112</v>
      </c>
      <c r="M22" s="8" t="s">
        <v>113</v>
      </c>
      <c r="N22" s="8" t="s">
        <v>111</v>
      </c>
      <c r="O22" s="8"/>
      <c r="P22" s="8" t="s">
        <v>114</v>
      </c>
      <c r="Q22" s="8" t="s">
        <v>115</v>
      </c>
      <c r="R22" s="59" t="s">
        <v>116</v>
      </c>
      <c r="S22" s="60" t="s">
        <v>117</v>
      </c>
      <c r="T22" s="61"/>
      <c r="U22" s="62"/>
      <c r="V22" s="63" t="s">
        <v>67</v>
      </c>
      <c r="W22" s="64">
        <f>+P91</f>
        <v>0.49725223846587713</v>
      </c>
      <c r="X22" s="65"/>
    </row>
    <row r="23" spans="1:24" ht="13" x14ac:dyDescent="0.3">
      <c r="A23" s="124" t="str">
        <f>+Model!D21</f>
        <v>Fertilizers usage</v>
      </c>
      <c r="B23" s="125" t="str">
        <f>+Model!E21</f>
        <v>kg/kg algae biomass</v>
      </c>
      <c r="C23" s="147">
        <f>+Model!H21</f>
        <v>0.3</v>
      </c>
      <c r="E23" s="66">
        <v>1</v>
      </c>
      <c r="F23" s="6">
        <v>100</v>
      </c>
      <c r="G23" s="6" t="str">
        <f>+O23</f>
        <v>m3/h</v>
      </c>
      <c r="H23" s="6">
        <v>10000</v>
      </c>
      <c r="I23" s="133">
        <f>+N12*N10/N9</f>
        <v>50</v>
      </c>
      <c r="J23" s="68" t="str">
        <f>+G23</f>
        <v>m3/h</v>
      </c>
      <c r="K23" s="27"/>
      <c r="L23" s="33">
        <v>1</v>
      </c>
      <c r="M23" s="6" t="s">
        <v>144</v>
      </c>
      <c r="N23" s="69">
        <f>+IF(I23/F23&lt;1,F23,IF(I23/F23&lt;10,I23,I23/(1+INT(I23/(F23*10)))))</f>
        <v>100</v>
      </c>
      <c r="O23" s="22" t="s">
        <v>36</v>
      </c>
      <c r="P23" s="70">
        <f t="shared" ref="P23:P32" si="0">H23*(N23/F23)^$G$20</f>
        <v>10000</v>
      </c>
      <c r="Q23" s="29">
        <f>+IF(E23=1,ROUNDUP(I23/N23,0),0)</f>
        <v>1</v>
      </c>
      <c r="R23" s="132">
        <f>Q23*P23</f>
        <v>10000</v>
      </c>
      <c r="S23" s="72">
        <f t="shared" ref="S23:S32" si="1">R23/R$33</f>
        <v>8.1919793832892204E-2</v>
      </c>
      <c r="X23" s="26"/>
    </row>
    <row r="24" spans="1:24" ht="13" x14ac:dyDescent="0.3">
      <c r="A24" s="124" t="str">
        <f>+Model!D22</f>
        <v>Power cost</v>
      </c>
      <c r="B24" s="125" t="str">
        <f>+Model!E22</f>
        <v>€/kWh</v>
      </c>
      <c r="C24" s="147">
        <f>+Model!H22</f>
        <v>0.1</v>
      </c>
      <c r="D24" s="199" t="s">
        <v>183</v>
      </c>
      <c r="E24" s="66">
        <v>0</v>
      </c>
      <c r="F24" s="6">
        <v>10</v>
      </c>
      <c r="G24" s="6" t="str">
        <f t="shared" ref="G24:G32" si="2">+O24</f>
        <v>m3/h</v>
      </c>
      <c r="H24" s="6">
        <v>20000</v>
      </c>
      <c r="I24" s="133">
        <f>+IF(E24&gt;0,N10*N12/N9,0)</f>
        <v>0</v>
      </c>
      <c r="J24" s="73" t="str">
        <f>+G24</f>
        <v>m3/h</v>
      </c>
      <c r="L24" s="33">
        <v>2</v>
      </c>
      <c r="M24" s="6" t="s">
        <v>145</v>
      </c>
      <c r="N24" s="69">
        <f t="shared" ref="N24:N32" si="3">+IF(I24/F24&lt;1,F24,IF(I24/F24&lt;10,I24,I24/(1+INT(I24/(F24*10)))))</f>
        <v>10</v>
      </c>
      <c r="O24" s="22" t="s">
        <v>36</v>
      </c>
      <c r="P24" s="70">
        <f t="shared" si="0"/>
        <v>20000</v>
      </c>
      <c r="Q24" s="29">
        <f t="shared" ref="Q24:Q32" si="4">+IF(E24=1,ROUNDUP(I24/N24,0),0)</f>
        <v>0</v>
      </c>
      <c r="R24" s="132">
        <f t="shared" ref="R24:R32" si="5">Q24*P24</f>
        <v>0</v>
      </c>
      <c r="S24" s="72">
        <f t="shared" si="1"/>
        <v>0</v>
      </c>
      <c r="U24" s="26"/>
      <c r="V24" s="26"/>
      <c r="W24" s="26"/>
    </row>
    <row r="25" spans="1:24" ht="13" x14ac:dyDescent="0.3">
      <c r="A25" s="124" t="str">
        <f>+Model!D23</f>
        <v>Power for harvesting and others</v>
      </c>
      <c r="B25" s="125" t="str">
        <f>+Model!E23</f>
        <v>kWh/m3 harvest</v>
      </c>
      <c r="C25" s="147">
        <f>+Model!H23</f>
        <v>0.1</v>
      </c>
      <c r="E25" s="66">
        <v>0</v>
      </c>
      <c r="F25" s="6">
        <v>200</v>
      </c>
      <c r="G25" s="6" t="str">
        <f t="shared" si="2"/>
        <v>m3/h</v>
      </c>
      <c r="H25" s="6">
        <v>2500</v>
      </c>
      <c r="I25" s="133">
        <f>+N6*N12*60</f>
        <v>1200</v>
      </c>
      <c r="J25" s="73" t="str">
        <f t="shared" ref="J25:J31" si="6">+G25</f>
        <v>m3/h</v>
      </c>
      <c r="L25" s="33">
        <v>3</v>
      </c>
      <c r="M25" s="6" t="s">
        <v>118</v>
      </c>
      <c r="N25" s="69">
        <f t="shared" si="3"/>
        <v>1200</v>
      </c>
      <c r="O25" s="22" t="s">
        <v>36</v>
      </c>
      <c r="P25" s="70">
        <f t="shared" si="0"/>
        <v>11464.855133854493</v>
      </c>
      <c r="Q25" s="29">
        <f t="shared" si="4"/>
        <v>0</v>
      </c>
      <c r="R25" s="132">
        <f t="shared" si="5"/>
        <v>0</v>
      </c>
      <c r="S25" s="72">
        <f t="shared" si="1"/>
        <v>0</v>
      </c>
      <c r="U25" s="26"/>
      <c r="V25" s="74"/>
      <c r="W25" s="74"/>
    </row>
    <row r="26" spans="1:24" x14ac:dyDescent="0.25">
      <c r="A26" s="124" t="str">
        <f>+Model!D24</f>
        <v>Photobioreactor cost</v>
      </c>
      <c r="B26" s="125" t="str">
        <f>+Model!E24</f>
        <v>€/m3</v>
      </c>
      <c r="C26" s="147">
        <f>+Model!H24</f>
        <v>20</v>
      </c>
      <c r="E26" s="66">
        <v>1</v>
      </c>
      <c r="F26" s="6">
        <f>1000*0.2</f>
        <v>200</v>
      </c>
      <c r="G26" s="6" t="str">
        <f t="shared" si="2"/>
        <v>m3</v>
      </c>
      <c r="H26" s="6">
        <f>+F26*F6</f>
        <v>4000</v>
      </c>
      <c r="I26" s="133">
        <f>+N12</f>
        <v>2000</v>
      </c>
      <c r="J26" s="73" t="str">
        <f t="shared" si="6"/>
        <v>m3</v>
      </c>
      <c r="L26" s="33">
        <v>4</v>
      </c>
      <c r="M26" s="22" t="s">
        <v>146</v>
      </c>
      <c r="N26" s="69">
        <f t="shared" si="3"/>
        <v>1000</v>
      </c>
      <c r="O26" s="22" t="s">
        <v>37</v>
      </c>
      <c r="P26" s="70">
        <f t="shared" si="0"/>
        <v>15710.300604635284</v>
      </c>
      <c r="Q26" s="29">
        <f t="shared" si="4"/>
        <v>2</v>
      </c>
      <c r="R26" s="132">
        <f t="shared" si="5"/>
        <v>31420.601209270568</v>
      </c>
      <c r="S26" s="72">
        <f t="shared" si="1"/>
        <v>0.25739691731689684</v>
      </c>
    </row>
    <row r="27" spans="1:24" ht="13" thickBot="1" x14ac:dyDescent="0.3">
      <c r="A27" s="126"/>
      <c r="B27" s="127"/>
      <c r="C27" s="128"/>
      <c r="E27" s="66">
        <v>1</v>
      </c>
      <c r="F27" s="6">
        <v>25</v>
      </c>
      <c r="G27" s="6" t="str">
        <f t="shared" si="2"/>
        <v>m3/h</v>
      </c>
      <c r="H27" s="6">
        <v>20000</v>
      </c>
      <c r="I27" s="133">
        <f>+N12*N10/N9</f>
        <v>50</v>
      </c>
      <c r="J27" s="73" t="str">
        <f t="shared" si="6"/>
        <v>m3/h</v>
      </c>
      <c r="L27" s="33">
        <v>5</v>
      </c>
      <c r="M27" s="22" t="s">
        <v>179</v>
      </c>
      <c r="N27" s="69">
        <f t="shared" si="3"/>
        <v>50</v>
      </c>
      <c r="O27" s="22" t="s">
        <v>36</v>
      </c>
      <c r="P27" s="70">
        <f t="shared" si="0"/>
        <v>36050.01850443321</v>
      </c>
      <c r="Q27" s="29">
        <f t="shared" si="4"/>
        <v>1</v>
      </c>
      <c r="R27" s="132">
        <f t="shared" si="5"/>
        <v>36050.01850443321</v>
      </c>
      <c r="S27" s="72">
        <f t="shared" si="1"/>
        <v>0.29532100835551173</v>
      </c>
    </row>
    <row r="28" spans="1:24" ht="13" thickBot="1" x14ac:dyDescent="0.3">
      <c r="A28" s="135" t="str">
        <f>+Model!D26</f>
        <v>Equipment Capacity</v>
      </c>
      <c r="B28" s="136"/>
      <c r="C28" s="137"/>
      <c r="E28" s="66">
        <v>1</v>
      </c>
      <c r="F28" s="6">
        <v>5</v>
      </c>
      <c r="G28" s="6" t="str">
        <f t="shared" si="2"/>
        <v>m3</v>
      </c>
      <c r="H28" s="6">
        <v>600</v>
      </c>
      <c r="I28" s="133">
        <f>+IF(E27&gt;0,I27/20,I23)</f>
        <v>2.5</v>
      </c>
      <c r="J28" s="73" t="str">
        <f t="shared" si="6"/>
        <v>m3</v>
      </c>
      <c r="L28" s="33">
        <v>6</v>
      </c>
      <c r="M28" s="6" t="s">
        <v>147</v>
      </c>
      <c r="N28" s="69">
        <f t="shared" si="3"/>
        <v>5</v>
      </c>
      <c r="O28" s="22" t="s">
        <v>37</v>
      </c>
      <c r="P28" s="70">
        <f t="shared" si="0"/>
        <v>600</v>
      </c>
      <c r="Q28" s="29">
        <f t="shared" si="4"/>
        <v>1</v>
      </c>
      <c r="R28" s="132">
        <f t="shared" si="5"/>
        <v>600</v>
      </c>
      <c r="S28" s="72">
        <f t="shared" si="1"/>
        <v>4.9151876299735322E-3</v>
      </c>
    </row>
    <row r="29" spans="1:24" ht="13" thickBot="1" x14ac:dyDescent="0.3">
      <c r="A29" s="135" t="str">
        <f>+Model!D27</f>
        <v xml:space="preserve">Medium preparation unit </v>
      </c>
      <c r="B29" s="136" t="str">
        <f>+Model!E27</f>
        <v>m3/h</v>
      </c>
      <c r="C29" s="138">
        <f>+I23</f>
        <v>50</v>
      </c>
      <c r="E29" s="66">
        <v>1</v>
      </c>
      <c r="F29" s="6">
        <v>20</v>
      </c>
      <c r="G29" s="6" t="str">
        <f t="shared" si="2"/>
        <v>m3/h</v>
      </c>
      <c r="H29" s="6">
        <v>40000</v>
      </c>
      <c r="I29" s="133">
        <f>+IF(E27=1,I27/20,I27)</f>
        <v>2.5</v>
      </c>
      <c r="J29" s="73" t="str">
        <f t="shared" si="6"/>
        <v>m3/h</v>
      </c>
      <c r="L29" s="33">
        <v>7</v>
      </c>
      <c r="M29" s="6" t="s">
        <v>180</v>
      </c>
      <c r="N29" s="69">
        <f t="shared" si="3"/>
        <v>20</v>
      </c>
      <c r="O29" s="22" t="s">
        <v>36</v>
      </c>
      <c r="P29" s="70">
        <f t="shared" si="0"/>
        <v>40000</v>
      </c>
      <c r="Q29" s="29">
        <f t="shared" si="4"/>
        <v>1</v>
      </c>
      <c r="R29" s="132">
        <f t="shared" si="5"/>
        <v>40000</v>
      </c>
      <c r="S29" s="72">
        <f t="shared" si="1"/>
        <v>0.32767917533156882</v>
      </c>
    </row>
    <row r="30" spans="1:24" ht="13" thickBot="1" x14ac:dyDescent="0.3">
      <c r="A30" s="135" t="str">
        <f>+Model!D28</f>
        <v xml:space="preserve">Sterilization process </v>
      </c>
      <c r="B30" s="136" t="str">
        <f>+Model!E28</f>
        <v>m3/h</v>
      </c>
      <c r="C30" s="138">
        <f>+I24</f>
        <v>0</v>
      </c>
      <c r="E30" s="66">
        <v>1</v>
      </c>
      <c r="F30" s="6">
        <v>10</v>
      </c>
      <c r="G30" s="6" t="str">
        <f t="shared" si="2"/>
        <v>m3/h</v>
      </c>
      <c r="H30" s="6">
        <v>1000</v>
      </c>
      <c r="I30" s="133">
        <f>+IF(E27=1,I27/20,I27)</f>
        <v>2.5</v>
      </c>
      <c r="J30" s="73" t="str">
        <f t="shared" si="6"/>
        <v>m3/h</v>
      </c>
      <c r="L30" s="33">
        <v>8</v>
      </c>
      <c r="M30" s="6" t="s">
        <v>148</v>
      </c>
      <c r="N30" s="69">
        <f t="shared" si="3"/>
        <v>10</v>
      </c>
      <c r="O30" s="69" t="str">
        <f>+O23</f>
        <v>m3/h</v>
      </c>
      <c r="P30" s="70">
        <f t="shared" si="0"/>
        <v>1000</v>
      </c>
      <c r="Q30" s="29">
        <f t="shared" si="4"/>
        <v>1</v>
      </c>
      <c r="R30" s="132">
        <f t="shared" si="5"/>
        <v>1000</v>
      </c>
      <c r="S30" s="72">
        <f t="shared" si="1"/>
        <v>8.1919793832892201E-3</v>
      </c>
    </row>
    <row r="31" spans="1:24" ht="13" thickBot="1" x14ac:dyDescent="0.3">
      <c r="A31" s="135" t="str">
        <f>+Model!D29</f>
        <v xml:space="preserve">Air blower </v>
      </c>
      <c r="B31" s="136" t="str">
        <f>+Model!E29</f>
        <v>m3/h</v>
      </c>
      <c r="C31" s="138">
        <f>+I25</f>
        <v>1200</v>
      </c>
      <c r="E31" s="66">
        <v>1</v>
      </c>
      <c r="F31" s="6">
        <v>100</v>
      </c>
      <c r="G31" s="6" t="str">
        <f t="shared" si="2"/>
        <v>Kg/h</v>
      </c>
      <c r="H31" s="6">
        <v>3000</v>
      </c>
      <c r="I31" s="133">
        <f>+N4*N12*C7/N9</f>
        <v>20</v>
      </c>
      <c r="J31" s="73" t="str">
        <f t="shared" si="6"/>
        <v>Kg/h</v>
      </c>
      <c r="L31" s="33">
        <v>9</v>
      </c>
      <c r="M31" s="6" t="s">
        <v>119</v>
      </c>
      <c r="N31" s="69">
        <f t="shared" si="3"/>
        <v>100</v>
      </c>
      <c r="O31" s="22" t="s">
        <v>38</v>
      </c>
      <c r="P31" s="70">
        <f t="shared" si="0"/>
        <v>3000</v>
      </c>
      <c r="Q31" s="29">
        <f t="shared" si="4"/>
        <v>1</v>
      </c>
      <c r="R31" s="132">
        <f t="shared" si="5"/>
        <v>3000</v>
      </c>
      <c r="S31" s="72">
        <f t="shared" si="1"/>
        <v>2.4575938149867659E-2</v>
      </c>
    </row>
    <row r="32" spans="1:24" ht="13" thickBot="1" x14ac:dyDescent="0.3">
      <c r="A32" s="135" t="str">
        <f>+Model!D30</f>
        <v xml:space="preserve">Photobioreactors </v>
      </c>
      <c r="B32" s="136" t="str">
        <f>+Model!E30</f>
        <v>m3</v>
      </c>
      <c r="C32" s="138">
        <f>+I26</f>
        <v>2000</v>
      </c>
      <c r="E32" s="75">
        <v>0</v>
      </c>
      <c r="F32" s="76">
        <v>80</v>
      </c>
      <c r="G32" s="76" t="str">
        <f t="shared" si="2"/>
        <v>Kg/day</v>
      </c>
      <c r="H32" s="76">
        <v>120000</v>
      </c>
      <c r="I32" s="134">
        <f>+N4*N12*4</f>
        <v>800</v>
      </c>
      <c r="J32" s="77" t="str">
        <f>+G32</f>
        <v>Kg/day</v>
      </c>
      <c r="L32" s="33">
        <v>10</v>
      </c>
      <c r="M32" s="6" t="s">
        <v>191</v>
      </c>
      <c r="N32" s="69">
        <f t="shared" si="3"/>
        <v>400</v>
      </c>
      <c r="O32" s="22" t="s">
        <v>120</v>
      </c>
      <c r="P32" s="70">
        <f t="shared" si="0"/>
        <v>471309.01813905855</v>
      </c>
      <c r="Q32" s="29">
        <f t="shared" si="4"/>
        <v>0</v>
      </c>
      <c r="R32" s="132">
        <f t="shared" si="5"/>
        <v>0</v>
      </c>
      <c r="S32" s="72">
        <f t="shared" si="1"/>
        <v>0</v>
      </c>
    </row>
    <row r="33" spans="1:20" ht="13.5" thickBot="1" x14ac:dyDescent="0.35">
      <c r="A33" s="135" t="str">
        <f>+Model!D31</f>
        <v xml:space="preserve">Sedimenter </v>
      </c>
      <c r="B33" s="136" t="str">
        <f>+Model!E31</f>
        <v>m3/h</v>
      </c>
      <c r="C33" s="138">
        <f t="shared" ref="C33:C37" si="7">+I27</f>
        <v>50</v>
      </c>
      <c r="L33" s="58"/>
      <c r="M33" s="8" t="s">
        <v>121</v>
      </c>
      <c r="N33" s="8"/>
      <c r="O33" s="8"/>
      <c r="P33" s="59"/>
      <c r="Q33" s="8"/>
      <c r="R33" s="78">
        <f>SUM(R23:R32)</f>
        <v>122070.61971370378</v>
      </c>
      <c r="S33" s="79">
        <f>R33/R$33</f>
        <v>1</v>
      </c>
      <c r="T33" s="80"/>
    </row>
    <row r="34" spans="1:20" ht="13" thickBot="1" x14ac:dyDescent="0.3">
      <c r="A34" s="135" t="str">
        <f>+Model!D32</f>
        <v xml:space="preserve">Harvest storage tank </v>
      </c>
      <c r="B34" s="136" t="str">
        <f>+Model!E32</f>
        <v>m3</v>
      </c>
      <c r="C34" s="138">
        <f t="shared" si="7"/>
        <v>2.5</v>
      </c>
    </row>
    <row r="35" spans="1:20" ht="13.5" thickBot="1" x14ac:dyDescent="0.35">
      <c r="A35" s="135" t="str">
        <f>+Model!D33</f>
        <v>Decanter</v>
      </c>
      <c r="B35" s="136" t="str">
        <f>+Model!E33</f>
        <v>m3/h</v>
      </c>
      <c r="C35" s="138">
        <f t="shared" si="7"/>
        <v>2.5</v>
      </c>
      <c r="N35" s="69"/>
      <c r="O35" s="22"/>
      <c r="P35" s="25"/>
      <c r="Q35" s="22"/>
      <c r="R35" s="81"/>
      <c r="S35" s="82"/>
      <c r="T35" s="82"/>
    </row>
    <row r="36" spans="1:20" ht="13.5" thickBot="1" x14ac:dyDescent="0.35">
      <c r="A36" s="135" t="str">
        <f>+Model!D34</f>
        <v>Harvest pump</v>
      </c>
      <c r="B36" s="136" t="str">
        <f>+Model!E34</f>
        <v>m3/h</v>
      </c>
      <c r="C36" s="138">
        <f t="shared" si="7"/>
        <v>2.5</v>
      </c>
      <c r="G36" s="35" t="s">
        <v>122</v>
      </c>
      <c r="H36" s="51"/>
      <c r="I36" s="51"/>
      <c r="J36" s="54"/>
      <c r="L36" s="58" t="s">
        <v>123</v>
      </c>
      <c r="M36" s="9"/>
      <c r="N36" s="9"/>
      <c r="O36" s="9"/>
      <c r="P36" s="9"/>
      <c r="Q36" s="10"/>
    </row>
    <row r="37" spans="1:20" ht="13.5" thickBot="1" x14ac:dyDescent="0.35">
      <c r="A37" s="135" t="str">
        <f>+Model!D35</f>
        <v>CO2 supply unit</v>
      </c>
      <c r="B37" s="136" t="str">
        <f>+Model!E35</f>
        <v>Kg/h</v>
      </c>
      <c r="C37" s="138">
        <f t="shared" si="7"/>
        <v>20</v>
      </c>
      <c r="G37" s="43" t="s">
        <v>124</v>
      </c>
      <c r="H37" s="44" t="s">
        <v>125</v>
      </c>
      <c r="I37" s="44" t="s">
        <v>126</v>
      </c>
      <c r="J37" s="45" t="s">
        <v>127</v>
      </c>
      <c r="L37" s="58" t="s">
        <v>112</v>
      </c>
      <c r="M37" s="8" t="s">
        <v>113</v>
      </c>
      <c r="N37" s="8" t="s">
        <v>128</v>
      </c>
      <c r="O37" s="8"/>
      <c r="P37" s="83" t="s">
        <v>129</v>
      </c>
      <c r="Q37" s="60" t="s">
        <v>117</v>
      </c>
    </row>
    <row r="38" spans="1:20" ht="13" thickBot="1" x14ac:dyDescent="0.3">
      <c r="A38" s="135"/>
      <c r="B38" s="136"/>
      <c r="C38" s="137"/>
      <c r="G38" s="33"/>
      <c r="J38" s="68">
        <v>1</v>
      </c>
      <c r="L38" s="33">
        <v>1</v>
      </c>
      <c r="M38" s="6" t="s">
        <v>42</v>
      </c>
      <c r="N38" s="27">
        <v>1</v>
      </c>
      <c r="P38" s="71">
        <f>R33*N38</f>
        <v>122070.61971370378</v>
      </c>
      <c r="Q38" s="84">
        <f>P38/P$51</f>
        <v>0.30546803047960019</v>
      </c>
    </row>
    <row r="39" spans="1:20" ht="13" thickBot="1" x14ac:dyDescent="0.3">
      <c r="A39" s="135" t="str">
        <f>+Model!D37</f>
        <v>Equipment Costs</v>
      </c>
      <c r="B39" s="136"/>
      <c r="C39" s="137"/>
      <c r="G39" s="33">
        <v>0.5</v>
      </c>
      <c r="H39" s="6">
        <v>0.2</v>
      </c>
      <c r="I39" s="6">
        <v>1.5</v>
      </c>
      <c r="J39" s="85">
        <f>0.4/2</f>
        <v>0.2</v>
      </c>
      <c r="L39" s="33">
        <v>2</v>
      </c>
      <c r="M39" s="6" t="s">
        <v>43</v>
      </c>
      <c r="N39" s="29">
        <f t="shared" ref="N39:N45" si="8">+H39</f>
        <v>0.2</v>
      </c>
      <c r="P39" s="67">
        <f t="shared" ref="P39:P47" si="9">P$38*N39</f>
        <v>24414.123942740756</v>
      </c>
      <c r="Q39" s="72">
        <f t="shared" ref="Q39:Q51" si="10">P39/P$51</f>
        <v>6.1093606095920037E-2</v>
      </c>
    </row>
    <row r="40" spans="1:20" ht="13" thickBot="1" x14ac:dyDescent="0.3">
      <c r="A40" s="135" t="str">
        <f>+Model!D38</f>
        <v xml:space="preserve">Medium preparation unit </v>
      </c>
      <c r="B40" s="136" t="str">
        <f>+Model!E38</f>
        <v>€</v>
      </c>
      <c r="C40" s="138">
        <f>+R23</f>
        <v>10000</v>
      </c>
      <c r="G40" s="33">
        <v>0.35</v>
      </c>
      <c r="H40" s="6">
        <v>0.2</v>
      </c>
      <c r="I40" s="6">
        <v>0.6</v>
      </c>
      <c r="J40" s="68">
        <v>0.15</v>
      </c>
      <c r="L40" s="33">
        <v>3</v>
      </c>
      <c r="M40" s="6" t="s">
        <v>44</v>
      </c>
      <c r="N40" s="29">
        <f t="shared" si="8"/>
        <v>0.2</v>
      </c>
      <c r="P40" s="67">
        <f t="shared" si="9"/>
        <v>24414.123942740756</v>
      </c>
      <c r="Q40" s="72">
        <f t="shared" si="10"/>
        <v>6.1093606095920037E-2</v>
      </c>
    </row>
    <row r="41" spans="1:20" ht="13" thickBot="1" x14ac:dyDescent="0.3">
      <c r="A41" s="135" t="str">
        <f>+Model!D39</f>
        <v xml:space="preserve">Sterilization process </v>
      </c>
      <c r="B41" s="136" t="str">
        <f>+Model!E39</f>
        <v>€</v>
      </c>
      <c r="C41" s="138">
        <f t="shared" ref="C41:C48" si="11">+R24</f>
        <v>0</v>
      </c>
      <c r="G41" s="33">
        <v>0.4</v>
      </c>
      <c r="H41" s="6">
        <v>0.3</v>
      </c>
      <c r="I41" s="6">
        <v>0.6</v>
      </c>
      <c r="J41" s="85">
        <f>0.4/2</f>
        <v>0.2</v>
      </c>
      <c r="L41" s="33">
        <v>4</v>
      </c>
      <c r="M41" s="6" t="s">
        <v>45</v>
      </c>
      <c r="N41" s="29">
        <f t="shared" si="8"/>
        <v>0.3</v>
      </c>
      <c r="P41" s="67">
        <f t="shared" si="9"/>
        <v>36621.185914111134</v>
      </c>
      <c r="Q41" s="72">
        <f t="shared" si="10"/>
        <v>9.1640409143880053E-2</v>
      </c>
    </row>
    <row r="42" spans="1:20" ht="13" thickBot="1" x14ac:dyDescent="0.3">
      <c r="A42" s="135" t="str">
        <f>+Model!D40</f>
        <v xml:space="preserve">Air blower </v>
      </c>
      <c r="B42" s="136" t="str">
        <f>+Model!E40</f>
        <v>€</v>
      </c>
      <c r="C42" s="138">
        <f t="shared" si="11"/>
        <v>0</v>
      </c>
      <c r="G42" s="33">
        <v>0.15</v>
      </c>
      <c r="H42" s="6">
        <v>0.1</v>
      </c>
      <c r="I42" s="6">
        <v>0.2</v>
      </c>
      <c r="J42" s="68">
        <v>0.1</v>
      </c>
      <c r="L42" s="33">
        <v>5</v>
      </c>
      <c r="M42" s="6" t="s">
        <v>46</v>
      </c>
      <c r="N42" s="29">
        <f t="shared" si="8"/>
        <v>0.1</v>
      </c>
      <c r="P42" s="67">
        <f t="shared" si="9"/>
        <v>12207.061971370378</v>
      </c>
      <c r="Q42" s="72">
        <f t="shared" si="10"/>
        <v>3.0546803047960019E-2</v>
      </c>
    </row>
    <row r="43" spans="1:20" ht="13" thickBot="1" x14ac:dyDescent="0.3">
      <c r="A43" s="135" t="str">
        <f>+Model!D41</f>
        <v xml:space="preserve">Photobioreactors </v>
      </c>
      <c r="B43" s="136" t="str">
        <f>+Model!E41</f>
        <v>€</v>
      </c>
      <c r="C43" s="138">
        <f t="shared" si="11"/>
        <v>31420.601209270568</v>
      </c>
      <c r="G43" s="33">
        <v>0.45</v>
      </c>
      <c r="H43" s="6">
        <v>0.1</v>
      </c>
      <c r="I43" s="6">
        <v>2</v>
      </c>
      <c r="J43" s="85">
        <f>0.45/2</f>
        <v>0.22500000000000001</v>
      </c>
      <c r="L43" s="33">
        <v>6</v>
      </c>
      <c r="M43" s="6" t="s">
        <v>47</v>
      </c>
      <c r="N43" s="29">
        <f t="shared" si="8"/>
        <v>0.1</v>
      </c>
      <c r="P43" s="67">
        <f t="shared" si="9"/>
        <v>12207.061971370378</v>
      </c>
      <c r="Q43" s="72">
        <f t="shared" si="10"/>
        <v>3.0546803047960019E-2</v>
      </c>
    </row>
    <row r="44" spans="1:20" ht="13" thickBot="1" x14ac:dyDescent="0.3">
      <c r="A44" s="135" t="str">
        <f>+Model!D42</f>
        <v xml:space="preserve">Sedimenter </v>
      </c>
      <c r="B44" s="136" t="str">
        <f>+Model!E42</f>
        <v>€</v>
      </c>
      <c r="C44" s="138">
        <f t="shared" si="11"/>
        <v>36050.01850443321</v>
      </c>
      <c r="G44" s="33">
        <v>0.15</v>
      </c>
      <c r="H44" s="6">
        <v>0.05</v>
      </c>
      <c r="I44" s="6">
        <v>0.2</v>
      </c>
      <c r="J44" s="68">
        <v>0.12</v>
      </c>
      <c r="L44" s="33">
        <v>7</v>
      </c>
      <c r="M44" s="6" t="s">
        <v>48</v>
      </c>
      <c r="N44" s="29">
        <f t="shared" si="8"/>
        <v>0.05</v>
      </c>
      <c r="P44" s="67">
        <f t="shared" si="9"/>
        <v>6103.5309856851891</v>
      </c>
      <c r="Q44" s="72">
        <f t="shared" si="10"/>
        <v>1.5273401523980009E-2</v>
      </c>
    </row>
    <row r="45" spans="1:20" ht="13" thickBot="1" x14ac:dyDescent="0.3">
      <c r="A45" s="135" t="str">
        <f>+Model!D43</f>
        <v xml:space="preserve">Harvest storage tank </v>
      </c>
      <c r="B45" s="136" t="str">
        <f>+Model!E43</f>
        <v>€</v>
      </c>
      <c r="C45" s="138">
        <f t="shared" si="11"/>
        <v>600</v>
      </c>
      <c r="G45" s="33">
        <v>0.5</v>
      </c>
      <c r="H45" s="6">
        <v>0.2</v>
      </c>
      <c r="I45" s="6">
        <v>1</v>
      </c>
      <c r="J45" s="68">
        <v>0.2</v>
      </c>
      <c r="L45" s="33">
        <v>8</v>
      </c>
      <c r="M45" s="6" t="s">
        <v>49</v>
      </c>
      <c r="N45" s="29">
        <f t="shared" si="8"/>
        <v>0.2</v>
      </c>
      <c r="P45" s="67">
        <f t="shared" si="9"/>
        <v>24414.123942740756</v>
      </c>
      <c r="Q45" s="72">
        <f t="shared" si="10"/>
        <v>6.1093606095920037E-2</v>
      </c>
    </row>
    <row r="46" spans="1:20" ht="13" thickBot="1" x14ac:dyDescent="0.3">
      <c r="A46" s="135" t="str">
        <f>+Model!D44</f>
        <v>Decanter</v>
      </c>
      <c r="B46" s="136" t="str">
        <f>+Model!E44</f>
        <v>€</v>
      </c>
      <c r="C46" s="138">
        <f t="shared" si="11"/>
        <v>40000</v>
      </c>
      <c r="G46" s="33"/>
      <c r="J46" s="68">
        <v>0.06</v>
      </c>
      <c r="L46" s="33">
        <v>9</v>
      </c>
      <c r="M46" s="6" t="s">
        <v>50</v>
      </c>
      <c r="N46" s="29"/>
      <c r="P46" s="67">
        <f t="shared" si="9"/>
        <v>0</v>
      </c>
      <c r="Q46" s="72">
        <f t="shared" si="10"/>
        <v>0</v>
      </c>
    </row>
    <row r="47" spans="1:20" ht="13" thickBot="1" x14ac:dyDescent="0.3">
      <c r="A47" s="135" t="str">
        <f>+Model!D45</f>
        <v>Harvest pump</v>
      </c>
      <c r="B47" s="136" t="str">
        <f>+Model!E45</f>
        <v>€</v>
      </c>
      <c r="C47" s="138">
        <f t="shared" si="11"/>
        <v>1000</v>
      </c>
      <c r="G47" s="33">
        <v>0.25</v>
      </c>
      <c r="H47" s="6">
        <v>0.2</v>
      </c>
      <c r="I47" s="6">
        <v>0.3</v>
      </c>
      <c r="J47" s="68">
        <v>0.3</v>
      </c>
      <c r="L47" s="33">
        <v>10</v>
      </c>
      <c r="M47" s="6" t="s">
        <v>51</v>
      </c>
      <c r="N47" s="29">
        <f>+H47</f>
        <v>0.2</v>
      </c>
      <c r="P47" s="67">
        <f t="shared" si="9"/>
        <v>24414.123942740756</v>
      </c>
      <c r="Q47" s="72">
        <f t="shared" si="10"/>
        <v>6.1093606095920037E-2</v>
      </c>
    </row>
    <row r="48" spans="1:20" ht="13" thickBot="1" x14ac:dyDescent="0.3">
      <c r="A48" s="135" t="str">
        <f>+Model!D46</f>
        <v>CO2 supply unit</v>
      </c>
      <c r="B48" s="136" t="str">
        <f>+Model!E46</f>
        <v>€</v>
      </c>
      <c r="C48" s="138">
        <f t="shared" si="11"/>
        <v>3000</v>
      </c>
      <c r="G48" s="33">
        <v>0.35</v>
      </c>
      <c r="H48" s="6">
        <v>0.3</v>
      </c>
      <c r="I48" s="6">
        <v>0.4</v>
      </c>
      <c r="J48" s="85">
        <f>0.1/2</f>
        <v>0.05</v>
      </c>
      <c r="L48" s="33">
        <v>11</v>
      </c>
      <c r="M48" s="6" t="s">
        <v>52</v>
      </c>
      <c r="N48" s="29">
        <f>+H48</f>
        <v>0.3</v>
      </c>
      <c r="P48" s="67">
        <f>N$48*SUM(P38:P46)</f>
        <v>78735.549715338915</v>
      </c>
      <c r="Q48" s="72">
        <f t="shared" si="10"/>
        <v>0.19702687965934207</v>
      </c>
    </row>
    <row r="49" spans="1:20" ht="13" thickBot="1" x14ac:dyDescent="0.3">
      <c r="A49" s="135"/>
      <c r="B49" s="136"/>
      <c r="C49" s="137"/>
      <c r="G49" s="33">
        <v>0.05</v>
      </c>
      <c r="H49" s="6">
        <v>0.03</v>
      </c>
      <c r="I49" s="6">
        <v>0.08</v>
      </c>
      <c r="J49" s="85">
        <f>0.05/2</f>
        <v>2.5000000000000001E-2</v>
      </c>
      <c r="L49" s="33">
        <v>12</v>
      </c>
      <c r="M49" s="6" t="s">
        <v>53</v>
      </c>
      <c r="N49" s="29">
        <f>+H49</f>
        <v>0.03</v>
      </c>
      <c r="P49" s="67">
        <f>N$49*SUM(P38:P46)</f>
        <v>7873.5549715338911</v>
      </c>
      <c r="Q49" s="72">
        <f t="shared" si="10"/>
        <v>1.9702687965934204E-2</v>
      </c>
    </row>
    <row r="50" spans="1:20" ht="13" thickBot="1" x14ac:dyDescent="0.3">
      <c r="A50" s="135" t="str">
        <f>+Model!D48</f>
        <v>Fix Capital Costs</v>
      </c>
      <c r="B50" s="136"/>
      <c r="C50" s="137"/>
      <c r="G50" s="86">
        <v>0.1</v>
      </c>
      <c r="H50" s="76">
        <v>7.0000000000000007E-2</v>
      </c>
      <c r="I50" s="76">
        <v>0.15</v>
      </c>
      <c r="J50" s="87">
        <v>0.08</v>
      </c>
      <c r="L50" s="33">
        <v>13</v>
      </c>
      <c r="M50" s="6" t="s">
        <v>54</v>
      </c>
      <c r="N50" s="29">
        <f>+H50</f>
        <v>7.0000000000000007E-2</v>
      </c>
      <c r="P50" s="67">
        <f>N$50*SUM(P38:P49)</f>
        <v>26143.254270985362</v>
      </c>
      <c r="Q50" s="72">
        <f t="shared" si="10"/>
        <v>6.5420560747663559E-2</v>
      </c>
    </row>
    <row r="51" spans="1:20" ht="15" thickBot="1" x14ac:dyDescent="0.4">
      <c r="A51" s="135" t="str">
        <f>+Model!D49</f>
        <v>Major purchased equipment</v>
      </c>
      <c r="B51" s="136" t="str">
        <f>+Model!E49</f>
        <v>€</v>
      </c>
      <c r="C51" s="139">
        <f>+P38</f>
        <v>122070.61971370378</v>
      </c>
      <c r="G51" s="200" t="s">
        <v>184</v>
      </c>
      <c r="L51" s="88"/>
      <c r="M51" s="8" t="s">
        <v>130</v>
      </c>
      <c r="N51" s="89"/>
      <c r="O51" s="89"/>
      <c r="P51" s="78">
        <f>SUM(P38:P50)</f>
        <v>399618.31528506195</v>
      </c>
      <c r="Q51" s="90">
        <f t="shared" si="10"/>
        <v>1</v>
      </c>
    </row>
    <row r="52" spans="1:20" ht="13" thickBot="1" x14ac:dyDescent="0.3">
      <c r="A52" s="135" t="str">
        <f>+Model!D50</f>
        <v>Installation costs</v>
      </c>
      <c r="B52" s="136" t="str">
        <f>+Model!E50</f>
        <v>€</v>
      </c>
      <c r="C52" s="139">
        <f t="shared" ref="C52:C63" si="12">+P39</f>
        <v>24414.123942740756</v>
      </c>
      <c r="R52" s="11"/>
    </row>
    <row r="53" spans="1:20" ht="13.5" thickBot="1" x14ac:dyDescent="0.35">
      <c r="A53" s="135" t="str">
        <f>+Model!D51</f>
        <v>Instrumentation and control</v>
      </c>
      <c r="B53" s="136" t="str">
        <f>+Model!E51</f>
        <v>€</v>
      </c>
      <c r="C53" s="139">
        <f t="shared" si="12"/>
        <v>24414.123942740756</v>
      </c>
      <c r="L53" s="50" t="s">
        <v>131</v>
      </c>
      <c r="M53" s="55"/>
      <c r="N53" s="91"/>
      <c r="O53" s="91"/>
      <c r="P53" s="91"/>
      <c r="Q53" s="54"/>
      <c r="R53" s="92"/>
      <c r="S53" s="11"/>
      <c r="T53" s="11"/>
    </row>
    <row r="54" spans="1:20" ht="13.5" thickBot="1" x14ac:dyDescent="0.35">
      <c r="A54" s="135" t="str">
        <f>+Model!D52</f>
        <v>Piping</v>
      </c>
      <c r="B54" s="136" t="str">
        <f>+Model!E52</f>
        <v>€</v>
      </c>
      <c r="C54" s="139">
        <f t="shared" si="12"/>
        <v>36621.185914111134</v>
      </c>
      <c r="H54" s="26"/>
      <c r="I54" s="93"/>
      <c r="J54" s="61"/>
      <c r="L54" s="58" t="s">
        <v>112</v>
      </c>
      <c r="M54" s="94" t="s">
        <v>113</v>
      </c>
      <c r="N54" s="83"/>
      <c r="O54" s="8"/>
      <c r="P54" s="8" t="s">
        <v>129</v>
      </c>
      <c r="Q54" s="95" t="s">
        <v>117</v>
      </c>
      <c r="S54" s="11"/>
      <c r="T54" s="11"/>
    </row>
    <row r="55" spans="1:20" ht="13" thickBot="1" x14ac:dyDescent="0.3">
      <c r="A55" s="135" t="str">
        <f>+Model!D53</f>
        <v>Electrical</v>
      </c>
      <c r="B55" s="136" t="str">
        <f>+Model!E53</f>
        <v>€</v>
      </c>
      <c r="C55" s="139">
        <f t="shared" si="12"/>
        <v>12207.061971370378</v>
      </c>
      <c r="L55" s="33"/>
      <c r="M55" s="6" t="s">
        <v>55</v>
      </c>
      <c r="N55" s="6">
        <v>10</v>
      </c>
      <c r="Q55" s="96"/>
      <c r="S55" s="11"/>
      <c r="T55" s="11"/>
    </row>
    <row r="56" spans="1:20" ht="13" thickBot="1" x14ac:dyDescent="0.3">
      <c r="A56" s="135" t="str">
        <f>+Model!D54</f>
        <v>Buildings</v>
      </c>
      <c r="B56" s="136" t="str">
        <f>+Model!E54</f>
        <v>€</v>
      </c>
      <c r="C56" s="139">
        <f t="shared" si="12"/>
        <v>12207.061971370378</v>
      </c>
      <c r="L56" s="33"/>
      <c r="M56" s="6" t="s">
        <v>56</v>
      </c>
      <c r="P56" s="97">
        <f>+(P51-P44)/N55</f>
        <v>39351.478429937677</v>
      </c>
      <c r="Q56" s="96">
        <f t="shared" ref="Q56:Q60" si="13">+P56/P$60</f>
        <v>0.84854948922699214</v>
      </c>
      <c r="S56" s="11"/>
      <c r="T56" s="11"/>
    </row>
    <row r="57" spans="1:20" ht="13" thickBot="1" x14ac:dyDescent="0.3">
      <c r="A57" s="135" t="str">
        <f>+Model!D55</f>
        <v>Yard improvements</v>
      </c>
      <c r="B57" s="136" t="str">
        <f>+Model!E55</f>
        <v>€</v>
      </c>
      <c r="C57" s="139">
        <f t="shared" si="12"/>
        <v>6103.5309856851891</v>
      </c>
      <c r="L57" s="33"/>
      <c r="M57" s="6" t="s">
        <v>57</v>
      </c>
      <c r="N57" s="98">
        <v>0.01</v>
      </c>
      <c r="P57" s="97">
        <f>0.01*P56</f>
        <v>393.5147842993768</v>
      </c>
      <c r="Q57" s="96">
        <f t="shared" si="13"/>
        <v>8.4854948922699226E-3</v>
      </c>
      <c r="S57" s="11"/>
      <c r="T57" s="11"/>
    </row>
    <row r="58" spans="1:20" ht="13" thickBot="1" x14ac:dyDescent="0.3">
      <c r="A58" s="135" t="str">
        <f>+Model!D56</f>
        <v>Service facilities</v>
      </c>
      <c r="B58" s="136" t="str">
        <f>+Model!E56</f>
        <v>€</v>
      </c>
      <c r="C58" s="139">
        <f t="shared" si="12"/>
        <v>24414.123942740756</v>
      </c>
      <c r="L58" s="33"/>
      <c r="M58" s="6" t="s">
        <v>58</v>
      </c>
      <c r="N58" s="98">
        <v>6.0000000000000001E-3</v>
      </c>
      <c r="P58" s="97">
        <f>0.006*P56</f>
        <v>236.10887057962606</v>
      </c>
      <c r="Q58" s="96">
        <f t="shared" si="13"/>
        <v>5.0912969353619532E-3</v>
      </c>
      <c r="S58" s="11"/>
      <c r="T58" s="11"/>
    </row>
    <row r="59" spans="1:20" ht="15" thickBot="1" x14ac:dyDescent="0.4">
      <c r="A59" s="135" t="str">
        <f>+Model!D57</f>
        <v>Land</v>
      </c>
      <c r="B59" s="136" t="str">
        <f>+Model!E57</f>
        <v>€</v>
      </c>
      <c r="C59" s="139">
        <f t="shared" si="12"/>
        <v>0</v>
      </c>
      <c r="L59" s="33"/>
      <c r="M59" s="6" t="s">
        <v>59</v>
      </c>
      <c r="N59" s="98">
        <v>0.16</v>
      </c>
      <c r="P59" s="209">
        <f>0.16*(P51/N55)</f>
        <v>6393.8930445609922</v>
      </c>
      <c r="Q59" s="96">
        <f t="shared" si="13"/>
        <v>0.13787371894537587</v>
      </c>
      <c r="R59" s="210" t="s">
        <v>192</v>
      </c>
      <c r="S59" s="11"/>
      <c r="T59" s="11"/>
    </row>
    <row r="60" spans="1:20" ht="13.5" thickBot="1" x14ac:dyDescent="0.35">
      <c r="A60" s="135" t="str">
        <f>+Model!D58</f>
        <v>Engineering and supervision</v>
      </c>
      <c r="B60" s="136" t="str">
        <f>+Model!E58</f>
        <v>€</v>
      </c>
      <c r="C60" s="139">
        <f t="shared" si="12"/>
        <v>24414.123942740756</v>
      </c>
      <c r="L60" s="58"/>
      <c r="M60" s="8" t="s">
        <v>132</v>
      </c>
      <c r="N60" s="8"/>
      <c r="O60" s="8"/>
      <c r="P60" s="99">
        <f>SUM(P55:P59)</f>
        <v>46374.995129377676</v>
      </c>
      <c r="Q60" s="100">
        <f t="shared" si="13"/>
        <v>1</v>
      </c>
    </row>
    <row r="61" spans="1:20" ht="13" thickBot="1" x14ac:dyDescent="0.3">
      <c r="A61" s="135" t="str">
        <f>+Model!D59</f>
        <v>Construction expenses</v>
      </c>
      <c r="B61" s="136" t="str">
        <f>+Model!E59</f>
        <v>€</v>
      </c>
      <c r="C61" s="139">
        <f t="shared" si="12"/>
        <v>78735.549715338915</v>
      </c>
      <c r="Q61" s="16"/>
      <c r="S61" s="11"/>
      <c r="T61" s="11"/>
    </row>
    <row r="62" spans="1:20" ht="13.5" thickBot="1" x14ac:dyDescent="0.35">
      <c r="A62" s="135" t="str">
        <f>+Model!D60</f>
        <v>Contractor's fee</v>
      </c>
      <c r="B62" s="136" t="str">
        <f>+Model!E60</f>
        <v>€</v>
      </c>
      <c r="C62" s="139">
        <f t="shared" si="12"/>
        <v>7873.5549715338911</v>
      </c>
      <c r="L62" s="50" t="s">
        <v>133</v>
      </c>
      <c r="M62" s="55"/>
      <c r="N62" s="51"/>
      <c r="O62" s="51"/>
      <c r="P62" s="51"/>
      <c r="Q62" s="101"/>
    </row>
    <row r="63" spans="1:20" ht="13.5" thickBot="1" x14ac:dyDescent="0.35">
      <c r="A63" s="135" t="str">
        <f>+Model!D61</f>
        <v>Contingency</v>
      </c>
      <c r="B63" s="136" t="str">
        <f>+Model!E61</f>
        <v>€</v>
      </c>
      <c r="C63" s="139">
        <f t="shared" si="12"/>
        <v>26143.254270985362</v>
      </c>
      <c r="L63" s="58" t="s">
        <v>112</v>
      </c>
      <c r="M63" s="8" t="s">
        <v>62</v>
      </c>
      <c r="N63" s="8" t="s">
        <v>134</v>
      </c>
      <c r="O63" s="8" t="s">
        <v>135</v>
      </c>
      <c r="P63" s="8" t="s">
        <v>129</v>
      </c>
      <c r="Q63" s="102" t="s">
        <v>117</v>
      </c>
    </row>
    <row r="64" spans="1:20" ht="13.5" thickBot="1" x14ac:dyDescent="0.35">
      <c r="A64" s="135" t="str">
        <f>+Model!D62</f>
        <v>Total fix capital</v>
      </c>
      <c r="B64" s="136" t="str">
        <f>+Model!E62</f>
        <v>€</v>
      </c>
      <c r="C64" s="139">
        <f>+P51</f>
        <v>399618.31528506195</v>
      </c>
      <c r="H64" s="26"/>
      <c r="I64" s="93"/>
      <c r="J64" s="61"/>
      <c r="L64" s="33"/>
      <c r="M64" s="22" t="s">
        <v>151</v>
      </c>
      <c r="N64" s="103">
        <f>+N3*F10*1000</f>
        <v>21900</v>
      </c>
      <c r="O64" s="67">
        <f>+F9</f>
        <v>0</v>
      </c>
      <c r="P64" s="67">
        <f>N64*O64</f>
        <v>0</v>
      </c>
      <c r="Q64" s="96">
        <f>+P64/P$81</f>
        <v>0</v>
      </c>
    </row>
    <row r="65" spans="1:18" ht="13" thickBot="1" x14ac:dyDescent="0.3">
      <c r="A65" s="135"/>
      <c r="B65" s="136"/>
      <c r="C65" s="139"/>
      <c r="L65" s="33"/>
      <c r="M65" s="22" t="s">
        <v>65</v>
      </c>
      <c r="N65" s="103">
        <f>+(N12*N10*N8)*0.1+N12</f>
        <v>20250</v>
      </c>
      <c r="O65" s="67">
        <f>+O68</f>
        <v>0</v>
      </c>
      <c r="P65" s="67">
        <f>N65*O65</f>
        <v>0</v>
      </c>
      <c r="Q65" s="96">
        <f>+P65/P$81</f>
        <v>0</v>
      </c>
    </row>
    <row r="66" spans="1:18" ht="13" thickBot="1" x14ac:dyDescent="0.3">
      <c r="A66" s="135" t="str">
        <f>+Model!D64</f>
        <v>Fix Capital Costs per annun</v>
      </c>
      <c r="B66" s="136"/>
      <c r="C66" s="137"/>
      <c r="L66" s="33"/>
      <c r="M66" s="22" t="s">
        <v>63</v>
      </c>
      <c r="N66" s="103">
        <f>+N3*C7*1000</f>
        <v>73000</v>
      </c>
      <c r="O66" s="67">
        <f>+F8</f>
        <v>0.1</v>
      </c>
      <c r="P66" s="67">
        <f t="shared" ref="P66" si="14">N66*O66</f>
        <v>7300</v>
      </c>
      <c r="Q66" s="96">
        <f>+P66/P$81</f>
        <v>1</v>
      </c>
    </row>
    <row r="67" spans="1:18" ht="13.5" thickBot="1" x14ac:dyDescent="0.35">
      <c r="A67" s="135" t="str">
        <f>+Model!D65</f>
        <v>Lifetime</v>
      </c>
      <c r="B67" s="136" t="str">
        <f>+Model!E65</f>
        <v>€</v>
      </c>
      <c r="C67" s="137">
        <f>+N55</f>
        <v>10</v>
      </c>
      <c r="L67" s="58" t="str">
        <f>+L63</f>
        <v>Item</v>
      </c>
      <c r="M67" s="8" t="s">
        <v>64</v>
      </c>
      <c r="N67" s="8" t="s">
        <v>134</v>
      </c>
      <c r="O67" s="8" t="s">
        <v>135</v>
      </c>
      <c r="P67" s="8" t="s">
        <v>129</v>
      </c>
      <c r="Q67" s="102" t="s">
        <v>117</v>
      </c>
    </row>
    <row r="68" spans="1:18" ht="13" thickBot="1" x14ac:dyDescent="0.3">
      <c r="A68" s="135" t="str">
        <f>+Model!D66</f>
        <v>Depreciation</v>
      </c>
      <c r="B68" s="136" t="str">
        <f>+Model!E66</f>
        <v>€</v>
      </c>
      <c r="C68" s="139">
        <f>+P56</f>
        <v>39351.478429937677</v>
      </c>
      <c r="L68" s="33"/>
      <c r="M68" s="6" t="s">
        <v>153</v>
      </c>
      <c r="N68" s="103">
        <f>+C8*C11*C12*10</f>
        <v>21900</v>
      </c>
      <c r="O68" s="67">
        <f>+F7</f>
        <v>0</v>
      </c>
      <c r="P68" s="67">
        <f>+O68*N68</f>
        <v>0</v>
      </c>
      <c r="Q68" s="96">
        <f>+P68/P$82</f>
        <v>0</v>
      </c>
    </row>
    <row r="69" spans="1:18" ht="13" thickBot="1" x14ac:dyDescent="0.3">
      <c r="A69" s="135" t="str">
        <f>+Model!D67</f>
        <v>Property tax (@ 0.01 depreciation)</v>
      </c>
      <c r="B69" s="136" t="str">
        <f>+Model!E67</f>
        <v>€</v>
      </c>
      <c r="C69" s="139">
        <f t="shared" ref="C69:C71" si="15">+P57</f>
        <v>393.5147842993768</v>
      </c>
      <c r="L69" s="33"/>
      <c r="M69" s="6" t="s">
        <v>142</v>
      </c>
      <c r="N69" s="103">
        <f>+N7*N5*N13*10000*24*N8/1000</f>
        <v>350400</v>
      </c>
      <c r="O69" s="67">
        <f>+O70</f>
        <v>0.1</v>
      </c>
      <c r="P69" s="67">
        <f>N69*O69</f>
        <v>35040</v>
      </c>
      <c r="Q69" s="96">
        <f>+P69/P$82</f>
        <v>0.9974025974025974</v>
      </c>
      <c r="R69" s="6" t="s">
        <v>186</v>
      </c>
    </row>
    <row r="70" spans="1:18" ht="13" thickBot="1" x14ac:dyDescent="0.3">
      <c r="A70" s="135" t="str">
        <f>+Model!D68</f>
        <v>Insurance (@ 0.006 depreciation)</v>
      </c>
      <c r="B70" s="136" t="str">
        <f>+Model!E68</f>
        <v>€</v>
      </c>
      <c r="C70" s="139">
        <f t="shared" si="15"/>
        <v>236.10887057962606</v>
      </c>
      <c r="L70" s="33"/>
      <c r="M70" s="6" t="s">
        <v>143</v>
      </c>
      <c r="N70" s="103">
        <f>+I30*N9*N8*F12</f>
        <v>912.5</v>
      </c>
      <c r="O70" s="67">
        <f>+F11</f>
        <v>0.1</v>
      </c>
      <c r="P70" s="67">
        <f>N70*O70</f>
        <v>91.25</v>
      </c>
      <c r="Q70" s="96">
        <f>+P70/P$82</f>
        <v>2.5974025974025974E-3</v>
      </c>
      <c r="R70" s="6" t="s">
        <v>185</v>
      </c>
    </row>
    <row r="71" spans="1:18" ht="13.5" thickBot="1" x14ac:dyDescent="0.35">
      <c r="A71" s="135" t="str">
        <f>+Model!D69</f>
        <v>Purchase tax (@ 0.16 of items 1-12/10)</v>
      </c>
      <c r="B71" s="136" t="str">
        <f>+Model!E69</f>
        <v>€</v>
      </c>
      <c r="C71" s="139">
        <f t="shared" si="15"/>
        <v>6393.8930445609922</v>
      </c>
      <c r="L71" s="58" t="str">
        <f>+L67</f>
        <v>Item</v>
      </c>
      <c r="M71" s="8" t="s">
        <v>66</v>
      </c>
      <c r="N71" s="8" t="s">
        <v>134</v>
      </c>
      <c r="O71" s="8" t="s">
        <v>135</v>
      </c>
      <c r="P71" s="8" t="s">
        <v>129</v>
      </c>
      <c r="Q71" s="102" t="s">
        <v>117</v>
      </c>
    </row>
    <row r="72" spans="1:18" ht="13" thickBot="1" x14ac:dyDescent="0.3">
      <c r="A72" s="135"/>
      <c r="B72" s="136"/>
      <c r="C72" s="137"/>
      <c r="L72" s="33">
        <f>+L70+1</f>
        <v>1</v>
      </c>
      <c r="M72" s="6" t="s">
        <v>67</v>
      </c>
      <c r="N72" s="27">
        <f>+N16</f>
        <v>1</v>
      </c>
      <c r="O72" s="67">
        <f>+N15</f>
        <v>30000</v>
      </c>
      <c r="P72" s="67">
        <f t="shared" ref="P72:P80" si="16">N72*O72</f>
        <v>30000</v>
      </c>
      <c r="Q72" s="96">
        <f>+P72/P$83</f>
        <v>0.34154752742337313</v>
      </c>
    </row>
    <row r="73" spans="1:18" ht="13" thickBot="1" x14ac:dyDescent="0.3">
      <c r="A73" s="135" t="str">
        <f>+Model!D71</f>
        <v>Direct Production Costs</v>
      </c>
      <c r="B73" s="136"/>
      <c r="C73" s="137"/>
      <c r="L73" s="33">
        <f t="shared" ref="L73:L80" si="17">+L72+1</f>
        <v>2</v>
      </c>
      <c r="M73" s="6" t="s">
        <v>68</v>
      </c>
      <c r="N73" s="27">
        <v>0.2</v>
      </c>
      <c r="O73" s="71">
        <f>O72</f>
        <v>30000</v>
      </c>
      <c r="P73" s="67">
        <f t="shared" si="16"/>
        <v>6000</v>
      </c>
      <c r="Q73" s="96">
        <f t="shared" ref="Q73:Q80" si="18">+P73/P$83</f>
        <v>6.8309505484674626E-2</v>
      </c>
    </row>
    <row r="74" spans="1:18" ht="13" thickBot="1" x14ac:dyDescent="0.3">
      <c r="A74" s="135" t="str">
        <f>+Model!D72</f>
        <v>Raw materials</v>
      </c>
      <c r="B74" s="136"/>
      <c r="C74" s="137"/>
      <c r="L74" s="33">
        <f t="shared" si="17"/>
        <v>3</v>
      </c>
      <c r="M74" s="6" t="s">
        <v>69</v>
      </c>
      <c r="N74" s="27">
        <v>0.25</v>
      </c>
      <c r="O74" s="67">
        <f>+P72+P73</f>
        <v>36000</v>
      </c>
      <c r="P74" s="67">
        <f t="shared" si="16"/>
        <v>9000</v>
      </c>
      <c r="Q74" s="96">
        <f t="shared" si="18"/>
        <v>0.10246425822701194</v>
      </c>
    </row>
    <row r="75" spans="1:18" ht="13" thickBot="1" x14ac:dyDescent="0.3">
      <c r="A75" s="135" t="str">
        <f>+Model!D73</f>
        <v>Fertilizers (kg)</v>
      </c>
      <c r="B75" s="136" t="str">
        <f>+Model!E73</f>
        <v>€</v>
      </c>
      <c r="C75" s="139">
        <f>+P64</f>
        <v>0</v>
      </c>
      <c r="L75" s="33">
        <f t="shared" si="17"/>
        <v>4</v>
      </c>
      <c r="M75" s="6" t="s">
        <v>70</v>
      </c>
      <c r="N75" s="27">
        <v>0.04</v>
      </c>
      <c r="O75" s="67">
        <f>+P38</f>
        <v>122070.61971370378</v>
      </c>
      <c r="P75" s="67">
        <f t="shared" si="16"/>
        <v>4882.8247885481514</v>
      </c>
      <c r="Q75" s="96">
        <f t="shared" si="18"/>
        <v>5.5590557779005859E-2</v>
      </c>
    </row>
    <row r="76" spans="1:18" ht="13" thickBot="1" x14ac:dyDescent="0.3">
      <c r="A76" s="135" t="str">
        <f>+Model!D74</f>
        <v>Water (m3)</v>
      </c>
      <c r="B76" s="136" t="str">
        <f>+Model!E74</f>
        <v>€</v>
      </c>
      <c r="C76" s="139">
        <f t="shared" ref="C76:C77" si="19">+P65</f>
        <v>0</v>
      </c>
      <c r="L76" s="33">
        <f t="shared" si="17"/>
        <v>5</v>
      </c>
      <c r="M76" s="6" t="s">
        <v>193</v>
      </c>
      <c r="N76" s="27">
        <v>4.0000000000000001E-3</v>
      </c>
      <c r="O76" s="67">
        <f>SUM(P64:P66)</f>
        <v>7300</v>
      </c>
      <c r="P76" s="67">
        <f t="shared" si="16"/>
        <v>29.2</v>
      </c>
      <c r="Q76" s="96">
        <f t="shared" si="18"/>
        <v>3.3243959335874985E-4</v>
      </c>
    </row>
    <row r="77" spans="1:18" ht="13" thickBot="1" x14ac:dyDescent="0.3">
      <c r="A77" s="135" t="str">
        <f>+Model!D75</f>
        <v>Carbon dioxide (kg)</v>
      </c>
      <c r="B77" s="136" t="str">
        <f>+Model!E75</f>
        <v>€</v>
      </c>
      <c r="C77" s="139">
        <f t="shared" si="19"/>
        <v>7300</v>
      </c>
      <c r="L77" s="33">
        <f t="shared" si="17"/>
        <v>6</v>
      </c>
      <c r="M77" s="6" t="s">
        <v>72</v>
      </c>
      <c r="N77" s="27">
        <v>0.55000000000000004</v>
      </c>
      <c r="O77" s="67">
        <f>P72+P73+P75</f>
        <v>40882.824788548154</v>
      </c>
      <c r="P77" s="67">
        <f t="shared" si="16"/>
        <v>22485.553633701486</v>
      </c>
      <c r="Q77" s="96">
        <f t="shared" si="18"/>
        <v>0.25599617487787951</v>
      </c>
    </row>
    <row r="78" spans="1:18" ht="13" thickBot="1" x14ac:dyDescent="0.3">
      <c r="A78" s="135" t="str">
        <f>+Model!D76</f>
        <v>Utilities</v>
      </c>
      <c r="B78" s="136"/>
      <c r="C78" s="139"/>
      <c r="L78" s="33">
        <f t="shared" si="17"/>
        <v>7</v>
      </c>
      <c r="M78" s="6" t="s">
        <v>194</v>
      </c>
      <c r="N78" s="27">
        <v>0.16</v>
      </c>
      <c r="O78" s="67">
        <f>SUM(P64:P66)+SUM(P68:P70)+P75+P76</f>
        <v>47343.274788548151</v>
      </c>
      <c r="P78" s="67">
        <f t="shared" si="16"/>
        <v>7574.9239661677047</v>
      </c>
      <c r="Q78" s="96">
        <f t="shared" si="18"/>
        <v>8.6239885035487684E-2</v>
      </c>
    </row>
    <row r="79" spans="1:18" ht="13" thickBot="1" x14ac:dyDescent="0.3">
      <c r="A79" s="135" t="str">
        <f>+Model!D77</f>
        <v>Water (m3)</v>
      </c>
      <c r="B79" s="136" t="str">
        <f>+Model!E77</f>
        <v>€</v>
      </c>
      <c r="C79" s="139">
        <f>+P68</f>
        <v>0</v>
      </c>
      <c r="L79" s="33">
        <f t="shared" si="17"/>
        <v>8</v>
      </c>
      <c r="M79" s="6" t="s">
        <v>195</v>
      </c>
      <c r="N79" s="27">
        <v>0.05</v>
      </c>
      <c r="O79" s="67">
        <f>SUM(P64:P66)+SUM(P68:P70)</f>
        <v>42431.25</v>
      </c>
      <c r="P79" s="67">
        <f t="shared" si="16"/>
        <v>2121.5625</v>
      </c>
      <c r="Q79" s="96">
        <f t="shared" si="18"/>
        <v>2.4153814204971667E-2</v>
      </c>
    </row>
    <row r="80" spans="1:18" ht="13" thickBot="1" x14ac:dyDescent="0.3">
      <c r="A80" s="135" t="str">
        <f>+Model!D78</f>
        <v>Power mixing (kWh)</v>
      </c>
      <c r="B80" s="136" t="str">
        <f>+Model!E78</f>
        <v>€</v>
      </c>
      <c r="C80" s="139">
        <f t="shared" ref="C80:C94" si="20">+P69</f>
        <v>35040</v>
      </c>
      <c r="L80" s="33">
        <f t="shared" si="17"/>
        <v>9</v>
      </c>
      <c r="M80" s="6" t="s">
        <v>196</v>
      </c>
      <c r="N80" s="27">
        <v>0.05</v>
      </c>
      <c r="O80" s="67">
        <f>SUM(P64:P66)+SUM(P68:P70)+SUM(P72:P77)</f>
        <v>114828.82842224964</v>
      </c>
      <c r="P80" s="67">
        <f t="shared" si="16"/>
        <v>5741.4414211124822</v>
      </c>
      <c r="Q80" s="96">
        <f t="shared" si="18"/>
        <v>6.536583737423686E-2</v>
      </c>
    </row>
    <row r="81" spans="1:20" ht="13.5" thickBot="1" x14ac:dyDescent="0.35">
      <c r="A81" s="135" t="str">
        <f>+Model!D79</f>
        <v>Power harvesting and others (Kwh)</v>
      </c>
      <c r="B81" s="136" t="str">
        <f>+Model!E79</f>
        <v>€</v>
      </c>
      <c r="C81" s="139">
        <f t="shared" si="20"/>
        <v>91.25</v>
      </c>
      <c r="L81" s="50"/>
      <c r="M81" s="55" t="s">
        <v>76</v>
      </c>
      <c r="N81" s="55"/>
      <c r="O81" s="55"/>
      <c r="P81" s="104">
        <f>+SUM(P64:P66)</f>
        <v>7300</v>
      </c>
      <c r="Q81" s="101"/>
    </row>
    <row r="82" spans="1:20" ht="13.5" thickBot="1" x14ac:dyDescent="0.35">
      <c r="A82" s="135" t="str">
        <f>+Model!D80</f>
        <v>Labor and others</v>
      </c>
      <c r="B82" s="136"/>
      <c r="C82" s="139"/>
      <c r="L82" s="105"/>
      <c r="M82" s="26" t="s">
        <v>77</v>
      </c>
      <c r="N82" s="26"/>
      <c r="O82" s="26"/>
      <c r="P82" s="106">
        <f>+SUM(P68:P70)</f>
        <v>35131.25</v>
      </c>
      <c r="Q82" s="96"/>
      <c r="R82" s="11"/>
    </row>
    <row r="83" spans="1:20" ht="13.5" thickBot="1" x14ac:dyDescent="0.35">
      <c r="A83" s="135" t="str">
        <f>+Model!D81</f>
        <v>Labor</v>
      </c>
      <c r="B83" s="136" t="str">
        <f>+Model!E81</f>
        <v>€</v>
      </c>
      <c r="C83" s="139">
        <f t="shared" si="20"/>
        <v>30000</v>
      </c>
      <c r="L83" s="107"/>
      <c r="M83" s="108" t="s">
        <v>78</v>
      </c>
      <c r="N83" s="108"/>
      <c r="O83" s="108"/>
      <c r="P83" s="109">
        <f>+SUM(P72:P80)</f>
        <v>87835.506309529825</v>
      </c>
      <c r="Q83" s="110"/>
      <c r="R83" s="11"/>
    </row>
    <row r="84" spans="1:20" ht="13" thickBot="1" x14ac:dyDescent="0.3">
      <c r="A84" s="135" t="str">
        <f>+Model!D82</f>
        <v>Supervision (@ 0.2 labor)</v>
      </c>
      <c r="B84" s="136" t="str">
        <f>+Model!E82</f>
        <v>€</v>
      </c>
      <c r="C84" s="139">
        <f t="shared" si="20"/>
        <v>6000</v>
      </c>
    </row>
    <row r="85" spans="1:20" ht="13" thickBot="1" x14ac:dyDescent="0.3">
      <c r="A85" s="135" t="str">
        <f>+Model!D83</f>
        <v>Payroll charges (@ 0.25 (labor + supervision))</v>
      </c>
      <c r="B85" s="136" t="str">
        <f>+Model!E83</f>
        <v>€</v>
      </c>
      <c r="C85" s="139">
        <f t="shared" si="20"/>
        <v>9000</v>
      </c>
      <c r="R85" s="11"/>
    </row>
    <row r="86" spans="1:20" ht="13.5" thickBot="1" x14ac:dyDescent="0.35">
      <c r="A86" s="135" t="str">
        <f>+Model!D84</f>
        <v>Maintenance (@ 0.04 MEC)</v>
      </c>
      <c r="B86" s="136" t="str">
        <f>+Model!E84</f>
        <v>€</v>
      </c>
      <c r="C86" s="139">
        <f t="shared" si="20"/>
        <v>4882.8247885481514</v>
      </c>
      <c r="L86" s="58" t="s">
        <v>136</v>
      </c>
      <c r="M86" s="8"/>
      <c r="N86" s="8"/>
      <c r="O86" s="8"/>
      <c r="P86" s="111"/>
      <c r="R86" s="11"/>
    </row>
    <row r="87" spans="1:20" ht="13.5" thickBot="1" x14ac:dyDescent="0.35">
      <c r="A87" s="135" t="str">
        <f>+Model!D85</f>
        <v>Operating supplies (@ 0.004 items 1-5)</v>
      </c>
      <c r="B87" s="136" t="str">
        <f>+Model!E85</f>
        <v>€</v>
      </c>
      <c r="C87" s="139">
        <f t="shared" si="20"/>
        <v>29.2</v>
      </c>
      <c r="L87" s="58" t="s">
        <v>112</v>
      </c>
      <c r="M87" s="8" t="s">
        <v>137</v>
      </c>
      <c r="N87" s="8"/>
      <c r="O87" s="8" t="s">
        <v>129</v>
      </c>
      <c r="P87" s="111" t="s">
        <v>84</v>
      </c>
      <c r="S87" s="25"/>
      <c r="T87" s="25"/>
    </row>
    <row r="88" spans="1:20" ht="13" thickBot="1" x14ac:dyDescent="0.3">
      <c r="A88" s="135" t="str">
        <f>+Model!D86</f>
        <v>General plant overheads (@ 0.55 (labor + supervision + maintenance))</v>
      </c>
      <c r="B88" s="136" t="str">
        <f>+Model!E86</f>
        <v>€</v>
      </c>
      <c r="C88" s="139">
        <f t="shared" si="20"/>
        <v>22485.553633701486</v>
      </c>
      <c r="L88" s="112">
        <v>1</v>
      </c>
      <c r="M88" s="113" t="str">
        <f>+M60</f>
        <v>Total fix capital per annun</v>
      </c>
      <c r="N88" s="113"/>
      <c r="O88" s="114">
        <f>+P60</f>
        <v>46374.995129377676</v>
      </c>
      <c r="P88" s="115">
        <f>+O88/O$94</f>
        <v>0.26253699791590168</v>
      </c>
    </row>
    <row r="89" spans="1:20" ht="13" thickBot="1" x14ac:dyDescent="0.3">
      <c r="A89" s="135" t="str">
        <f>+Model!D87</f>
        <v>Tax (@ 0.16 items 1-7, 11 and 12)</v>
      </c>
      <c r="B89" s="136" t="str">
        <f>+Model!E87</f>
        <v>€</v>
      </c>
      <c r="C89" s="139">
        <f t="shared" si="20"/>
        <v>7574.9239661677047</v>
      </c>
      <c r="L89" s="33">
        <v>2</v>
      </c>
      <c r="M89" s="22" t="str">
        <f>+M81</f>
        <v>Total raw materials</v>
      </c>
      <c r="N89" s="22"/>
      <c r="O89" s="71">
        <f>+P81</f>
        <v>7300</v>
      </c>
      <c r="P89" s="116">
        <f>+O89/O$94</f>
        <v>4.1326582988081076E-2</v>
      </c>
    </row>
    <row r="90" spans="1:20" ht="13" thickBot="1" x14ac:dyDescent="0.3">
      <c r="A90" s="135" t="str">
        <f>+Model!D88</f>
        <v>Contingency (@ 0.05 items 1-7)</v>
      </c>
      <c r="B90" s="136" t="str">
        <f>+Model!E88</f>
        <v>€</v>
      </c>
      <c r="C90" s="139">
        <f t="shared" si="20"/>
        <v>2121.5625</v>
      </c>
      <c r="L90" s="33">
        <v>3</v>
      </c>
      <c r="M90" s="22" t="str">
        <f>+M82</f>
        <v>Total utilities</v>
      </c>
      <c r="N90" s="22"/>
      <c r="O90" s="71">
        <f>+P82</f>
        <v>35131.25</v>
      </c>
      <c r="P90" s="116">
        <f>+O90/O$94</f>
        <v>0.19888418063014016</v>
      </c>
    </row>
    <row r="91" spans="1:20" ht="13" thickBot="1" x14ac:dyDescent="0.3">
      <c r="A91" s="135" t="str">
        <f>+Model!D89</f>
        <v>Marketing (@ 0.05 items 1-13)</v>
      </c>
      <c r="B91" s="136" t="str">
        <f>+Model!E89</f>
        <v>€</v>
      </c>
      <c r="C91" s="139">
        <f t="shared" si="20"/>
        <v>5741.4414211124822</v>
      </c>
      <c r="L91" s="86">
        <v>4</v>
      </c>
      <c r="M91" s="190" t="str">
        <f>+M83</f>
        <v>Total labor and others</v>
      </c>
      <c r="N91" s="190"/>
      <c r="O91" s="191">
        <f>+P83</f>
        <v>87835.506309529825</v>
      </c>
      <c r="P91" s="192">
        <f>+O91/O$94</f>
        <v>0.49725223846587713</v>
      </c>
    </row>
    <row r="92" spans="1:20" ht="13.5" thickBot="1" x14ac:dyDescent="0.35">
      <c r="A92" s="135" t="str">
        <f>+Model!D90</f>
        <v>Total raw materials</v>
      </c>
      <c r="B92" s="136" t="str">
        <f>+Model!E90</f>
        <v>€</v>
      </c>
      <c r="C92" s="139">
        <f t="shared" si="20"/>
        <v>7300</v>
      </c>
      <c r="L92" s="188"/>
      <c r="M92" s="26" t="str">
        <f>+M88</f>
        <v>Total fix capital per annun</v>
      </c>
      <c r="N92" s="26"/>
      <c r="O92" s="204">
        <f>+O88</f>
        <v>46374.995129377676</v>
      </c>
      <c r="P92" s="189">
        <f>+O92/O94</f>
        <v>0.26253699791590168</v>
      </c>
    </row>
    <row r="93" spans="1:20" ht="13.5" thickBot="1" x14ac:dyDescent="0.35">
      <c r="A93" s="135" t="str">
        <f>+Model!D91</f>
        <v>Total utilities</v>
      </c>
      <c r="B93" s="136" t="str">
        <f>+Model!E91</f>
        <v>€</v>
      </c>
      <c r="C93" s="139">
        <f t="shared" si="20"/>
        <v>35131.25</v>
      </c>
      <c r="L93" s="105"/>
      <c r="M93" s="26" t="s">
        <v>138</v>
      </c>
      <c r="N93" s="26"/>
      <c r="O93" s="204">
        <f>+P83+P82+P81</f>
        <v>130266.75630952982</v>
      </c>
      <c r="P93" s="118">
        <f>+O93/O94</f>
        <v>0.73746300208409843</v>
      </c>
    </row>
    <row r="94" spans="1:20" ht="13.5" thickBot="1" x14ac:dyDescent="0.35">
      <c r="A94" s="135" t="str">
        <f>+Model!D92</f>
        <v>Total labor and others</v>
      </c>
      <c r="B94" s="136" t="str">
        <f>+Model!E92</f>
        <v>€</v>
      </c>
      <c r="C94" s="139">
        <f t="shared" si="20"/>
        <v>87835.506309529825</v>
      </c>
      <c r="L94" s="58"/>
      <c r="M94" s="8" t="s">
        <v>139</v>
      </c>
      <c r="N94" s="8"/>
      <c r="O94" s="205">
        <f>+O93+P60</f>
        <v>176641.75143890749</v>
      </c>
      <c r="P94" s="119"/>
    </row>
    <row r="95" spans="1:20" ht="13.5" thickBot="1" x14ac:dyDescent="0.35">
      <c r="A95" s="135" t="str">
        <f>+Model!D93</f>
        <v>Total fix capital per annun</v>
      </c>
      <c r="B95" s="136" t="str">
        <f>+Model!E93</f>
        <v>€</v>
      </c>
      <c r="C95" s="139">
        <f>+O92</f>
        <v>46374.995129377676</v>
      </c>
      <c r="L95" s="107"/>
      <c r="M95" s="108" t="s">
        <v>140</v>
      </c>
      <c r="N95" s="108"/>
      <c r="O95" s="143">
        <f>+O94/(N3*1000)</f>
        <v>2.4197500197110617</v>
      </c>
      <c r="P95" s="120"/>
      <c r="R95" s="212"/>
    </row>
    <row r="96" spans="1:20" ht="13" thickBot="1" x14ac:dyDescent="0.3">
      <c r="A96" s="135" t="str">
        <f>+Model!D94</f>
        <v>Total direct production costs</v>
      </c>
      <c r="B96" s="136" t="str">
        <f>+Model!E94</f>
        <v>€</v>
      </c>
      <c r="C96" s="139">
        <f t="shared" ref="C96:C98" si="21">+O93</f>
        <v>130266.75630952982</v>
      </c>
    </row>
    <row r="97" spans="1:3" ht="13" thickBot="1" x14ac:dyDescent="0.3">
      <c r="A97" s="135" t="str">
        <f>+Model!D95</f>
        <v>Total production costs</v>
      </c>
      <c r="B97" s="136" t="str">
        <f>+Model!E95</f>
        <v>€</v>
      </c>
      <c r="C97" s="139">
        <f t="shared" si="21"/>
        <v>176641.75143890749</v>
      </c>
    </row>
    <row r="98" spans="1:3" ht="13" thickBot="1" x14ac:dyDescent="0.3">
      <c r="A98" s="135" t="str">
        <f>+Model!D96</f>
        <v>Unit cost of producing biomass</v>
      </c>
      <c r="B98" s="136" t="str">
        <f>+Model!E96</f>
        <v>€/kg</v>
      </c>
      <c r="C98" s="139">
        <f t="shared" si="21"/>
        <v>2.4197500197110617</v>
      </c>
    </row>
  </sheetData>
  <pageMargins left="0.7" right="0.7" top="0.75" bottom="0.75" header="0.3" footer="0.3"/>
  <pageSetup paperSize="9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X98"/>
  <sheetViews>
    <sheetView zoomScale="70" zoomScaleNormal="70" workbookViewId="0">
      <selection activeCell="C6" sqref="C6"/>
    </sheetView>
  </sheetViews>
  <sheetFormatPr baseColWidth="10" defaultColWidth="11.453125" defaultRowHeight="12.5" x14ac:dyDescent="0.25"/>
  <cols>
    <col min="1" max="1" width="35.453125" style="6" customWidth="1"/>
    <col min="2" max="2" width="19.1796875" style="6" bestFit="1" customWidth="1"/>
    <col min="3" max="3" width="16.54296875" style="6" bestFit="1" customWidth="1"/>
    <col min="4" max="4" width="23.26953125" style="6" bestFit="1" customWidth="1"/>
    <col min="5" max="5" width="29.26953125" style="6" bestFit="1" customWidth="1"/>
    <col min="6" max="6" width="18.453125" style="6" bestFit="1" customWidth="1"/>
    <col min="7" max="7" width="12.81640625" style="6" customWidth="1"/>
    <col min="8" max="8" width="11.54296875" style="6" bestFit="1" customWidth="1"/>
    <col min="9" max="9" width="16.1796875" style="6" bestFit="1" customWidth="1"/>
    <col min="10" max="10" width="13.1796875" style="6" bestFit="1" customWidth="1"/>
    <col min="11" max="11" width="7.1796875" style="6" customWidth="1"/>
    <col min="12" max="12" width="8.7265625" style="6" customWidth="1"/>
    <col min="13" max="13" width="60.453125" style="6" bestFit="1" customWidth="1"/>
    <col min="14" max="14" width="15.1796875" style="6" bestFit="1" customWidth="1"/>
    <col min="15" max="15" width="17.26953125" style="6" customWidth="1"/>
    <col min="16" max="16" width="16.453125" style="6" customWidth="1"/>
    <col min="17" max="17" width="12.54296875" style="6" customWidth="1"/>
    <col min="18" max="18" width="21.1796875" style="6" bestFit="1" customWidth="1"/>
    <col min="19" max="19" width="10.81640625" style="6" bestFit="1" customWidth="1"/>
    <col min="20" max="20" width="6.54296875" style="6" bestFit="1" customWidth="1"/>
    <col min="21" max="21" width="4" style="6" customWidth="1"/>
    <col min="22" max="22" width="20.26953125" style="6" bestFit="1" customWidth="1"/>
    <col min="23" max="23" width="11" style="6" bestFit="1" customWidth="1"/>
    <col min="24" max="24" width="10" style="6" bestFit="1" customWidth="1"/>
    <col min="25" max="16384" width="11.453125" style="6"/>
  </cols>
  <sheetData>
    <row r="1" spans="1:50" ht="13" thickBot="1" x14ac:dyDescent="0.3"/>
    <row r="2" spans="1:50" ht="13.5" thickBot="1" x14ac:dyDescent="0.35">
      <c r="L2" s="112"/>
      <c r="M2" s="55" t="s">
        <v>79</v>
      </c>
      <c r="N2" s="51"/>
      <c r="O2" s="54"/>
    </row>
    <row r="3" spans="1:50" x14ac:dyDescent="0.25">
      <c r="L3" s="112">
        <v>1</v>
      </c>
      <c r="M3" s="113" t="s">
        <v>81</v>
      </c>
      <c r="N3" s="129">
        <f>+N13*N14*N8/100</f>
        <v>73</v>
      </c>
      <c r="O3" s="130" t="s">
        <v>82</v>
      </c>
    </row>
    <row r="4" spans="1:50" ht="13" thickBot="1" x14ac:dyDescent="0.3">
      <c r="L4" s="33">
        <v>2</v>
      </c>
      <c r="M4" s="22" t="s">
        <v>3</v>
      </c>
      <c r="N4" s="29">
        <f>+N14/(N5*1000)</f>
        <v>0.1</v>
      </c>
      <c r="O4" s="30" t="s">
        <v>85</v>
      </c>
      <c r="AI4" s="7"/>
      <c r="AJ4" s="7"/>
      <c r="AK4" s="7"/>
      <c r="AL4" s="7"/>
      <c r="AM4" s="7"/>
      <c r="AN4" s="7"/>
      <c r="AO4" s="7"/>
    </row>
    <row r="5" spans="1:50" ht="13.5" thickBot="1" x14ac:dyDescent="0.35">
      <c r="A5" s="121" t="str">
        <f>+Model!D3</f>
        <v>Technical parameters</v>
      </c>
      <c r="B5" s="122"/>
      <c r="C5" s="123"/>
      <c r="E5" s="58" t="s">
        <v>80</v>
      </c>
      <c r="F5" s="9"/>
      <c r="G5" s="10"/>
      <c r="L5" s="13">
        <v>3</v>
      </c>
      <c r="M5" s="14" t="s">
        <v>22</v>
      </c>
      <c r="N5" s="12">
        <f>+C13</f>
        <v>0.2</v>
      </c>
      <c r="O5" s="15" t="s">
        <v>88</v>
      </c>
      <c r="AI5" s="11"/>
      <c r="AJ5" s="11"/>
      <c r="AK5" s="11"/>
      <c r="AL5" s="11"/>
      <c r="AM5" s="11"/>
      <c r="AN5" s="11"/>
      <c r="AO5" s="11"/>
    </row>
    <row r="6" spans="1:50" ht="13" x14ac:dyDescent="0.3">
      <c r="A6" s="124" t="str">
        <f>+Model!D4</f>
        <v>Biomass productivity</v>
      </c>
      <c r="B6" s="125" t="str">
        <f>+Model!E4</f>
        <v>g/m2/day</v>
      </c>
      <c r="C6" s="147">
        <f>+Model!J4</f>
        <v>20</v>
      </c>
      <c r="D6" s="140"/>
      <c r="E6" s="148" t="s">
        <v>83</v>
      </c>
      <c r="F6" s="149">
        <f>+C26</f>
        <v>20</v>
      </c>
      <c r="G6" s="130" t="s">
        <v>91</v>
      </c>
      <c r="L6" s="13">
        <v>4</v>
      </c>
      <c r="M6" s="14" t="s">
        <v>89</v>
      </c>
      <c r="N6" s="20">
        <v>0.01</v>
      </c>
      <c r="O6" s="15" t="s">
        <v>90</v>
      </c>
      <c r="P6" s="12"/>
    </row>
    <row r="7" spans="1:50" ht="13" x14ac:dyDescent="0.3">
      <c r="A7" s="124" t="str">
        <f>+Model!D5</f>
        <v>CO2 usage</v>
      </c>
      <c r="B7" s="125" t="str">
        <f>+Model!E5</f>
        <v>kg/kg algae biomass</v>
      </c>
      <c r="C7" s="147">
        <f>+Model!J5</f>
        <v>1</v>
      </c>
      <c r="D7" s="140"/>
      <c r="E7" s="28" t="s">
        <v>96</v>
      </c>
      <c r="F7" s="201">
        <f>+C20</f>
        <v>0</v>
      </c>
      <c r="G7" s="141" t="s">
        <v>91</v>
      </c>
      <c r="L7" s="13">
        <v>5</v>
      </c>
      <c r="M7" s="14" t="s">
        <v>21</v>
      </c>
      <c r="N7" s="20">
        <f>+C9</f>
        <v>20</v>
      </c>
      <c r="O7" s="15" t="s">
        <v>92</v>
      </c>
      <c r="P7" s="12"/>
      <c r="AI7" s="16"/>
      <c r="AJ7" s="16"/>
      <c r="AK7" s="16"/>
      <c r="AL7" s="16"/>
      <c r="AM7" s="16"/>
      <c r="AN7" s="16"/>
      <c r="AO7" s="16"/>
    </row>
    <row r="8" spans="1:50" ht="13" x14ac:dyDescent="0.3">
      <c r="A8" s="124" t="str">
        <f>+Model!D6</f>
        <v>Water evaporation</v>
      </c>
      <c r="B8" s="125" t="str">
        <f>+Model!E6</f>
        <v>L/m2/day</v>
      </c>
      <c r="C8" s="147">
        <f>+Model!J6</f>
        <v>6</v>
      </c>
      <c r="D8" s="140"/>
      <c r="E8" s="28" t="s">
        <v>86</v>
      </c>
      <c r="F8" s="29">
        <f>+C21</f>
        <v>0.1</v>
      </c>
      <c r="G8" s="30" t="s">
        <v>87</v>
      </c>
      <c r="L8" s="13">
        <v>6</v>
      </c>
      <c r="M8" s="14" t="s">
        <v>93</v>
      </c>
      <c r="N8" s="24">
        <f>+C11</f>
        <v>365</v>
      </c>
      <c r="O8" s="15" t="s">
        <v>94</v>
      </c>
      <c r="P8" s="12"/>
      <c r="AI8" s="16"/>
      <c r="AJ8" s="16"/>
      <c r="AK8" s="16"/>
      <c r="AL8" s="16"/>
      <c r="AM8" s="16"/>
      <c r="AN8" s="16"/>
      <c r="AO8" s="16"/>
    </row>
    <row r="9" spans="1:50" ht="13" x14ac:dyDescent="0.3">
      <c r="A9" s="124" t="str">
        <f>+Model!D7</f>
        <v>Mixing power consumption</v>
      </c>
      <c r="B9" s="125" t="str">
        <f>+Model!E7</f>
        <v>W/m3</v>
      </c>
      <c r="C9" s="147">
        <f>+Model!J7</f>
        <v>20</v>
      </c>
      <c r="D9" s="140"/>
      <c r="E9" s="28" t="s">
        <v>150</v>
      </c>
      <c r="F9" s="29">
        <f>+C22</f>
        <v>0</v>
      </c>
      <c r="G9" s="30" t="s">
        <v>87</v>
      </c>
      <c r="L9" s="28">
        <v>7</v>
      </c>
      <c r="M9" s="22" t="s">
        <v>93</v>
      </c>
      <c r="N9" s="29">
        <v>10</v>
      </c>
      <c r="O9" s="30" t="s">
        <v>95</v>
      </c>
      <c r="P9" s="20"/>
      <c r="AI9" s="16"/>
      <c r="AJ9" s="16"/>
      <c r="AK9" s="16"/>
      <c r="AL9" s="16"/>
      <c r="AM9" s="16"/>
      <c r="AN9" s="16"/>
      <c r="AO9" s="16"/>
    </row>
    <row r="10" spans="1:50" ht="13" x14ac:dyDescent="0.3">
      <c r="A10" s="124" t="str">
        <f>+Model!D8</f>
        <v xml:space="preserve">Labour </v>
      </c>
      <c r="B10" s="125" t="str">
        <f>+Model!E8</f>
        <v>people/ha</v>
      </c>
      <c r="C10" s="147">
        <f>+Model!J8</f>
        <v>0.5</v>
      </c>
      <c r="E10" s="33" t="s">
        <v>152</v>
      </c>
      <c r="F10" s="6">
        <v>0.3</v>
      </c>
      <c r="G10" s="141" t="s">
        <v>141</v>
      </c>
      <c r="I10" s="21"/>
      <c r="J10" s="21"/>
      <c r="K10" s="21"/>
      <c r="L10" s="13">
        <v>8</v>
      </c>
      <c r="M10" s="14" t="s">
        <v>23</v>
      </c>
      <c r="N10" s="12">
        <f>+C15</f>
        <v>0.25</v>
      </c>
      <c r="O10" s="15" t="s">
        <v>24</v>
      </c>
      <c r="P10" s="20"/>
      <c r="AI10" s="16"/>
      <c r="AJ10" s="16"/>
      <c r="AK10" s="16"/>
      <c r="AL10" s="16"/>
      <c r="AM10" s="16"/>
      <c r="AN10" s="16"/>
      <c r="AO10" s="16"/>
    </row>
    <row r="11" spans="1:50" ht="13" x14ac:dyDescent="0.3">
      <c r="A11" s="124" t="str">
        <f>+Model!D9</f>
        <v>Production days</v>
      </c>
      <c r="B11" s="125" t="str">
        <f>+Model!E9</f>
        <v>Days</v>
      </c>
      <c r="C11" s="147">
        <f>+Model!J9</f>
        <v>365</v>
      </c>
      <c r="E11" s="28" t="s">
        <v>97</v>
      </c>
      <c r="F11" s="29">
        <f>+C24</f>
        <v>0.1</v>
      </c>
      <c r="G11" s="141" t="s">
        <v>149</v>
      </c>
      <c r="I11" s="21"/>
      <c r="J11" s="21"/>
      <c r="K11" s="21"/>
      <c r="L11" s="28">
        <v>9</v>
      </c>
      <c r="M11" s="22" t="s">
        <v>98</v>
      </c>
      <c r="N11" s="29">
        <f>+N4/N10</f>
        <v>0.4</v>
      </c>
      <c r="O11" s="30" t="s">
        <v>99</v>
      </c>
      <c r="P11" s="24"/>
    </row>
    <row r="12" spans="1:50" ht="13.5" thickBot="1" x14ac:dyDescent="0.35">
      <c r="A12" s="124" t="str">
        <f>+Model!D10</f>
        <v>Land area</v>
      </c>
      <c r="B12" s="125" t="str">
        <f>+Model!E10</f>
        <v>ha</v>
      </c>
      <c r="C12" s="147">
        <f>+Model!J10</f>
        <v>1</v>
      </c>
      <c r="E12" s="86" t="s">
        <v>155</v>
      </c>
      <c r="F12" s="150">
        <f>+C25</f>
        <v>0.1</v>
      </c>
      <c r="G12" s="151" t="s">
        <v>154</v>
      </c>
      <c r="I12" s="81"/>
      <c r="J12" s="25"/>
      <c r="K12" s="25"/>
      <c r="L12" s="33">
        <v>10</v>
      </c>
      <c r="M12" s="22" t="s">
        <v>25</v>
      </c>
      <c r="N12" s="34">
        <f>+N3*1000/(N4*C11)</f>
        <v>2000</v>
      </c>
      <c r="O12" s="30" t="s">
        <v>37</v>
      </c>
      <c r="P12" s="24"/>
      <c r="S12" s="26"/>
    </row>
    <row r="13" spans="1:50" ht="13" x14ac:dyDescent="0.3">
      <c r="A13" s="124" t="str">
        <f>+Model!D11</f>
        <v>Ratio V/S</v>
      </c>
      <c r="B13" s="125" t="str">
        <f>+Model!E11</f>
        <v>m3/m2</v>
      </c>
      <c r="C13" s="147">
        <f>+Model!J11</f>
        <v>0.2</v>
      </c>
      <c r="I13" s="81"/>
      <c r="J13" s="21"/>
      <c r="K13" s="21"/>
      <c r="L13" s="13">
        <v>11</v>
      </c>
      <c r="M13" s="14" t="s">
        <v>100</v>
      </c>
      <c r="N13" s="24">
        <f>+C12</f>
        <v>1</v>
      </c>
      <c r="O13" s="15" t="s">
        <v>101</v>
      </c>
      <c r="P13" s="12"/>
      <c r="Q13" s="22"/>
      <c r="R13" s="27"/>
      <c r="AI13" s="11"/>
      <c r="AJ13" s="11"/>
      <c r="AK13" s="11"/>
      <c r="AL13" s="11"/>
      <c r="AM13" s="11"/>
      <c r="AN13" s="11"/>
      <c r="AO13" s="11"/>
      <c r="AR13" s="11"/>
      <c r="AS13" s="11"/>
      <c r="AT13" s="11"/>
      <c r="AU13" s="11"/>
      <c r="AV13" s="11"/>
      <c r="AW13" s="11"/>
      <c r="AX13" s="11"/>
    </row>
    <row r="14" spans="1:50" ht="13.5" thickBot="1" x14ac:dyDescent="0.35">
      <c r="A14" s="124" t="str">
        <f>+Model!D12</f>
        <v>CO2 fixation efficiency</v>
      </c>
      <c r="B14" s="125"/>
      <c r="C14" s="147">
        <f>+Model!J12</f>
        <v>1.8</v>
      </c>
      <c r="L14" s="17">
        <v>12</v>
      </c>
      <c r="M14" s="18" t="s">
        <v>3</v>
      </c>
      <c r="N14" s="131">
        <f>+C6</f>
        <v>20</v>
      </c>
      <c r="O14" s="19" t="s">
        <v>103</v>
      </c>
      <c r="P14" s="29"/>
      <c r="Q14" s="22"/>
      <c r="V14" s="22"/>
      <c r="W14" s="31"/>
      <c r="X14" s="23"/>
      <c r="AI14" s="11"/>
      <c r="AJ14" s="11"/>
      <c r="AK14" s="11"/>
      <c r="AL14" s="11"/>
      <c r="AM14" s="11"/>
      <c r="AN14" s="11"/>
      <c r="AO14" s="11"/>
      <c r="AR14" s="11"/>
      <c r="AS14" s="11"/>
      <c r="AT14" s="11"/>
      <c r="AU14" s="11"/>
      <c r="AV14" s="11"/>
      <c r="AW14" s="11"/>
      <c r="AX14" s="11"/>
    </row>
    <row r="15" spans="1:50" ht="13.5" thickBot="1" x14ac:dyDescent="0.35">
      <c r="A15" s="124" t="str">
        <f>+Model!D13</f>
        <v>Dilution rate</v>
      </c>
      <c r="B15" s="125" t="str">
        <f>+Model!E13</f>
        <v>1/day</v>
      </c>
      <c r="C15" s="147">
        <f>+Model!J13</f>
        <v>0.25</v>
      </c>
      <c r="I15" s="32"/>
      <c r="J15" s="32"/>
      <c r="K15" s="32"/>
      <c r="L15" s="282">
        <v>13</v>
      </c>
      <c r="M15" s="283" t="s">
        <v>273</v>
      </c>
      <c r="N15" s="284">
        <v>30000</v>
      </c>
      <c r="O15" s="285" t="s">
        <v>274</v>
      </c>
      <c r="P15" s="34"/>
      <c r="Q15" s="22"/>
      <c r="U15" s="26"/>
      <c r="X15" s="23"/>
      <c r="AI15" s="11"/>
      <c r="AJ15" s="11"/>
      <c r="AK15" s="11"/>
      <c r="AL15" s="11"/>
      <c r="AM15" s="11"/>
      <c r="AN15" s="11"/>
      <c r="AO15" s="11"/>
      <c r="AR15" s="11"/>
      <c r="AS15" s="11"/>
      <c r="AT15" s="11"/>
      <c r="AU15" s="11"/>
      <c r="AV15" s="11"/>
      <c r="AW15" s="11"/>
      <c r="AX15" s="11"/>
    </row>
    <row r="16" spans="1:50" ht="13.5" thickBot="1" x14ac:dyDescent="0.35">
      <c r="A16" s="124" t="str">
        <f>+Model!D14</f>
        <v>Total culture volume</v>
      </c>
      <c r="B16" s="125" t="str">
        <f>+Model!E14</f>
        <v>m3</v>
      </c>
      <c r="C16" s="147">
        <f>+Model!J14</f>
        <v>2000</v>
      </c>
      <c r="L16" s="17">
        <v>14</v>
      </c>
      <c r="M16" s="18" t="s">
        <v>275</v>
      </c>
      <c r="N16" s="131">
        <f>+C10*C12</f>
        <v>0.5</v>
      </c>
      <c r="O16" s="19" t="s">
        <v>276</v>
      </c>
      <c r="P16" s="29"/>
      <c r="Q16" s="22"/>
      <c r="U16" s="35"/>
      <c r="V16" s="36" t="s">
        <v>102</v>
      </c>
      <c r="W16" s="36"/>
      <c r="X16" s="37"/>
      <c r="AI16" s="11"/>
      <c r="AJ16" s="11"/>
      <c r="AK16" s="11"/>
      <c r="AL16" s="11"/>
      <c r="AM16" s="11"/>
      <c r="AN16" s="11"/>
      <c r="AO16" s="11"/>
      <c r="AR16" s="11"/>
      <c r="AS16" s="11"/>
      <c r="AT16" s="11"/>
      <c r="AU16" s="11"/>
      <c r="AV16" s="11"/>
      <c r="AW16" s="11"/>
      <c r="AX16" s="11"/>
    </row>
    <row r="17" spans="1:24" ht="13.5" thickBot="1" x14ac:dyDescent="0.35">
      <c r="A17" s="124" t="str">
        <f>+Model!D15</f>
        <v>Total biomass production</v>
      </c>
      <c r="B17" s="125" t="str">
        <f>+Model!E15</f>
        <v>ton/ha/year</v>
      </c>
      <c r="C17" s="147">
        <f>+Model!J15</f>
        <v>73</v>
      </c>
      <c r="P17" s="34"/>
      <c r="Q17" s="38"/>
      <c r="R17" s="38"/>
      <c r="U17" s="39"/>
      <c r="V17" s="40" t="s">
        <v>104</v>
      </c>
      <c r="W17" s="41">
        <f>+O95</f>
        <v>2.0313938553274999</v>
      </c>
      <c r="X17" s="42"/>
    </row>
    <row r="18" spans="1:24" ht="13.5" thickBot="1" x14ac:dyDescent="0.35">
      <c r="A18" s="124" t="str">
        <f>+Model!D16</f>
        <v>Total CO2 consumption</v>
      </c>
      <c r="B18" s="125" t="str">
        <f>+Model!E16</f>
        <v>ton/ha/year</v>
      </c>
      <c r="C18" s="147">
        <f>+Model!J16</f>
        <v>73</v>
      </c>
      <c r="I18" s="22"/>
      <c r="J18" s="22"/>
      <c r="K18" s="22"/>
      <c r="M18" s="47"/>
      <c r="N18" s="47"/>
      <c r="O18" s="47"/>
      <c r="Q18" s="38"/>
      <c r="R18" s="38"/>
      <c r="U18" s="43"/>
      <c r="V18" s="44" t="s">
        <v>105</v>
      </c>
      <c r="W18" s="44" t="s">
        <v>84</v>
      </c>
      <c r="X18" s="45"/>
    </row>
    <row r="19" spans="1:24" ht="13.5" thickBot="1" x14ac:dyDescent="0.35">
      <c r="A19" s="124" t="str">
        <f>+Model!D17</f>
        <v>Total water evaporation</v>
      </c>
      <c r="B19" s="125" t="str">
        <f>+Model!E17</f>
        <v>ton/ha/year</v>
      </c>
      <c r="C19" s="147">
        <f>+Model!J17</f>
        <v>21900</v>
      </c>
      <c r="H19" s="22"/>
      <c r="I19" s="22"/>
      <c r="J19" s="22"/>
      <c r="K19" s="22"/>
      <c r="L19" s="29"/>
      <c r="M19" s="47"/>
      <c r="N19" s="47"/>
      <c r="O19" s="47"/>
      <c r="Q19" s="38"/>
      <c r="R19" s="38"/>
      <c r="U19" s="46"/>
      <c r="V19" s="47" t="s">
        <v>56</v>
      </c>
      <c r="W19" s="48">
        <f>+P88</f>
        <v>0.31272808284608478</v>
      </c>
      <c r="X19" s="49"/>
    </row>
    <row r="20" spans="1:24" ht="15" thickBot="1" x14ac:dyDescent="0.4">
      <c r="A20" s="124" t="str">
        <f>+Model!D18</f>
        <v>Water cost</v>
      </c>
      <c r="B20" s="125" t="str">
        <f>+Model!E18</f>
        <v>€/kg</v>
      </c>
      <c r="C20" s="147">
        <f>+Model!J18</f>
        <v>0</v>
      </c>
      <c r="E20" s="50" t="s">
        <v>106</v>
      </c>
      <c r="F20" s="51"/>
      <c r="G20" s="52">
        <v>0.85</v>
      </c>
      <c r="O20" s="53"/>
      <c r="Q20" s="198" t="s">
        <v>182</v>
      </c>
      <c r="U20" s="46"/>
      <c r="V20" s="47" t="s">
        <v>62</v>
      </c>
      <c r="W20" s="48">
        <f>+P89</f>
        <v>4.9227282901216647E-2</v>
      </c>
      <c r="X20" s="49"/>
    </row>
    <row r="21" spans="1:24" ht="13.5" thickBot="1" x14ac:dyDescent="0.35">
      <c r="A21" s="124" t="str">
        <f>+Model!D19</f>
        <v>CO2 cost</v>
      </c>
      <c r="B21" s="125" t="str">
        <f>+Model!E19</f>
        <v>€/kg</v>
      </c>
      <c r="C21" s="147">
        <f>+Model!J19</f>
        <v>0.1</v>
      </c>
      <c r="E21" s="50" t="s">
        <v>107</v>
      </c>
      <c r="F21" s="51"/>
      <c r="G21" s="51"/>
      <c r="H21" s="51"/>
      <c r="I21" s="51"/>
      <c r="J21" s="54"/>
      <c r="L21" s="50" t="s">
        <v>107</v>
      </c>
      <c r="M21" s="51"/>
      <c r="N21" s="55"/>
      <c r="O21" s="55"/>
      <c r="P21" s="55"/>
      <c r="Q21" s="55"/>
      <c r="R21" s="56"/>
      <c r="S21" s="54"/>
      <c r="U21" s="46"/>
      <c r="V21" s="47" t="s">
        <v>64</v>
      </c>
      <c r="W21" s="48">
        <f>+P90</f>
        <v>0.23690629896210511</v>
      </c>
      <c r="X21" s="49"/>
    </row>
    <row r="22" spans="1:24" ht="13.5" thickBot="1" x14ac:dyDescent="0.35">
      <c r="A22" s="124" t="str">
        <f>+Model!D20</f>
        <v>Nutrients cost</v>
      </c>
      <c r="B22" s="125" t="str">
        <f>+Model!E20</f>
        <v>€/kg</v>
      </c>
      <c r="C22" s="147">
        <f>+Model!J20</f>
        <v>0</v>
      </c>
      <c r="E22" s="57" t="s">
        <v>108</v>
      </c>
      <c r="F22" s="9" t="s">
        <v>109</v>
      </c>
      <c r="G22" s="9"/>
      <c r="H22" s="9" t="s">
        <v>110</v>
      </c>
      <c r="I22" s="9" t="s">
        <v>111</v>
      </c>
      <c r="J22" s="10"/>
      <c r="L22" s="58" t="s">
        <v>112</v>
      </c>
      <c r="M22" s="8" t="s">
        <v>113</v>
      </c>
      <c r="N22" s="8" t="s">
        <v>111</v>
      </c>
      <c r="O22" s="8"/>
      <c r="P22" s="8" t="s">
        <v>114</v>
      </c>
      <c r="Q22" s="8" t="s">
        <v>115</v>
      </c>
      <c r="R22" s="59" t="s">
        <v>116</v>
      </c>
      <c r="S22" s="60" t="s">
        <v>117</v>
      </c>
      <c r="T22" s="61"/>
      <c r="U22" s="62"/>
      <c r="V22" s="63" t="s">
        <v>67</v>
      </c>
      <c r="W22" s="64">
        <f>+P91</f>
        <v>0.40113833529059351</v>
      </c>
      <c r="X22" s="65"/>
    </row>
    <row r="23" spans="1:24" ht="13" x14ac:dyDescent="0.3">
      <c r="A23" s="124" t="str">
        <f>+Model!D21</f>
        <v>Fertilizers usage</v>
      </c>
      <c r="B23" s="125" t="str">
        <f>+Model!E21</f>
        <v>kg/kg algae biomass</v>
      </c>
      <c r="C23" s="147">
        <f>+Model!J21</f>
        <v>0.3</v>
      </c>
      <c r="E23" s="66">
        <v>1</v>
      </c>
      <c r="F23" s="6">
        <v>100</v>
      </c>
      <c r="G23" s="6" t="str">
        <f>+O23</f>
        <v>m3/h</v>
      </c>
      <c r="H23" s="6">
        <v>10000</v>
      </c>
      <c r="I23" s="133">
        <f>+N12*N10/N9</f>
        <v>50</v>
      </c>
      <c r="J23" s="68" t="str">
        <f>+G23</f>
        <v>m3/h</v>
      </c>
      <c r="K23" s="27"/>
      <c r="L23" s="33">
        <v>1</v>
      </c>
      <c r="M23" s="6" t="s">
        <v>144</v>
      </c>
      <c r="N23" s="69">
        <f>+IF(I23/F23&lt;1,F23,IF(I23/F23&lt;10,I23,I23/(1+INT(I23/(F23*10)))))</f>
        <v>100</v>
      </c>
      <c r="O23" s="22" t="s">
        <v>36</v>
      </c>
      <c r="P23" s="70">
        <f t="shared" ref="P23:P32" si="0">H23*(N23/F23)^$G$20</f>
        <v>10000</v>
      </c>
      <c r="Q23" s="29">
        <f>+IF(E23=1,ROUNDUP(I23/N23,0),0)</f>
        <v>1</v>
      </c>
      <c r="R23" s="132">
        <f>Q23*P23</f>
        <v>10000</v>
      </c>
      <c r="S23" s="72">
        <f t="shared" ref="S23:S32" si="1">R23/R$33</f>
        <v>8.1919793832892204E-2</v>
      </c>
      <c r="X23" s="26"/>
    </row>
    <row r="24" spans="1:24" ht="13" x14ac:dyDescent="0.3">
      <c r="A24" s="124" t="str">
        <f>+Model!D22</f>
        <v>Power cost</v>
      </c>
      <c r="B24" s="125" t="str">
        <f>+Model!E22</f>
        <v>€/kWh</v>
      </c>
      <c r="C24" s="147">
        <f>+Model!J22</f>
        <v>0.1</v>
      </c>
      <c r="D24" s="199" t="s">
        <v>183</v>
      </c>
      <c r="E24" s="66">
        <v>0</v>
      </c>
      <c r="F24" s="6">
        <v>10</v>
      </c>
      <c r="G24" s="6" t="str">
        <f t="shared" ref="G24:G32" si="2">+O24</f>
        <v>m3/h</v>
      </c>
      <c r="H24" s="6">
        <v>20000</v>
      </c>
      <c r="I24" s="133">
        <f>+IF(E24&gt;0,N10*N12/N9,0)</f>
        <v>0</v>
      </c>
      <c r="J24" s="73" t="str">
        <f>+G24</f>
        <v>m3/h</v>
      </c>
      <c r="L24" s="33">
        <v>2</v>
      </c>
      <c r="M24" s="6" t="s">
        <v>145</v>
      </c>
      <c r="N24" s="69">
        <f t="shared" ref="N24:N32" si="3">+IF(I24/F24&lt;1,F24,IF(I24/F24&lt;10,I24,I24/(1+INT(I24/(F24*10)))))</f>
        <v>10</v>
      </c>
      <c r="O24" s="22" t="s">
        <v>36</v>
      </c>
      <c r="P24" s="70">
        <f t="shared" si="0"/>
        <v>20000</v>
      </c>
      <c r="Q24" s="29">
        <f t="shared" ref="Q24:Q32" si="4">+IF(E24=1,ROUNDUP(I24/N24,0),0)</f>
        <v>0</v>
      </c>
      <c r="R24" s="132">
        <f t="shared" ref="R24:R32" si="5">Q24*P24</f>
        <v>0</v>
      </c>
      <c r="S24" s="72">
        <f t="shared" si="1"/>
        <v>0</v>
      </c>
      <c r="U24" s="26"/>
      <c r="V24" s="26"/>
      <c r="W24" s="26"/>
    </row>
    <row r="25" spans="1:24" ht="13" x14ac:dyDescent="0.3">
      <c r="A25" s="124" t="str">
        <f>+Model!D23</f>
        <v>Power for harvesting and others</v>
      </c>
      <c r="B25" s="125" t="str">
        <f>+Model!E23</f>
        <v>kWh/m3 harvest</v>
      </c>
      <c r="C25" s="147">
        <f>+Model!J23</f>
        <v>0.1</v>
      </c>
      <c r="E25" s="66">
        <v>0</v>
      </c>
      <c r="F25" s="6">
        <v>200</v>
      </c>
      <c r="G25" s="6" t="str">
        <f t="shared" si="2"/>
        <v>m3/h</v>
      </c>
      <c r="H25" s="6">
        <v>2500</v>
      </c>
      <c r="I25" s="133">
        <f>+N6*N12*60</f>
        <v>1200</v>
      </c>
      <c r="J25" s="73" t="str">
        <f t="shared" ref="J25:J31" si="6">+G25</f>
        <v>m3/h</v>
      </c>
      <c r="L25" s="33">
        <v>3</v>
      </c>
      <c r="M25" s="6" t="s">
        <v>118</v>
      </c>
      <c r="N25" s="69">
        <f t="shared" si="3"/>
        <v>1200</v>
      </c>
      <c r="O25" s="22" t="s">
        <v>36</v>
      </c>
      <c r="P25" s="70">
        <f t="shared" si="0"/>
        <v>11464.855133854493</v>
      </c>
      <c r="Q25" s="29">
        <f t="shared" si="4"/>
        <v>0</v>
      </c>
      <c r="R25" s="132">
        <f t="shared" si="5"/>
        <v>0</v>
      </c>
      <c r="S25" s="72">
        <f t="shared" si="1"/>
        <v>0</v>
      </c>
      <c r="U25" s="26"/>
      <c r="V25" s="74"/>
      <c r="W25" s="74"/>
    </row>
    <row r="26" spans="1:24" x14ac:dyDescent="0.25">
      <c r="A26" s="124" t="str">
        <f>+Model!D24</f>
        <v>Photobioreactor cost</v>
      </c>
      <c r="B26" s="125" t="str">
        <f>+Model!E24</f>
        <v>€/m3</v>
      </c>
      <c r="C26" s="147">
        <f>+Model!J24</f>
        <v>20</v>
      </c>
      <c r="E26" s="66">
        <v>1</v>
      </c>
      <c r="F26" s="6">
        <f>1000*0.2</f>
        <v>200</v>
      </c>
      <c r="G26" s="6" t="str">
        <f t="shared" si="2"/>
        <v>m3</v>
      </c>
      <c r="H26" s="6">
        <f>+F26*F6</f>
        <v>4000</v>
      </c>
      <c r="I26" s="133">
        <f>+N12</f>
        <v>2000</v>
      </c>
      <c r="J26" s="73" t="str">
        <f t="shared" si="6"/>
        <v>m3</v>
      </c>
      <c r="L26" s="33">
        <v>4</v>
      </c>
      <c r="M26" s="22" t="s">
        <v>146</v>
      </c>
      <c r="N26" s="69">
        <f t="shared" si="3"/>
        <v>1000</v>
      </c>
      <c r="O26" s="22" t="s">
        <v>37</v>
      </c>
      <c r="P26" s="70">
        <f t="shared" si="0"/>
        <v>15710.300604635284</v>
      </c>
      <c r="Q26" s="29">
        <f t="shared" si="4"/>
        <v>2</v>
      </c>
      <c r="R26" s="132">
        <f t="shared" si="5"/>
        <v>31420.601209270568</v>
      </c>
      <c r="S26" s="72">
        <f t="shared" si="1"/>
        <v>0.25739691731689684</v>
      </c>
    </row>
    <row r="27" spans="1:24" ht="13" thickBot="1" x14ac:dyDescent="0.3">
      <c r="A27" s="126"/>
      <c r="B27" s="127"/>
      <c r="C27" s="128"/>
      <c r="E27" s="66">
        <v>1</v>
      </c>
      <c r="F27" s="6">
        <v>25</v>
      </c>
      <c r="G27" s="6" t="str">
        <f t="shared" si="2"/>
        <v>m3/h</v>
      </c>
      <c r="H27" s="6">
        <v>20000</v>
      </c>
      <c r="I27" s="133">
        <f>+N12*N10/N9</f>
        <v>50</v>
      </c>
      <c r="J27" s="73" t="str">
        <f t="shared" si="6"/>
        <v>m3/h</v>
      </c>
      <c r="L27" s="33">
        <v>5</v>
      </c>
      <c r="M27" s="22" t="s">
        <v>179</v>
      </c>
      <c r="N27" s="69">
        <f t="shared" si="3"/>
        <v>50</v>
      </c>
      <c r="O27" s="22" t="s">
        <v>36</v>
      </c>
      <c r="P27" s="70">
        <f t="shared" si="0"/>
        <v>36050.01850443321</v>
      </c>
      <c r="Q27" s="29">
        <f t="shared" si="4"/>
        <v>1</v>
      </c>
      <c r="R27" s="132">
        <f t="shared" si="5"/>
        <v>36050.01850443321</v>
      </c>
      <c r="S27" s="72">
        <f t="shared" si="1"/>
        <v>0.29532100835551173</v>
      </c>
    </row>
    <row r="28" spans="1:24" ht="13" thickBot="1" x14ac:dyDescent="0.3">
      <c r="A28" s="135" t="str">
        <f>+Model!D26</f>
        <v>Equipment Capacity</v>
      </c>
      <c r="B28" s="136"/>
      <c r="C28" s="137"/>
      <c r="E28" s="66">
        <v>1</v>
      </c>
      <c r="F28" s="6">
        <v>5</v>
      </c>
      <c r="G28" s="6" t="str">
        <f t="shared" si="2"/>
        <v>m3</v>
      </c>
      <c r="H28" s="6">
        <v>600</v>
      </c>
      <c r="I28" s="133">
        <f>+IF(E27&gt;0,I27/20,I23)</f>
        <v>2.5</v>
      </c>
      <c r="J28" s="73" t="str">
        <f t="shared" si="6"/>
        <v>m3</v>
      </c>
      <c r="L28" s="33">
        <v>6</v>
      </c>
      <c r="M28" s="6" t="s">
        <v>147</v>
      </c>
      <c r="N28" s="69">
        <f t="shared" si="3"/>
        <v>5</v>
      </c>
      <c r="O28" s="22" t="s">
        <v>37</v>
      </c>
      <c r="P28" s="70">
        <f t="shared" si="0"/>
        <v>600</v>
      </c>
      <c r="Q28" s="29">
        <f t="shared" si="4"/>
        <v>1</v>
      </c>
      <c r="R28" s="132">
        <f t="shared" si="5"/>
        <v>600</v>
      </c>
      <c r="S28" s="72">
        <f t="shared" si="1"/>
        <v>4.9151876299735322E-3</v>
      </c>
    </row>
    <row r="29" spans="1:24" ht="13" thickBot="1" x14ac:dyDescent="0.3">
      <c r="A29" s="135" t="str">
        <f>+Model!D27</f>
        <v xml:space="preserve">Medium preparation unit </v>
      </c>
      <c r="B29" s="136" t="str">
        <f>+Model!E27</f>
        <v>m3/h</v>
      </c>
      <c r="C29" s="138">
        <f>+I23</f>
        <v>50</v>
      </c>
      <c r="E29" s="66">
        <v>1</v>
      </c>
      <c r="F29" s="6">
        <v>20</v>
      </c>
      <c r="G29" s="6" t="str">
        <f t="shared" si="2"/>
        <v>m3/h</v>
      </c>
      <c r="H29" s="6">
        <v>40000</v>
      </c>
      <c r="I29" s="133">
        <f>+IF(E27=1,I27/20,I27)</f>
        <v>2.5</v>
      </c>
      <c r="J29" s="73" t="str">
        <f t="shared" si="6"/>
        <v>m3/h</v>
      </c>
      <c r="L29" s="33">
        <v>7</v>
      </c>
      <c r="M29" s="6" t="s">
        <v>180</v>
      </c>
      <c r="N29" s="69">
        <f t="shared" si="3"/>
        <v>20</v>
      </c>
      <c r="O29" s="22" t="s">
        <v>36</v>
      </c>
      <c r="P29" s="70">
        <f t="shared" si="0"/>
        <v>40000</v>
      </c>
      <c r="Q29" s="29">
        <f t="shared" si="4"/>
        <v>1</v>
      </c>
      <c r="R29" s="132">
        <f t="shared" si="5"/>
        <v>40000</v>
      </c>
      <c r="S29" s="72">
        <f t="shared" si="1"/>
        <v>0.32767917533156882</v>
      </c>
    </row>
    <row r="30" spans="1:24" ht="13" thickBot="1" x14ac:dyDescent="0.3">
      <c r="A30" s="135" t="str">
        <f>+Model!D28</f>
        <v xml:space="preserve">Sterilization process </v>
      </c>
      <c r="B30" s="136" t="str">
        <f>+Model!E28</f>
        <v>m3/h</v>
      </c>
      <c r="C30" s="138">
        <f>+I24</f>
        <v>0</v>
      </c>
      <c r="E30" s="66">
        <v>1</v>
      </c>
      <c r="F30" s="6">
        <v>10</v>
      </c>
      <c r="G30" s="6" t="str">
        <f t="shared" si="2"/>
        <v>m3/h</v>
      </c>
      <c r="H30" s="6">
        <v>1000</v>
      </c>
      <c r="I30" s="133">
        <f>+IF(E27=1,I27/20,I27)</f>
        <v>2.5</v>
      </c>
      <c r="J30" s="73" t="str">
        <f t="shared" si="6"/>
        <v>m3/h</v>
      </c>
      <c r="L30" s="33">
        <v>8</v>
      </c>
      <c r="M30" s="6" t="s">
        <v>148</v>
      </c>
      <c r="N30" s="69">
        <f t="shared" si="3"/>
        <v>10</v>
      </c>
      <c r="O30" s="69" t="str">
        <f>+O23</f>
        <v>m3/h</v>
      </c>
      <c r="P30" s="70">
        <f t="shared" si="0"/>
        <v>1000</v>
      </c>
      <c r="Q30" s="29">
        <f t="shared" si="4"/>
        <v>1</v>
      </c>
      <c r="R30" s="132">
        <f t="shared" si="5"/>
        <v>1000</v>
      </c>
      <c r="S30" s="72">
        <f t="shared" si="1"/>
        <v>8.1919793832892201E-3</v>
      </c>
    </row>
    <row r="31" spans="1:24" ht="13" thickBot="1" x14ac:dyDescent="0.3">
      <c r="A31" s="135" t="str">
        <f>+Model!D29</f>
        <v xml:space="preserve">Air blower </v>
      </c>
      <c r="B31" s="136" t="str">
        <f>+Model!E29</f>
        <v>m3/h</v>
      </c>
      <c r="C31" s="138">
        <f>+I25</f>
        <v>1200</v>
      </c>
      <c r="E31" s="66">
        <v>1</v>
      </c>
      <c r="F31" s="6">
        <v>100</v>
      </c>
      <c r="G31" s="6" t="str">
        <f t="shared" si="2"/>
        <v>Kg/h</v>
      </c>
      <c r="H31" s="6">
        <v>3000</v>
      </c>
      <c r="I31" s="133">
        <f>+N4*N12*C7/N9</f>
        <v>20</v>
      </c>
      <c r="J31" s="73" t="str">
        <f t="shared" si="6"/>
        <v>Kg/h</v>
      </c>
      <c r="L31" s="33">
        <v>9</v>
      </c>
      <c r="M31" s="6" t="s">
        <v>119</v>
      </c>
      <c r="N31" s="69">
        <f t="shared" si="3"/>
        <v>100</v>
      </c>
      <c r="O31" s="22" t="s">
        <v>38</v>
      </c>
      <c r="P31" s="70">
        <f t="shared" si="0"/>
        <v>3000</v>
      </c>
      <c r="Q31" s="29">
        <f t="shared" si="4"/>
        <v>1</v>
      </c>
      <c r="R31" s="132">
        <f t="shared" si="5"/>
        <v>3000</v>
      </c>
      <c r="S31" s="72">
        <f t="shared" si="1"/>
        <v>2.4575938149867659E-2</v>
      </c>
    </row>
    <row r="32" spans="1:24" ht="13" thickBot="1" x14ac:dyDescent="0.3">
      <c r="A32" s="135" t="str">
        <f>+Model!D30</f>
        <v xml:space="preserve">Photobioreactors </v>
      </c>
      <c r="B32" s="136" t="str">
        <f>+Model!E30</f>
        <v>m3</v>
      </c>
      <c r="C32" s="138">
        <f>+I26</f>
        <v>2000</v>
      </c>
      <c r="E32" s="75">
        <v>0</v>
      </c>
      <c r="F32" s="76">
        <v>80</v>
      </c>
      <c r="G32" s="76" t="str">
        <f t="shared" si="2"/>
        <v>Kg/day</v>
      </c>
      <c r="H32" s="76">
        <v>120000</v>
      </c>
      <c r="I32" s="134">
        <f>+N4*N12*4</f>
        <v>800</v>
      </c>
      <c r="J32" s="77" t="str">
        <f>+G32</f>
        <v>Kg/day</v>
      </c>
      <c r="L32" s="33">
        <v>10</v>
      </c>
      <c r="M32" s="6" t="s">
        <v>191</v>
      </c>
      <c r="N32" s="69">
        <f t="shared" si="3"/>
        <v>400</v>
      </c>
      <c r="O32" s="22" t="s">
        <v>120</v>
      </c>
      <c r="P32" s="70">
        <f t="shared" si="0"/>
        <v>471309.01813905855</v>
      </c>
      <c r="Q32" s="29">
        <f t="shared" si="4"/>
        <v>0</v>
      </c>
      <c r="R32" s="132">
        <f t="shared" si="5"/>
        <v>0</v>
      </c>
      <c r="S32" s="72">
        <f t="shared" si="1"/>
        <v>0</v>
      </c>
    </row>
    <row r="33" spans="1:20" ht="13.5" thickBot="1" x14ac:dyDescent="0.35">
      <c r="A33" s="135" t="str">
        <f>+Model!D31</f>
        <v xml:space="preserve">Sedimenter </v>
      </c>
      <c r="B33" s="136" t="str">
        <f>+Model!E31</f>
        <v>m3/h</v>
      </c>
      <c r="C33" s="138">
        <f t="shared" ref="C33:C37" si="7">+I27</f>
        <v>50</v>
      </c>
      <c r="L33" s="58"/>
      <c r="M33" s="8" t="s">
        <v>121</v>
      </c>
      <c r="N33" s="8"/>
      <c r="O33" s="8"/>
      <c r="P33" s="59"/>
      <c r="Q33" s="8"/>
      <c r="R33" s="78">
        <f>SUM(R23:R32)</f>
        <v>122070.61971370378</v>
      </c>
      <c r="S33" s="79">
        <f>R33/R$33</f>
        <v>1</v>
      </c>
      <c r="T33" s="80"/>
    </row>
    <row r="34" spans="1:20" ht="13" thickBot="1" x14ac:dyDescent="0.3">
      <c r="A34" s="135" t="str">
        <f>+Model!D32</f>
        <v xml:space="preserve">Harvest storage tank </v>
      </c>
      <c r="B34" s="136" t="str">
        <f>+Model!E32</f>
        <v>m3</v>
      </c>
      <c r="C34" s="138">
        <f t="shared" si="7"/>
        <v>2.5</v>
      </c>
    </row>
    <row r="35" spans="1:20" ht="13.5" thickBot="1" x14ac:dyDescent="0.35">
      <c r="A35" s="135" t="str">
        <f>+Model!D33</f>
        <v>Decanter</v>
      </c>
      <c r="B35" s="136" t="str">
        <f>+Model!E33</f>
        <v>m3/h</v>
      </c>
      <c r="C35" s="138">
        <f t="shared" si="7"/>
        <v>2.5</v>
      </c>
      <c r="N35" s="69"/>
      <c r="O35" s="22"/>
      <c r="P35" s="25"/>
      <c r="Q35" s="22"/>
      <c r="R35" s="81"/>
      <c r="S35" s="82"/>
      <c r="T35" s="82"/>
    </row>
    <row r="36" spans="1:20" ht="13.5" thickBot="1" x14ac:dyDescent="0.35">
      <c r="A36" s="135" t="str">
        <f>+Model!D34</f>
        <v>Harvest pump</v>
      </c>
      <c r="B36" s="136" t="str">
        <f>+Model!E34</f>
        <v>m3/h</v>
      </c>
      <c r="C36" s="138">
        <f t="shared" si="7"/>
        <v>2.5</v>
      </c>
      <c r="G36" s="35" t="s">
        <v>122</v>
      </c>
      <c r="H36" s="51"/>
      <c r="I36" s="51"/>
      <c r="J36" s="54"/>
      <c r="L36" s="58" t="s">
        <v>123</v>
      </c>
      <c r="M36" s="9"/>
      <c r="N36" s="9"/>
      <c r="O36" s="9"/>
      <c r="P36" s="9"/>
      <c r="Q36" s="10"/>
    </row>
    <row r="37" spans="1:20" ht="13.5" thickBot="1" x14ac:dyDescent="0.35">
      <c r="A37" s="135" t="str">
        <f>+Model!D35</f>
        <v>CO2 supply unit</v>
      </c>
      <c r="B37" s="136" t="str">
        <f>+Model!E35</f>
        <v>Kg/h</v>
      </c>
      <c r="C37" s="138">
        <f t="shared" si="7"/>
        <v>20</v>
      </c>
      <c r="G37" s="43" t="s">
        <v>124</v>
      </c>
      <c r="H37" s="44" t="s">
        <v>125</v>
      </c>
      <c r="I37" s="44" t="s">
        <v>126</v>
      </c>
      <c r="J37" s="45" t="s">
        <v>127</v>
      </c>
      <c r="L37" s="58" t="s">
        <v>112</v>
      </c>
      <c r="M37" s="8" t="s">
        <v>113</v>
      </c>
      <c r="N37" s="8" t="s">
        <v>128</v>
      </c>
      <c r="O37" s="8"/>
      <c r="P37" s="83" t="s">
        <v>129</v>
      </c>
      <c r="Q37" s="60" t="s">
        <v>117</v>
      </c>
    </row>
    <row r="38" spans="1:20" ht="13" thickBot="1" x14ac:dyDescent="0.3">
      <c r="A38" s="135"/>
      <c r="B38" s="136"/>
      <c r="C38" s="137"/>
      <c r="G38" s="33"/>
      <c r="J38" s="68">
        <v>1</v>
      </c>
      <c r="L38" s="33">
        <v>1</v>
      </c>
      <c r="M38" s="6" t="s">
        <v>42</v>
      </c>
      <c r="N38" s="27">
        <v>1</v>
      </c>
      <c r="P38" s="71">
        <f>R33*N38</f>
        <v>122070.61971370378</v>
      </c>
      <c r="Q38" s="84">
        <f>P38/P$51</f>
        <v>0.30546803047960019</v>
      </c>
    </row>
    <row r="39" spans="1:20" ht="13" thickBot="1" x14ac:dyDescent="0.3">
      <c r="A39" s="135" t="str">
        <f>+Model!D37</f>
        <v>Equipment Costs</v>
      </c>
      <c r="B39" s="136"/>
      <c r="C39" s="137"/>
      <c r="G39" s="33">
        <v>0.5</v>
      </c>
      <c r="H39" s="6">
        <v>0.2</v>
      </c>
      <c r="I39" s="6">
        <v>1.5</v>
      </c>
      <c r="J39" s="85">
        <f>0.4/2</f>
        <v>0.2</v>
      </c>
      <c r="L39" s="33">
        <v>2</v>
      </c>
      <c r="M39" s="6" t="s">
        <v>43</v>
      </c>
      <c r="N39" s="29">
        <f t="shared" ref="N39:N45" si="8">+H39</f>
        <v>0.2</v>
      </c>
      <c r="P39" s="67">
        <f t="shared" ref="P39:P47" si="9">P$38*N39</f>
        <v>24414.123942740756</v>
      </c>
      <c r="Q39" s="72">
        <f t="shared" ref="Q39:Q51" si="10">P39/P$51</f>
        <v>6.1093606095920037E-2</v>
      </c>
    </row>
    <row r="40" spans="1:20" ht="13" thickBot="1" x14ac:dyDescent="0.3">
      <c r="A40" s="135" t="str">
        <f>+Model!D38</f>
        <v xml:space="preserve">Medium preparation unit </v>
      </c>
      <c r="B40" s="136" t="str">
        <f>+Model!E38</f>
        <v>€</v>
      </c>
      <c r="C40" s="138">
        <f>+R23</f>
        <v>10000</v>
      </c>
      <c r="G40" s="33">
        <v>0.35</v>
      </c>
      <c r="H40" s="6">
        <v>0.2</v>
      </c>
      <c r="I40" s="6">
        <v>0.6</v>
      </c>
      <c r="J40" s="68">
        <v>0.15</v>
      </c>
      <c r="L40" s="33">
        <v>3</v>
      </c>
      <c r="M40" s="6" t="s">
        <v>44</v>
      </c>
      <c r="N40" s="29">
        <f t="shared" si="8"/>
        <v>0.2</v>
      </c>
      <c r="P40" s="67">
        <f t="shared" si="9"/>
        <v>24414.123942740756</v>
      </c>
      <c r="Q40" s="72">
        <f t="shared" si="10"/>
        <v>6.1093606095920037E-2</v>
      </c>
    </row>
    <row r="41" spans="1:20" ht="13" thickBot="1" x14ac:dyDescent="0.3">
      <c r="A41" s="135" t="str">
        <f>+Model!D39</f>
        <v xml:space="preserve">Sterilization process </v>
      </c>
      <c r="B41" s="136" t="str">
        <f>+Model!E39</f>
        <v>€</v>
      </c>
      <c r="C41" s="138">
        <f t="shared" ref="C41:C48" si="11">+R24</f>
        <v>0</v>
      </c>
      <c r="G41" s="33">
        <v>0.4</v>
      </c>
      <c r="H41" s="6">
        <v>0.3</v>
      </c>
      <c r="I41" s="6">
        <v>0.6</v>
      </c>
      <c r="J41" s="85">
        <f>0.4/2</f>
        <v>0.2</v>
      </c>
      <c r="L41" s="33">
        <v>4</v>
      </c>
      <c r="M41" s="6" t="s">
        <v>45</v>
      </c>
      <c r="N41" s="29">
        <f t="shared" si="8"/>
        <v>0.3</v>
      </c>
      <c r="P41" s="67">
        <f t="shared" si="9"/>
        <v>36621.185914111134</v>
      </c>
      <c r="Q41" s="72">
        <f t="shared" si="10"/>
        <v>9.1640409143880053E-2</v>
      </c>
    </row>
    <row r="42" spans="1:20" ht="13" thickBot="1" x14ac:dyDescent="0.3">
      <c r="A42" s="135" t="str">
        <f>+Model!D40</f>
        <v xml:space="preserve">Air blower </v>
      </c>
      <c r="B42" s="136" t="str">
        <f>+Model!E40</f>
        <v>€</v>
      </c>
      <c r="C42" s="138">
        <f t="shared" si="11"/>
        <v>0</v>
      </c>
      <c r="G42" s="33">
        <v>0.15</v>
      </c>
      <c r="H42" s="6">
        <v>0.1</v>
      </c>
      <c r="I42" s="6">
        <v>0.2</v>
      </c>
      <c r="J42" s="68">
        <v>0.1</v>
      </c>
      <c r="L42" s="33">
        <v>5</v>
      </c>
      <c r="M42" s="6" t="s">
        <v>46</v>
      </c>
      <c r="N42" s="29">
        <f t="shared" si="8"/>
        <v>0.1</v>
      </c>
      <c r="P42" s="67">
        <f t="shared" si="9"/>
        <v>12207.061971370378</v>
      </c>
      <c r="Q42" s="72">
        <f t="shared" si="10"/>
        <v>3.0546803047960019E-2</v>
      </c>
    </row>
    <row r="43" spans="1:20" ht="13" thickBot="1" x14ac:dyDescent="0.3">
      <c r="A43" s="135" t="str">
        <f>+Model!D41</f>
        <v xml:space="preserve">Photobioreactors </v>
      </c>
      <c r="B43" s="136" t="str">
        <f>+Model!E41</f>
        <v>€</v>
      </c>
      <c r="C43" s="138">
        <f t="shared" si="11"/>
        <v>31420.601209270568</v>
      </c>
      <c r="G43" s="33">
        <v>0.45</v>
      </c>
      <c r="H43" s="6">
        <v>0.1</v>
      </c>
      <c r="I43" s="6">
        <v>2</v>
      </c>
      <c r="J43" s="85">
        <f>0.45/2</f>
        <v>0.22500000000000001</v>
      </c>
      <c r="L43" s="33">
        <v>6</v>
      </c>
      <c r="M43" s="6" t="s">
        <v>47</v>
      </c>
      <c r="N43" s="29">
        <f t="shared" si="8"/>
        <v>0.1</v>
      </c>
      <c r="P43" s="67">
        <f t="shared" si="9"/>
        <v>12207.061971370378</v>
      </c>
      <c r="Q43" s="72">
        <f t="shared" si="10"/>
        <v>3.0546803047960019E-2</v>
      </c>
    </row>
    <row r="44" spans="1:20" ht="13" thickBot="1" x14ac:dyDescent="0.3">
      <c r="A44" s="135" t="str">
        <f>+Model!D42</f>
        <v xml:space="preserve">Sedimenter </v>
      </c>
      <c r="B44" s="136" t="str">
        <f>+Model!E42</f>
        <v>€</v>
      </c>
      <c r="C44" s="138">
        <f t="shared" si="11"/>
        <v>36050.01850443321</v>
      </c>
      <c r="G44" s="33">
        <v>0.15</v>
      </c>
      <c r="H44" s="6">
        <v>0.05</v>
      </c>
      <c r="I44" s="6">
        <v>0.2</v>
      </c>
      <c r="J44" s="68">
        <v>0.12</v>
      </c>
      <c r="L44" s="33">
        <v>7</v>
      </c>
      <c r="M44" s="6" t="s">
        <v>48</v>
      </c>
      <c r="N44" s="29">
        <f t="shared" si="8"/>
        <v>0.05</v>
      </c>
      <c r="P44" s="67">
        <f t="shared" si="9"/>
        <v>6103.5309856851891</v>
      </c>
      <c r="Q44" s="72">
        <f t="shared" si="10"/>
        <v>1.5273401523980009E-2</v>
      </c>
    </row>
    <row r="45" spans="1:20" ht="13" thickBot="1" x14ac:dyDescent="0.3">
      <c r="A45" s="135" t="str">
        <f>+Model!D43</f>
        <v xml:space="preserve">Harvest storage tank </v>
      </c>
      <c r="B45" s="136" t="str">
        <f>+Model!E43</f>
        <v>€</v>
      </c>
      <c r="C45" s="138">
        <f t="shared" si="11"/>
        <v>600</v>
      </c>
      <c r="G45" s="33">
        <v>0.5</v>
      </c>
      <c r="H45" s="6">
        <v>0.2</v>
      </c>
      <c r="I45" s="6">
        <v>1</v>
      </c>
      <c r="J45" s="68">
        <v>0.2</v>
      </c>
      <c r="L45" s="33">
        <v>8</v>
      </c>
      <c r="M45" s="6" t="s">
        <v>49</v>
      </c>
      <c r="N45" s="29">
        <f t="shared" si="8"/>
        <v>0.2</v>
      </c>
      <c r="P45" s="67">
        <f t="shared" si="9"/>
        <v>24414.123942740756</v>
      </c>
      <c r="Q45" s="72">
        <f t="shared" si="10"/>
        <v>6.1093606095920037E-2</v>
      </c>
    </row>
    <row r="46" spans="1:20" ht="13" thickBot="1" x14ac:dyDescent="0.3">
      <c r="A46" s="135" t="str">
        <f>+Model!D44</f>
        <v>Decanter</v>
      </c>
      <c r="B46" s="136" t="str">
        <f>+Model!E44</f>
        <v>€</v>
      </c>
      <c r="C46" s="138">
        <f t="shared" si="11"/>
        <v>40000</v>
      </c>
      <c r="G46" s="33"/>
      <c r="J46" s="68">
        <v>0.06</v>
      </c>
      <c r="L46" s="33">
        <v>9</v>
      </c>
      <c r="M46" s="6" t="s">
        <v>50</v>
      </c>
      <c r="N46" s="29"/>
      <c r="P46" s="67">
        <f t="shared" si="9"/>
        <v>0</v>
      </c>
      <c r="Q46" s="72">
        <f t="shared" si="10"/>
        <v>0</v>
      </c>
    </row>
    <row r="47" spans="1:20" ht="13" thickBot="1" x14ac:dyDescent="0.3">
      <c r="A47" s="135" t="str">
        <f>+Model!D45</f>
        <v>Harvest pump</v>
      </c>
      <c r="B47" s="136" t="str">
        <f>+Model!E45</f>
        <v>€</v>
      </c>
      <c r="C47" s="138">
        <f t="shared" si="11"/>
        <v>1000</v>
      </c>
      <c r="G47" s="33">
        <v>0.25</v>
      </c>
      <c r="H47" s="6">
        <v>0.2</v>
      </c>
      <c r="I47" s="6">
        <v>0.3</v>
      </c>
      <c r="J47" s="68">
        <v>0.3</v>
      </c>
      <c r="L47" s="33">
        <v>10</v>
      </c>
      <c r="M47" s="6" t="s">
        <v>51</v>
      </c>
      <c r="N47" s="29">
        <f>+H47</f>
        <v>0.2</v>
      </c>
      <c r="P47" s="67">
        <f t="shared" si="9"/>
        <v>24414.123942740756</v>
      </c>
      <c r="Q47" s="72">
        <f t="shared" si="10"/>
        <v>6.1093606095920037E-2</v>
      </c>
    </row>
    <row r="48" spans="1:20" ht="13" thickBot="1" x14ac:dyDescent="0.3">
      <c r="A48" s="135" t="str">
        <f>+Model!D46</f>
        <v>CO2 supply unit</v>
      </c>
      <c r="B48" s="136" t="str">
        <f>+Model!E46</f>
        <v>€</v>
      </c>
      <c r="C48" s="138">
        <f t="shared" si="11"/>
        <v>3000</v>
      </c>
      <c r="G48" s="33">
        <v>0.35</v>
      </c>
      <c r="H48" s="6">
        <v>0.3</v>
      </c>
      <c r="I48" s="6">
        <v>0.4</v>
      </c>
      <c r="J48" s="85">
        <f>0.1/2</f>
        <v>0.05</v>
      </c>
      <c r="L48" s="33">
        <v>11</v>
      </c>
      <c r="M48" s="6" t="s">
        <v>52</v>
      </c>
      <c r="N48" s="29">
        <f>+H48</f>
        <v>0.3</v>
      </c>
      <c r="P48" s="67">
        <f>N$48*SUM(P38:P46)</f>
        <v>78735.549715338915</v>
      </c>
      <c r="Q48" s="72">
        <f t="shared" si="10"/>
        <v>0.19702687965934207</v>
      </c>
    </row>
    <row r="49" spans="1:20" ht="13" thickBot="1" x14ac:dyDescent="0.3">
      <c r="A49" s="135"/>
      <c r="B49" s="136"/>
      <c r="C49" s="137"/>
      <c r="G49" s="33">
        <v>0.05</v>
      </c>
      <c r="H49" s="6">
        <v>0.03</v>
      </c>
      <c r="I49" s="6">
        <v>0.08</v>
      </c>
      <c r="J49" s="85">
        <f>0.05/2</f>
        <v>2.5000000000000001E-2</v>
      </c>
      <c r="L49" s="33">
        <v>12</v>
      </c>
      <c r="M49" s="6" t="s">
        <v>53</v>
      </c>
      <c r="N49" s="29">
        <f>+H49</f>
        <v>0.03</v>
      </c>
      <c r="P49" s="67">
        <f>N$49*SUM(P38:P46)</f>
        <v>7873.5549715338911</v>
      </c>
      <c r="Q49" s="72">
        <f t="shared" si="10"/>
        <v>1.9702687965934204E-2</v>
      </c>
    </row>
    <row r="50" spans="1:20" ht="13" thickBot="1" x14ac:dyDescent="0.3">
      <c r="A50" s="135" t="str">
        <f>+Model!D48</f>
        <v>Fix Capital Costs</v>
      </c>
      <c r="B50" s="136"/>
      <c r="C50" s="137"/>
      <c r="G50" s="86">
        <v>0.1</v>
      </c>
      <c r="H50" s="76">
        <v>7.0000000000000007E-2</v>
      </c>
      <c r="I50" s="76">
        <v>0.15</v>
      </c>
      <c r="J50" s="87">
        <v>0.08</v>
      </c>
      <c r="L50" s="33">
        <v>13</v>
      </c>
      <c r="M50" s="6" t="s">
        <v>54</v>
      </c>
      <c r="N50" s="29">
        <f>+H50</f>
        <v>7.0000000000000007E-2</v>
      </c>
      <c r="P50" s="67">
        <f>N$50*SUM(P38:P49)</f>
        <v>26143.254270985362</v>
      </c>
      <c r="Q50" s="72">
        <f t="shared" si="10"/>
        <v>6.5420560747663559E-2</v>
      </c>
    </row>
    <row r="51" spans="1:20" ht="15" thickBot="1" x14ac:dyDescent="0.4">
      <c r="A51" s="135" t="str">
        <f>+Model!D49</f>
        <v>Major purchased equipment</v>
      </c>
      <c r="B51" s="136" t="str">
        <f>+Model!E49</f>
        <v>€</v>
      </c>
      <c r="C51" s="139">
        <f>+P38</f>
        <v>122070.61971370378</v>
      </c>
      <c r="G51" s="200" t="s">
        <v>184</v>
      </c>
      <c r="L51" s="88"/>
      <c r="M51" s="8" t="s">
        <v>130</v>
      </c>
      <c r="N51" s="89"/>
      <c r="O51" s="89"/>
      <c r="P51" s="78">
        <f>SUM(P38:P50)</f>
        <v>399618.31528506195</v>
      </c>
      <c r="Q51" s="90">
        <f t="shared" si="10"/>
        <v>1</v>
      </c>
    </row>
    <row r="52" spans="1:20" ht="13" thickBot="1" x14ac:dyDescent="0.3">
      <c r="A52" s="135" t="str">
        <f>+Model!D50</f>
        <v>Installation costs</v>
      </c>
      <c r="B52" s="136" t="str">
        <f>+Model!E50</f>
        <v>€</v>
      </c>
      <c r="C52" s="139">
        <f t="shared" ref="C52:C63" si="12">+P39</f>
        <v>24414.123942740756</v>
      </c>
      <c r="R52" s="11"/>
    </row>
    <row r="53" spans="1:20" ht="13.5" thickBot="1" x14ac:dyDescent="0.35">
      <c r="A53" s="135" t="str">
        <f>+Model!D51</f>
        <v>Instrumentation and control</v>
      </c>
      <c r="B53" s="136" t="str">
        <f>+Model!E51</f>
        <v>€</v>
      </c>
      <c r="C53" s="139">
        <f t="shared" si="12"/>
        <v>24414.123942740756</v>
      </c>
      <c r="L53" s="50" t="s">
        <v>131</v>
      </c>
      <c r="M53" s="55"/>
      <c r="N53" s="91"/>
      <c r="O53" s="91"/>
      <c r="P53" s="91"/>
      <c r="Q53" s="54"/>
      <c r="R53" s="92"/>
      <c r="S53" s="11"/>
      <c r="T53" s="11"/>
    </row>
    <row r="54" spans="1:20" ht="13.5" thickBot="1" x14ac:dyDescent="0.35">
      <c r="A54" s="135" t="str">
        <f>+Model!D52</f>
        <v>Piping</v>
      </c>
      <c r="B54" s="136" t="str">
        <f>+Model!E52</f>
        <v>€</v>
      </c>
      <c r="C54" s="139">
        <f t="shared" si="12"/>
        <v>36621.185914111134</v>
      </c>
      <c r="H54" s="26"/>
      <c r="I54" s="93"/>
      <c r="J54" s="61"/>
      <c r="L54" s="58" t="s">
        <v>112</v>
      </c>
      <c r="M54" s="94" t="s">
        <v>113</v>
      </c>
      <c r="N54" s="83"/>
      <c r="O54" s="8"/>
      <c r="P54" s="8" t="s">
        <v>129</v>
      </c>
      <c r="Q54" s="95" t="s">
        <v>117</v>
      </c>
      <c r="S54" s="11"/>
      <c r="T54" s="11"/>
    </row>
    <row r="55" spans="1:20" ht="13" thickBot="1" x14ac:dyDescent="0.3">
      <c r="A55" s="135" t="str">
        <f>+Model!D53</f>
        <v>Electrical</v>
      </c>
      <c r="B55" s="136" t="str">
        <f>+Model!E53</f>
        <v>€</v>
      </c>
      <c r="C55" s="139">
        <f t="shared" si="12"/>
        <v>12207.061971370378</v>
      </c>
      <c r="L55" s="33"/>
      <c r="M55" s="6" t="s">
        <v>55</v>
      </c>
      <c r="N55" s="6">
        <v>10</v>
      </c>
      <c r="Q55" s="96"/>
      <c r="S55" s="11"/>
      <c r="T55" s="11"/>
    </row>
    <row r="56" spans="1:20" ht="13" thickBot="1" x14ac:dyDescent="0.3">
      <c r="A56" s="135" t="str">
        <f>+Model!D54</f>
        <v>Buildings</v>
      </c>
      <c r="B56" s="136" t="str">
        <f>+Model!E54</f>
        <v>€</v>
      </c>
      <c r="C56" s="139">
        <f t="shared" si="12"/>
        <v>12207.061971370378</v>
      </c>
      <c r="L56" s="33"/>
      <c r="M56" s="6" t="s">
        <v>56</v>
      </c>
      <c r="P56" s="97">
        <f>+(P51-P44)/N55</f>
        <v>39351.478429937677</v>
      </c>
      <c r="Q56" s="96">
        <f t="shared" ref="Q56:Q60" si="13">+P56/P$60</f>
        <v>0.84854948922699214</v>
      </c>
      <c r="S56" s="11"/>
      <c r="T56" s="11"/>
    </row>
    <row r="57" spans="1:20" ht="13" thickBot="1" x14ac:dyDescent="0.3">
      <c r="A57" s="135" t="str">
        <f>+Model!D55</f>
        <v>Yard improvements</v>
      </c>
      <c r="B57" s="136" t="str">
        <f>+Model!E55</f>
        <v>€</v>
      </c>
      <c r="C57" s="139">
        <f t="shared" si="12"/>
        <v>6103.5309856851891</v>
      </c>
      <c r="L57" s="33"/>
      <c r="M57" s="6" t="s">
        <v>57</v>
      </c>
      <c r="N57" s="98">
        <v>0.01</v>
      </c>
      <c r="P57" s="97">
        <f>0.01*P56</f>
        <v>393.5147842993768</v>
      </c>
      <c r="Q57" s="96">
        <f t="shared" si="13"/>
        <v>8.4854948922699226E-3</v>
      </c>
      <c r="S57" s="11"/>
      <c r="T57" s="11"/>
    </row>
    <row r="58" spans="1:20" ht="13" thickBot="1" x14ac:dyDescent="0.3">
      <c r="A58" s="135" t="str">
        <f>+Model!D56</f>
        <v>Service facilities</v>
      </c>
      <c r="B58" s="136" t="str">
        <f>+Model!E56</f>
        <v>€</v>
      </c>
      <c r="C58" s="139">
        <f t="shared" si="12"/>
        <v>24414.123942740756</v>
      </c>
      <c r="L58" s="33"/>
      <c r="M58" s="6" t="s">
        <v>58</v>
      </c>
      <c r="N58" s="98">
        <v>6.0000000000000001E-3</v>
      </c>
      <c r="P58" s="97">
        <f>0.006*P56</f>
        <v>236.10887057962606</v>
      </c>
      <c r="Q58" s="96">
        <f t="shared" si="13"/>
        <v>5.0912969353619532E-3</v>
      </c>
      <c r="S58" s="11"/>
      <c r="T58" s="11"/>
    </row>
    <row r="59" spans="1:20" ht="15" thickBot="1" x14ac:dyDescent="0.4">
      <c r="A59" s="135" t="str">
        <f>+Model!D57</f>
        <v>Land</v>
      </c>
      <c r="B59" s="136" t="str">
        <f>+Model!E57</f>
        <v>€</v>
      </c>
      <c r="C59" s="139">
        <f t="shared" si="12"/>
        <v>0</v>
      </c>
      <c r="L59" s="33"/>
      <c r="M59" s="6" t="s">
        <v>59</v>
      </c>
      <c r="N59" s="98">
        <v>0.16</v>
      </c>
      <c r="P59" s="209">
        <f>0.16*(P51/N55)</f>
        <v>6393.8930445609922</v>
      </c>
      <c r="Q59" s="96">
        <f t="shared" si="13"/>
        <v>0.13787371894537587</v>
      </c>
      <c r="R59" s="210" t="s">
        <v>192</v>
      </c>
      <c r="S59" s="11"/>
      <c r="T59" s="11"/>
    </row>
    <row r="60" spans="1:20" ht="13.5" thickBot="1" x14ac:dyDescent="0.35">
      <c r="A60" s="135" t="str">
        <f>+Model!D58</f>
        <v>Engineering and supervision</v>
      </c>
      <c r="B60" s="136" t="str">
        <f>+Model!E58</f>
        <v>€</v>
      </c>
      <c r="C60" s="139">
        <f t="shared" si="12"/>
        <v>24414.123942740756</v>
      </c>
      <c r="L60" s="58"/>
      <c r="M60" s="8" t="s">
        <v>132</v>
      </c>
      <c r="N60" s="8"/>
      <c r="O60" s="8"/>
      <c r="P60" s="99">
        <f>SUM(P55:P59)</f>
        <v>46374.995129377676</v>
      </c>
      <c r="Q60" s="100">
        <f t="shared" si="13"/>
        <v>1</v>
      </c>
    </row>
    <row r="61" spans="1:20" ht="13" thickBot="1" x14ac:dyDescent="0.3">
      <c r="A61" s="135" t="str">
        <f>+Model!D59</f>
        <v>Construction expenses</v>
      </c>
      <c r="B61" s="136" t="str">
        <f>+Model!E59</f>
        <v>€</v>
      </c>
      <c r="C61" s="139">
        <f t="shared" si="12"/>
        <v>78735.549715338915</v>
      </c>
      <c r="Q61" s="16"/>
      <c r="S61" s="11"/>
      <c r="T61" s="11"/>
    </row>
    <row r="62" spans="1:20" ht="13.5" thickBot="1" x14ac:dyDescent="0.35">
      <c r="A62" s="135" t="str">
        <f>+Model!D60</f>
        <v>Contractor's fee</v>
      </c>
      <c r="B62" s="136" t="str">
        <f>+Model!E60</f>
        <v>€</v>
      </c>
      <c r="C62" s="139">
        <f t="shared" si="12"/>
        <v>7873.5549715338911</v>
      </c>
      <c r="L62" s="50" t="s">
        <v>133</v>
      </c>
      <c r="M62" s="55"/>
      <c r="N62" s="51"/>
      <c r="O62" s="51"/>
      <c r="P62" s="51"/>
      <c r="Q62" s="101"/>
    </row>
    <row r="63" spans="1:20" ht="13.5" thickBot="1" x14ac:dyDescent="0.35">
      <c r="A63" s="135" t="str">
        <f>+Model!D61</f>
        <v>Contingency</v>
      </c>
      <c r="B63" s="136" t="str">
        <f>+Model!E61</f>
        <v>€</v>
      </c>
      <c r="C63" s="139">
        <f t="shared" si="12"/>
        <v>26143.254270985362</v>
      </c>
      <c r="L63" s="58" t="s">
        <v>112</v>
      </c>
      <c r="M63" s="8" t="s">
        <v>62</v>
      </c>
      <c r="N63" s="8" t="s">
        <v>134</v>
      </c>
      <c r="O63" s="8" t="s">
        <v>135</v>
      </c>
      <c r="P63" s="8" t="s">
        <v>129</v>
      </c>
      <c r="Q63" s="102" t="s">
        <v>117</v>
      </c>
    </row>
    <row r="64" spans="1:20" ht="13.5" thickBot="1" x14ac:dyDescent="0.35">
      <c r="A64" s="135" t="str">
        <f>+Model!D62</f>
        <v>Total fix capital</v>
      </c>
      <c r="B64" s="136" t="str">
        <f>+Model!E62</f>
        <v>€</v>
      </c>
      <c r="C64" s="139">
        <f>+P51</f>
        <v>399618.31528506195</v>
      </c>
      <c r="H64" s="26"/>
      <c r="I64" s="93"/>
      <c r="J64" s="61"/>
      <c r="L64" s="33"/>
      <c r="M64" s="22" t="s">
        <v>151</v>
      </c>
      <c r="N64" s="103">
        <f>+N3*F10*1000</f>
        <v>21900</v>
      </c>
      <c r="O64" s="67">
        <f>+F9</f>
        <v>0</v>
      </c>
      <c r="P64" s="67">
        <f>N64*O64</f>
        <v>0</v>
      </c>
      <c r="Q64" s="96">
        <f>+P64/P$81</f>
        <v>0</v>
      </c>
    </row>
    <row r="65" spans="1:18" ht="13" thickBot="1" x14ac:dyDescent="0.3">
      <c r="A65" s="135"/>
      <c r="B65" s="136"/>
      <c r="C65" s="139"/>
      <c r="L65" s="33"/>
      <c r="M65" s="22" t="s">
        <v>65</v>
      </c>
      <c r="N65" s="103">
        <f>+(N12*N10*N8)*0.1+N12</f>
        <v>20250</v>
      </c>
      <c r="O65" s="67">
        <f>+O68</f>
        <v>0</v>
      </c>
      <c r="P65" s="67">
        <f>N65*O65</f>
        <v>0</v>
      </c>
      <c r="Q65" s="96">
        <f>+P65/P$81</f>
        <v>0</v>
      </c>
    </row>
    <row r="66" spans="1:18" ht="13" thickBot="1" x14ac:dyDescent="0.3">
      <c r="A66" s="135" t="str">
        <f>+Model!D64</f>
        <v>Fix Capital Costs per annun</v>
      </c>
      <c r="B66" s="136"/>
      <c r="C66" s="137"/>
      <c r="L66" s="33"/>
      <c r="M66" s="22" t="s">
        <v>63</v>
      </c>
      <c r="N66" s="103">
        <f>+N3*C7*1000</f>
        <v>73000</v>
      </c>
      <c r="O66" s="67">
        <f>+F8</f>
        <v>0.1</v>
      </c>
      <c r="P66" s="67">
        <f t="shared" ref="P66" si="14">N66*O66</f>
        <v>7300</v>
      </c>
      <c r="Q66" s="96">
        <f>+P66/P$81</f>
        <v>1</v>
      </c>
    </row>
    <row r="67" spans="1:18" ht="13.5" thickBot="1" x14ac:dyDescent="0.35">
      <c r="A67" s="135" t="str">
        <f>+Model!D65</f>
        <v>Lifetime</v>
      </c>
      <c r="B67" s="136" t="str">
        <f>+Model!E65</f>
        <v>€</v>
      </c>
      <c r="C67" s="137">
        <f>+N55</f>
        <v>10</v>
      </c>
      <c r="L67" s="58" t="str">
        <f>+L63</f>
        <v>Item</v>
      </c>
      <c r="M67" s="8" t="s">
        <v>64</v>
      </c>
      <c r="N67" s="8" t="s">
        <v>134</v>
      </c>
      <c r="O67" s="8" t="s">
        <v>135</v>
      </c>
      <c r="P67" s="8" t="s">
        <v>129</v>
      </c>
      <c r="Q67" s="102" t="s">
        <v>117</v>
      </c>
    </row>
    <row r="68" spans="1:18" ht="13" thickBot="1" x14ac:dyDescent="0.3">
      <c r="A68" s="135" t="str">
        <f>+Model!D66</f>
        <v>Depreciation</v>
      </c>
      <c r="B68" s="136" t="str">
        <f>+Model!E66</f>
        <v>€</v>
      </c>
      <c r="C68" s="139">
        <f>+P56</f>
        <v>39351.478429937677</v>
      </c>
      <c r="L68" s="33"/>
      <c r="M68" s="6" t="s">
        <v>153</v>
      </c>
      <c r="N68" s="103">
        <f>+C8*C11*C12*10</f>
        <v>21900</v>
      </c>
      <c r="O68" s="67">
        <f>+F7</f>
        <v>0</v>
      </c>
      <c r="P68" s="67">
        <f>+O68*N68</f>
        <v>0</v>
      </c>
      <c r="Q68" s="96">
        <f>+P68/P$82</f>
        <v>0</v>
      </c>
    </row>
    <row r="69" spans="1:18" ht="13" thickBot="1" x14ac:dyDescent="0.3">
      <c r="A69" s="135" t="str">
        <f>+Model!D67</f>
        <v>Property tax (@ 0.01 depreciation)</v>
      </c>
      <c r="B69" s="136" t="str">
        <f>+Model!E67</f>
        <v>€</v>
      </c>
      <c r="C69" s="139">
        <f t="shared" ref="C69:C71" si="15">+P57</f>
        <v>393.5147842993768</v>
      </c>
      <c r="L69" s="33"/>
      <c r="M69" s="6" t="s">
        <v>142</v>
      </c>
      <c r="N69" s="103">
        <f>+N7*N5*N13*10000*24*N8/1000</f>
        <v>350400</v>
      </c>
      <c r="O69" s="67">
        <f>+O70</f>
        <v>0.1</v>
      </c>
      <c r="P69" s="67">
        <f>N69*O69</f>
        <v>35040</v>
      </c>
      <c r="Q69" s="96">
        <f>+P69/P$82</f>
        <v>0.9974025974025974</v>
      </c>
      <c r="R69" s="6" t="s">
        <v>186</v>
      </c>
    </row>
    <row r="70" spans="1:18" ht="13" thickBot="1" x14ac:dyDescent="0.3">
      <c r="A70" s="135" t="str">
        <f>+Model!D68</f>
        <v>Insurance (@ 0.006 depreciation)</v>
      </c>
      <c r="B70" s="136" t="str">
        <f>+Model!E68</f>
        <v>€</v>
      </c>
      <c r="C70" s="139">
        <f t="shared" si="15"/>
        <v>236.10887057962606</v>
      </c>
      <c r="L70" s="33"/>
      <c r="M70" s="6" t="s">
        <v>143</v>
      </c>
      <c r="N70" s="103">
        <f>+I30*N9*N8*F12</f>
        <v>912.5</v>
      </c>
      <c r="O70" s="67">
        <f>+F11</f>
        <v>0.1</v>
      </c>
      <c r="P70" s="67">
        <f>N70*O70</f>
        <v>91.25</v>
      </c>
      <c r="Q70" s="96">
        <f>+P70/P$82</f>
        <v>2.5974025974025974E-3</v>
      </c>
      <c r="R70" s="6" t="s">
        <v>185</v>
      </c>
    </row>
    <row r="71" spans="1:18" ht="13.5" thickBot="1" x14ac:dyDescent="0.35">
      <c r="A71" s="135" t="str">
        <f>+Model!D69</f>
        <v>Purchase tax (@ 0.16 of items 1-12/10)</v>
      </c>
      <c r="B71" s="136" t="str">
        <f>+Model!E69</f>
        <v>€</v>
      </c>
      <c r="C71" s="139">
        <f t="shared" si="15"/>
        <v>6393.8930445609922</v>
      </c>
      <c r="L71" s="58" t="str">
        <f>+L67</f>
        <v>Item</v>
      </c>
      <c r="M71" s="8" t="s">
        <v>66</v>
      </c>
      <c r="N71" s="8" t="s">
        <v>134</v>
      </c>
      <c r="O71" s="8" t="s">
        <v>135</v>
      </c>
      <c r="P71" s="8" t="s">
        <v>129</v>
      </c>
      <c r="Q71" s="102" t="s">
        <v>117</v>
      </c>
    </row>
    <row r="72" spans="1:18" ht="13" thickBot="1" x14ac:dyDescent="0.3">
      <c r="A72" s="135"/>
      <c r="B72" s="136"/>
      <c r="C72" s="137"/>
      <c r="L72" s="33">
        <f>+L70+1</f>
        <v>1</v>
      </c>
      <c r="M72" s="6" t="s">
        <v>67</v>
      </c>
      <c r="N72" s="27">
        <f>+N16</f>
        <v>0.5</v>
      </c>
      <c r="O72" s="67">
        <f>+N15</f>
        <v>30000</v>
      </c>
      <c r="P72" s="67">
        <f t="shared" ref="P72:P80" si="16">N72*O72</f>
        <v>15000</v>
      </c>
      <c r="Q72" s="96">
        <f>+P72/P$83</f>
        <v>0.25216226490446697</v>
      </c>
    </row>
    <row r="73" spans="1:18" ht="13" thickBot="1" x14ac:dyDescent="0.3">
      <c r="A73" s="135" t="str">
        <f>+Model!D71</f>
        <v>Direct Production Costs</v>
      </c>
      <c r="B73" s="136"/>
      <c r="C73" s="137"/>
      <c r="L73" s="33">
        <f t="shared" ref="L73:L80" si="17">+L72+1</f>
        <v>2</v>
      </c>
      <c r="M73" s="6" t="s">
        <v>68</v>
      </c>
      <c r="N73" s="27">
        <v>0.2</v>
      </c>
      <c r="O73" s="71">
        <f>O72</f>
        <v>30000</v>
      </c>
      <c r="P73" s="67">
        <f t="shared" si="16"/>
        <v>6000</v>
      </c>
      <c r="Q73" s="96">
        <f t="shared" ref="Q73:Q80" si="18">+P73/P$83</f>
        <v>0.10086490596178678</v>
      </c>
    </row>
    <row r="74" spans="1:18" ht="13" thickBot="1" x14ac:dyDescent="0.3">
      <c r="A74" s="135" t="str">
        <f>+Model!D72</f>
        <v>Raw materials</v>
      </c>
      <c r="B74" s="136"/>
      <c r="C74" s="137"/>
      <c r="L74" s="33">
        <f t="shared" si="17"/>
        <v>3</v>
      </c>
      <c r="M74" s="6" t="s">
        <v>69</v>
      </c>
      <c r="N74" s="27">
        <v>0.25</v>
      </c>
      <c r="O74" s="67">
        <f>+P72+P73</f>
        <v>21000</v>
      </c>
      <c r="P74" s="67">
        <f t="shared" si="16"/>
        <v>5250</v>
      </c>
      <c r="Q74" s="96">
        <f t="shared" si="18"/>
        <v>8.8256792716563434E-2</v>
      </c>
    </row>
    <row r="75" spans="1:18" ht="13" thickBot="1" x14ac:dyDescent="0.3">
      <c r="A75" s="135" t="str">
        <f>+Model!D73</f>
        <v>Fertilizers (kg)</v>
      </c>
      <c r="B75" s="136" t="str">
        <f>+Model!E73</f>
        <v>€</v>
      </c>
      <c r="C75" s="139">
        <f>+P64</f>
        <v>0</v>
      </c>
      <c r="L75" s="33">
        <f t="shared" si="17"/>
        <v>4</v>
      </c>
      <c r="M75" s="6" t="s">
        <v>70</v>
      </c>
      <c r="N75" s="27">
        <v>0.04</v>
      </c>
      <c r="O75" s="67">
        <f>+P38</f>
        <v>122070.61971370378</v>
      </c>
      <c r="P75" s="67">
        <f t="shared" si="16"/>
        <v>4882.8247885481514</v>
      </c>
      <c r="Q75" s="96">
        <f t="shared" si="18"/>
        <v>8.2084277187465124E-2</v>
      </c>
    </row>
    <row r="76" spans="1:18" ht="13" thickBot="1" x14ac:dyDescent="0.3">
      <c r="A76" s="135" t="str">
        <f>+Model!D74</f>
        <v>Water (m3)</v>
      </c>
      <c r="B76" s="136" t="str">
        <f>+Model!E74</f>
        <v>€</v>
      </c>
      <c r="C76" s="139">
        <f t="shared" ref="C76:C77" si="19">+P65</f>
        <v>0</v>
      </c>
      <c r="L76" s="33">
        <f t="shared" si="17"/>
        <v>5</v>
      </c>
      <c r="M76" s="6" t="s">
        <v>193</v>
      </c>
      <c r="N76" s="27">
        <v>4.0000000000000001E-3</v>
      </c>
      <c r="O76" s="67">
        <f>SUM(P64:P66)</f>
        <v>7300</v>
      </c>
      <c r="P76" s="67">
        <f t="shared" si="16"/>
        <v>29.2</v>
      </c>
      <c r="Q76" s="96">
        <f t="shared" si="18"/>
        <v>4.908758756806957E-4</v>
      </c>
    </row>
    <row r="77" spans="1:18" ht="13" thickBot="1" x14ac:dyDescent="0.3">
      <c r="A77" s="135" t="str">
        <f>+Model!D75</f>
        <v>Carbon dioxide (kg)</v>
      </c>
      <c r="B77" s="136" t="str">
        <f>+Model!E75</f>
        <v>€</v>
      </c>
      <c r="C77" s="139">
        <f t="shared" si="19"/>
        <v>7300</v>
      </c>
      <c r="L77" s="33">
        <f t="shared" si="17"/>
        <v>6</v>
      </c>
      <c r="M77" s="6" t="s">
        <v>72</v>
      </c>
      <c r="N77" s="27">
        <v>0.55000000000000004</v>
      </c>
      <c r="O77" s="67">
        <f>P72+P73+P75</f>
        <v>25882.824788548151</v>
      </c>
      <c r="P77" s="67">
        <f t="shared" si="16"/>
        <v>14235.553633701484</v>
      </c>
      <c r="Q77" s="96">
        <f t="shared" si="18"/>
        <v>0.23931129642954538</v>
      </c>
    </row>
    <row r="78" spans="1:18" ht="13" thickBot="1" x14ac:dyDescent="0.3">
      <c r="A78" s="135" t="str">
        <f>+Model!D76</f>
        <v>Utilities</v>
      </c>
      <c r="B78" s="136"/>
      <c r="C78" s="139"/>
      <c r="L78" s="33">
        <f t="shared" si="17"/>
        <v>7</v>
      </c>
      <c r="M78" s="6" t="s">
        <v>194</v>
      </c>
      <c r="N78" s="27">
        <v>0.16</v>
      </c>
      <c r="O78" s="67">
        <f>SUM(P64:P66)+SUM(P68:P70)+P75+P76</f>
        <v>47343.274788548151</v>
      </c>
      <c r="P78" s="67">
        <f t="shared" si="16"/>
        <v>7574.9239661677047</v>
      </c>
      <c r="Q78" s="96">
        <f t="shared" si="18"/>
        <v>0.12734066558586507</v>
      </c>
    </row>
    <row r="79" spans="1:18" ht="13" thickBot="1" x14ac:dyDescent="0.3">
      <c r="A79" s="135" t="str">
        <f>+Model!D77</f>
        <v>Water (m3)</v>
      </c>
      <c r="B79" s="136" t="str">
        <f>+Model!E77</f>
        <v>€</v>
      </c>
      <c r="C79" s="139">
        <f>+P68</f>
        <v>0</v>
      </c>
      <c r="L79" s="33">
        <f t="shared" si="17"/>
        <v>8</v>
      </c>
      <c r="M79" s="6" t="s">
        <v>195</v>
      </c>
      <c r="N79" s="27">
        <v>0.05</v>
      </c>
      <c r="O79" s="67">
        <f>SUM(P64:P66)+SUM(P68:P70)</f>
        <v>42431.25</v>
      </c>
      <c r="P79" s="67">
        <f t="shared" si="16"/>
        <v>2121.5625</v>
      </c>
      <c r="Q79" s="96">
        <f t="shared" si="18"/>
        <v>3.5665200342425547E-2</v>
      </c>
    </row>
    <row r="80" spans="1:18" ht="13" thickBot="1" x14ac:dyDescent="0.3">
      <c r="A80" s="135" t="str">
        <f>+Model!D78</f>
        <v>Power mixing (kWh)</v>
      </c>
      <c r="B80" s="136" t="str">
        <f>+Model!E78</f>
        <v>€</v>
      </c>
      <c r="C80" s="139">
        <f t="shared" ref="C80:C94" si="20">+P69</f>
        <v>35040</v>
      </c>
      <c r="L80" s="33">
        <f t="shared" si="17"/>
        <v>9</v>
      </c>
      <c r="M80" s="6" t="s">
        <v>196</v>
      </c>
      <c r="N80" s="27">
        <v>0.05</v>
      </c>
      <c r="O80" s="67">
        <f>SUM(P64:P66)+SUM(P68:P70)+SUM(P72:P77)</f>
        <v>87828.828422249644</v>
      </c>
      <c r="P80" s="67">
        <f t="shared" si="16"/>
        <v>4391.4414211124822</v>
      </c>
      <c r="Q80" s="96">
        <f t="shared" si="18"/>
        <v>7.3823720996200964E-2</v>
      </c>
    </row>
    <row r="81" spans="1:20" ht="13.5" thickBot="1" x14ac:dyDescent="0.35">
      <c r="A81" s="135" t="str">
        <f>+Model!D79</f>
        <v>Power harvesting and others (Kwh)</v>
      </c>
      <c r="B81" s="136" t="str">
        <f>+Model!E79</f>
        <v>€</v>
      </c>
      <c r="C81" s="139">
        <f t="shared" si="20"/>
        <v>91.25</v>
      </c>
      <c r="L81" s="50"/>
      <c r="M81" s="55" t="s">
        <v>76</v>
      </c>
      <c r="N81" s="55"/>
      <c r="O81" s="55"/>
      <c r="P81" s="104">
        <f>+SUM(P64:P66)</f>
        <v>7300</v>
      </c>
      <c r="Q81" s="101"/>
    </row>
    <row r="82" spans="1:20" ht="13.5" thickBot="1" x14ac:dyDescent="0.35">
      <c r="A82" s="135" t="str">
        <f>+Model!D80</f>
        <v>Labor and others</v>
      </c>
      <c r="B82" s="136"/>
      <c r="C82" s="139"/>
      <c r="L82" s="105"/>
      <c r="M82" s="26" t="s">
        <v>77</v>
      </c>
      <c r="N82" s="26"/>
      <c r="O82" s="26"/>
      <c r="P82" s="106">
        <f>+SUM(P68:P70)</f>
        <v>35131.25</v>
      </c>
      <c r="Q82" s="96"/>
      <c r="R82" s="11"/>
    </row>
    <row r="83" spans="1:20" ht="13.5" thickBot="1" x14ac:dyDescent="0.35">
      <c r="A83" s="135" t="str">
        <f>+Model!D81</f>
        <v>Labor</v>
      </c>
      <c r="B83" s="136" t="str">
        <f>+Model!E81</f>
        <v>€</v>
      </c>
      <c r="C83" s="139">
        <f t="shared" si="20"/>
        <v>15000</v>
      </c>
      <c r="L83" s="107"/>
      <c r="M83" s="108" t="s">
        <v>78</v>
      </c>
      <c r="N83" s="108"/>
      <c r="O83" s="108"/>
      <c r="P83" s="109">
        <f>+SUM(P72:P80)</f>
        <v>59485.506309529825</v>
      </c>
      <c r="Q83" s="110"/>
      <c r="R83" s="11"/>
    </row>
    <row r="84" spans="1:20" ht="13" thickBot="1" x14ac:dyDescent="0.3">
      <c r="A84" s="135" t="str">
        <f>+Model!D82</f>
        <v>Supervision (@ 0.2 labor)</v>
      </c>
      <c r="B84" s="136" t="str">
        <f>+Model!E82</f>
        <v>€</v>
      </c>
      <c r="C84" s="139">
        <f t="shared" si="20"/>
        <v>6000</v>
      </c>
    </row>
    <row r="85" spans="1:20" ht="13" thickBot="1" x14ac:dyDescent="0.3">
      <c r="A85" s="135" t="str">
        <f>+Model!D83</f>
        <v>Payroll charges (@ 0.25 (labor + supervision))</v>
      </c>
      <c r="B85" s="136" t="str">
        <f>+Model!E83</f>
        <v>€</v>
      </c>
      <c r="C85" s="139">
        <f t="shared" si="20"/>
        <v>5250</v>
      </c>
      <c r="R85" s="11"/>
    </row>
    <row r="86" spans="1:20" ht="13.5" thickBot="1" x14ac:dyDescent="0.35">
      <c r="A86" s="135" t="str">
        <f>+Model!D84</f>
        <v>Maintenance (@ 0.04 MEC)</v>
      </c>
      <c r="B86" s="136" t="str">
        <f>+Model!E84</f>
        <v>€</v>
      </c>
      <c r="C86" s="139">
        <f t="shared" si="20"/>
        <v>4882.8247885481514</v>
      </c>
      <c r="L86" s="58" t="s">
        <v>136</v>
      </c>
      <c r="M86" s="8"/>
      <c r="N86" s="8"/>
      <c r="O86" s="8"/>
      <c r="P86" s="111"/>
      <c r="R86" s="11"/>
    </row>
    <row r="87" spans="1:20" ht="13.5" thickBot="1" x14ac:dyDescent="0.35">
      <c r="A87" s="135" t="str">
        <f>+Model!D85</f>
        <v>Operating supplies (@ 0.004 items 1-5)</v>
      </c>
      <c r="B87" s="136" t="str">
        <f>+Model!E85</f>
        <v>€</v>
      </c>
      <c r="C87" s="139">
        <f t="shared" si="20"/>
        <v>29.2</v>
      </c>
      <c r="L87" s="58" t="s">
        <v>112</v>
      </c>
      <c r="M87" s="8" t="s">
        <v>137</v>
      </c>
      <c r="N87" s="8"/>
      <c r="O87" s="8" t="s">
        <v>129</v>
      </c>
      <c r="P87" s="111" t="s">
        <v>84</v>
      </c>
      <c r="S87" s="25"/>
      <c r="T87" s="25"/>
    </row>
    <row r="88" spans="1:20" ht="13" thickBot="1" x14ac:dyDescent="0.3">
      <c r="A88" s="135" t="str">
        <f>+Model!D86</f>
        <v>General plant overheads (@ 0.55 (labor + supervision + maintenance))</v>
      </c>
      <c r="B88" s="136" t="str">
        <f>+Model!E86</f>
        <v>€</v>
      </c>
      <c r="C88" s="139">
        <f t="shared" si="20"/>
        <v>14235.553633701484</v>
      </c>
      <c r="L88" s="112">
        <v>1</v>
      </c>
      <c r="M88" s="113" t="str">
        <f>+M60</f>
        <v>Total fix capital per annun</v>
      </c>
      <c r="N88" s="113"/>
      <c r="O88" s="114">
        <f>+P60</f>
        <v>46374.995129377676</v>
      </c>
      <c r="P88" s="115">
        <f>+O88/O$94</f>
        <v>0.31272808284608478</v>
      </c>
    </row>
    <row r="89" spans="1:20" ht="13" thickBot="1" x14ac:dyDescent="0.3">
      <c r="A89" s="135" t="str">
        <f>+Model!D87</f>
        <v>Tax (@ 0.16 items 1-7, 11 and 12)</v>
      </c>
      <c r="B89" s="136" t="str">
        <f>+Model!E87</f>
        <v>€</v>
      </c>
      <c r="C89" s="139">
        <f t="shared" si="20"/>
        <v>7574.9239661677047</v>
      </c>
      <c r="L89" s="33">
        <v>2</v>
      </c>
      <c r="M89" s="22" t="str">
        <f>+M81</f>
        <v>Total raw materials</v>
      </c>
      <c r="N89" s="22"/>
      <c r="O89" s="71">
        <f>+P81</f>
        <v>7300</v>
      </c>
      <c r="P89" s="116">
        <f>+O89/O$94</f>
        <v>4.9227282901216647E-2</v>
      </c>
    </row>
    <row r="90" spans="1:20" ht="13" thickBot="1" x14ac:dyDescent="0.3">
      <c r="A90" s="135" t="str">
        <f>+Model!D88</f>
        <v>Contingency (@ 0.05 items 1-7)</v>
      </c>
      <c r="B90" s="136" t="str">
        <f>+Model!E88</f>
        <v>€</v>
      </c>
      <c r="C90" s="139">
        <f t="shared" si="20"/>
        <v>2121.5625</v>
      </c>
      <c r="L90" s="33">
        <v>3</v>
      </c>
      <c r="M90" s="22" t="str">
        <f>+M82</f>
        <v>Total utilities</v>
      </c>
      <c r="N90" s="22"/>
      <c r="O90" s="71">
        <f>+P82</f>
        <v>35131.25</v>
      </c>
      <c r="P90" s="116">
        <f>+O90/O$94</f>
        <v>0.23690629896210511</v>
      </c>
    </row>
    <row r="91" spans="1:20" ht="13" thickBot="1" x14ac:dyDescent="0.3">
      <c r="A91" s="135" t="str">
        <f>+Model!D89</f>
        <v>Marketing (@ 0.05 items 1-13)</v>
      </c>
      <c r="B91" s="136" t="str">
        <f>+Model!E89</f>
        <v>€</v>
      </c>
      <c r="C91" s="139">
        <f t="shared" si="20"/>
        <v>4391.4414211124822</v>
      </c>
      <c r="L91" s="86">
        <v>4</v>
      </c>
      <c r="M91" s="190" t="str">
        <f>+M83</f>
        <v>Total labor and others</v>
      </c>
      <c r="N91" s="190"/>
      <c r="O91" s="191">
        <f>+P83</f>
        <v>59485.506309529825</v>
      </c>
      <c r="P91" s="192">
        <f>+O91/O$94</f>
        <v>0.40113833529059351</v>
      </c>
    </row>
    <row r="92" spans="1:20" ht="13.5" thickBot="1" x14ac:dyDescent="0.35">
      <c r="A92" s="135" t="str">
        <f>+Model!D90</f>
        <v>Total raw materials</v>
      </c>
      <c r="B92" s="136" t="str">
        <f>+Model!E90</f>
        <v>€</v>
      </c>
      <c r="C92" s="139">
        <f t="shared" si="20"/>
        <v>7300</v>
      </c>
      <c r="L92" s="188"/>
      <c r="M92" s="26" t="str">
        <f>+M88</f>
        <v>Total fix capital per annun</v>
      </c>
      <c r="N92" s="26"/>
      <c r="O92" s="204">
        <f>+O88</f>
        <v>46374.995129377676</v>
      </c>
      <c r="P92" s="189">
        <f>+O92/O94</f>
        <v>0.31272808284608478</v>
      </c>
    </row>
    <row r="93" spans="1:20" ht="13.5" thickBot="1" x14ac:dyDescent="0.35">
      <c r="A93" s="135" t="str">
        <f>+Model!D91</f>
        <v>Total utilities</v>
      </c>
      <c r="B93" s="136" t="str">
        <f>+Model!E91</f>
        <v>€</v>
      </c>
      <c r="C93" s="139">
        <f t="shared" si="20"/>
        <v>35131.25</v>
      </c>
      <c r="L93" s="105"/>
      <c r="M93" s="26" t="s">
        <v>138</v>
      </c>
      <c r="N93" s="26"/>
      <c r="O93" s="204">
        <f>+P83+P82+P81</f>
        <v>101916.75630952982</v>
      </c>
      <c r="P93" s="118">
        <f>+O93/O94</f>
        <v>0.68727191715391522</v>
      </c>
    </row>
    <row r="94" spans="1:20" ht="13.5" thickBot="1" x14ac:dyDescent="0.35">
      <c r="A94" s="135" t="str">
        <f>+Model!D92</f>
        <v>Total labor and others</v>
      </c>
      <c r="B94" s="136" t="str">
        <f>+Model!E92</f>
        <v>€</v>
      </c>
      <c r="C94" s="139">
        <f t="shared" si="20"/>
        <v>59485.506309529825</v>
      </c>
      <c r="L94" s="58"/>
      <c r="M94" s="8" t="s">
        <v>139</v>
      </c>
      <c r="N94" s="8"/>
      <c r="O94" s="205">
        <f>+O93+P60</f>
        <v>148291.75143890749</v>
      </c>
      <c r="P94" s="119"/>
    </row>
    <row r="95" spans="1:20" ht="13.5" thickBot="1" x14ac:dyDescent="0.35">
      <c r="A95" s="135" t="str">
        <f>+Model!D93</f>
        <v>Total fix capital per annun</v>
      </c>
      <c r="B95" s="136" t="str">
        <f>+Model!E93</f>
        <v>€</v>
      </c>
      <c r="C95" s="139">
        <f>+O92</f>
        <v>46374.995129377676</v>
      </c>
      <c r="L95" s="107"/>
      <c r="M95" s="108" t="s">
        <v>140</v>
      </c>
      <c r="N95" s="108"/>
      <c r="O95" s="143">
        <f>+O94/(N3*1000)</f>
        <v>2.0313938553274999</v>
      </c>
      <c r="P95" s="120"/>
      <c r="R95" s="212"/>
    </row>
    <row r="96" spans="1:20" ht="13" thickBot="1" x14ac:dyDescent="0.3">
      <c r="A96" s="135" t="str">
        <f>+Model!D94</f>
        <v>Total direct production costs</v>
      </c>
      <c r="B96" s="136" t="str">
        <f>+Model!E94</f>
        <v>€</v>
      </c>
      <c r="C96" s="139">
        <f t="shared" ref="C96:C98" si="21">+O93</f>
        <v>101916.75630952982</v>
      </c>
    </row>
    <row r="97" spans="1:3" ht="13" thickBot="1" x14ac:dyDescent="0.3">
      <c r="A97" s="135" t="str">
        <f>+Model!D95</f>
        <v>Total production costs</v>
      </c>
      <c r="B97" s="136" t="str">
        <f>+Model!E95</f>
        <v>€</v>
      </c>
      <c r="C97" s="139">
        <f t="shared" si="21"/>
        <v>148291.75143890749</v>
      </c>
    </row>
    <row r="98" spans="1:3" ht="13" thickBot="1" x14ac:dyDescent="0.3">
      <c r="A98" s="135" t="str">
        <f>+Model!D96</f>
        <v>Unit cost of producing biomass</v>
      </c>
      <c r="B98" s="136" t="str">
        <f>+Model!E96</f>
        <v>€/kg</v>
      </c>
      <c r="C98" s="139">
        <f t="shared" si="21"/>
        <v>2.0313938553274999</v>
      </c>
    </row>
  </sheetData>
  <pageMargins left="0.7" right="0.7" top="0.75" bottom="0.75" header="0.3" footer="0.3"/>
  <pageSetup paperSize="9"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X98"/>
  <sheetViews>
    <sheetView zoomScale="70" zoomScaleNormal="70" workbookViewId="0">
      <selection activeCell="C6" sqref="C6"/>
    </sheetView>
  </sheetViews>
  <sheetFormatPr baseColWidth="10" defaultColWidth="11.453125" defaultRowHeight="12.5" x14ac:dyDescent="0.25"/>
  <cols>
    <col min="1" max="1" width="35.453125" style="6" customWidth="1"/>
    <col min="2" max="2" width="19.1796875" style="6" bestFit="1" customWidth="1"/>
    <col min="3" max="3" width="16.54296875" style="6" bestFit="1" customWidth="1"/>
    <col min="4" max="4" width="23.26953125" style="6" bestFit="1" customWidth="1"/>
    <col min="5" max="5" width="29.26953125" style="6" bestFit="1" customWidth="1"/>
    <col min="6" max="6" width="18.453125" style="6" bestFit="1" customWidth="1"/>
    <col min="7" max="7" width="12.81640625" style="6" customWidth="1"/>
    <col min="8" max="8" width="11.54296875" style="6" bestFit="1" customWidth="1"/>
    <col min="9" max="9" width="16.1796875" style="6" bestFit="1" customWidth="1"/>
    <col min="10" max="10" width="13.1796875" style="6" bestFit="1" customWidth="1"/>
    <col min="11" max="11" width="7.1796875" style="6" customWidth="1"/>
    <col min="12" max="12" width="8.7265625" style="6" customWidth="1"/>
    <col min="13" max="13" width="60.453125" style="6" bestFit="1" customWidth="1"/>
    <col min="14" max="14" width="15.1796875" style="6" bestFit="1" customWidth="1"/>
    <col min="15" max="15" width="17.26953125" style="6" customWidth="1"/>
    <col min="16" max="16" width="16.453125" style="6" customWidth="1"/>
    <col min="17" max="17" width="12.54296875" style="6" customWidth="1"/>
    <col min="18" max="18" width="21.1796875" style="6" bestFit="1" customWidth="1"/>
    <col min="19" max="19" width="10.81640625" style="6" bestFit="1" customWidth="1"/>
    <col min="20" max="20" width="6.54296875" style="6" bestFit="1" customWidth="1"/>
    <col min="21" max="21" width="4" style="6" customWidth="1"/>
    <col min="22" max="22" width="20.26953125" style="6" bestFit="1" customWidth="1"/>
    <col min="23" max="23" width="11" style="6" bestFit="1" customWidth="1"/>
    <col min="24" max="24" width="10" style="6" bestFit="1" customWidth="1"/>
    <col min="25" max="16384" width="11.453125" style="6"/>
  </cols>
  <sheetData>
    <row r="1" spans="1:50" ht="13" thickBot="1" x14ac:dyDescent="0.3"/>
    <row r="2" spans="1:50" ht="13.5" thickBot="1" x14ac:dyDescent="0.35">
      <c r="L2" s="112"/>
      <c r="M2" s="55" t="s">
        <v>79</v>
      </c>
      <c r="N2" s="51"/>
      <c r="O2" s="54"/>
    </row>
    <row r="3" spans="1:50" x14ac:dyDescent="0.25">
      <c r="L3" s="112">
        <v>1</v>
      </c>
      <c r="M3" s="113" t="s">
        <v>81</v>
      </c>
      <c r="N3" s="129">
        <f>+N13*N14*N8/100</f>
        <v>109.5</v>
      </c>
      <c r="O3" s="130" t="s">
        <v>82</v>
      </c>
    </row>
    <row r="4" spans="1:50" ht="13" thickBot="1" x14ac:dyDescent="0.3">
      <c r="L4" s="33">
        <v>2</v>
      </c>
      <c r="M4" s="22" t="s">
        <v>3</v>
      </c>
      <c r="N4" s="29">
        <f>+N14/(N5*1000)</f>
        <v>0.15</v>
      </c>
      <c r="O4" s="30" t="s">
        <v>85</v>
      </c>
      <c r="AI4" s="7"/>
      <c r="AJ4" s="7"/>
      <c r="AK4" s="7"/>
      <c r="AL4" s="7"/>
      <c r="AM4" s="7"/>
      <c r="AN4" s="7"/>
      <c r="AO4" s="7"/>
    </row>
    <row r="5" spans="1:50" ht="13.5" thickBot="1" x14ac:dyDescent="0.35">
      <c r="A5" s="121" t="str">
        <f>+Model!D3</f>
        <v>Technical parameters</v>
      </c>
      <c r="B5" s="122"/>
      <c r="C5" s="123"/>
      <c r="E5" s="58" t="s">
        <v>80</v>
      </c>
      <c r="F5" s="9"/>
      <c r="G5" s="10"/>
      <c r="L5" s="13">
        <v>3</v>
      </c>
      <c r="M5" s="14" t="s">
        <v>22</v>
      </c>
      <c r="N5" s="12">
        <f>+C13</f>
        <v>0.2</v>
      </c>
      <c r="O5" s="15" t="s">
        <v>88</v>
      </c>
      <c r="AI5" s="11"/>
      <c r="AJ5" s="11"/>
      <c r="AK5" s="11"/>
      <c r="AL5" s="11"/>
      <c r="AM5" s="11"/>
      <c r="AN5" s="11"/>
      <c r="AO5" s="11"/>
    </row>
    <row r="6" spans="1:50" ht="13" x14ac:dyDescent="0.3">
      <c r="A6" s="124" t="str">
        <f>+Model!D4</f>
        <v>Biomass productivity</v>
      </c>
      <c r="B6" s="125" t="str">
        <f>+Model!E4</f>
        <v>g/m2/day</v>
      </c>
      <c r="C6" s="147">
        <f>+Model!L4</f>
        <v>30</v>
      </c>
      <c r="D6" s="140"/>
      <c r="E6" s="148" t="s">
        <v>83</v>
      </c>
      <c r="F6" s="149">
        <f>+C26</f>
        <v>20</v>
      </c>
      <c r="G6" s="130" t="s">
        <v>91</v>
      </c>
      <c r="L6" s="13">
        <v>4</v>
      </c>
      <c r="M6" s="14" t="s">
        <v>89</v>
      </c>
      <c r="N6" s="20">
        <v>0.01</v>
      </c>
      <c r="O6" s="15" t="s">
        <v>90</v>
      </c>
      <c r="P6" s="12"/>
    </row>
    <row r="7" spans="1:50" ht="13" x14ac:dyDescent="0.3">
      <c r="A7" s="124" t="str">
        <f>+Model!D5</f>
        <v>CO2 usage</v>
      </c>
      <c r="B7" s="125" t="str">
        <f>+Model!E5</f>
        <v>kg/kg algae biomass</v>
      </c>
      <c r="C7" s="147">
        <f>+Model!L5</f>
        <v>1</v>
      </c>
      <c r="D7" s="140"/>
      <c r="E7" s="28" t="s">
        <v>96</v>
      </c>
      <c r="F7" s="201">
        <f>+C20</f>
        <v>0</v>
      </c>
      <c r="G7" s="141" t="s">
        <v>91</v>
      </c>
      <c r="L7" s="13">
        <v>5</v>
      </c>
      <c r="M7" s="14" t="s">
        <v>21</v>
      </c>
      <c r="N7" s="20">
        <f>+C9</f>
        <v>20</v>
      </c>
      <c r="O7" s="15" t="s">
        <v>92</v>
      </c>
      <c r="P7" s="12"/>
      <c r="AI7" s="16"/>
      <c r="AJ7" s="16"/>
      <c r="AK7" s="16"/>
      <c r="AL7" s="16"/>
      <c r="AM7" s="16"/>
      <c r="AN7" s="16"/>
      <c r="AO7" s="16"/>
    </row>
    <row r="8" spans="1:50" ht="13" x14ac:dyDescent="0.3">
      <c r="A8" s="124" t="str">
        <f>+Model!D6</f>
        <v>Water evaporation</v>
      </c>
      <c r="B8" s="125" t="str">
        <f>+Model!E6</f>
        <v>L/m2/day</v>
      </c>
      <c r="C8" s="147">
        <f>+Model!L6</f>
        <v>6</v>
      </c>
      <c r="D8" s="140"/>
      <c r="E8" s="28" t="s">
        <v>86</v>
      </c>
      <c r="F8" s="29">
        <f>+C21</f>
        <v>0.1</v>
      </c>
      <c r="G8" s="30" t="s">
        <v>87</v>
      </c>
      <c r="L8" s="13">
        <v>6</v>
      </c>
      <c r="M8" s="14" t="s">
        <v>93</v>
      </c>
      <c r="N8" s="24">
        <f>+C11</f>
        <v>365</v>
      </c>
      <c r="O8" s="15" t="s">
        <v>94</v>
      </c>
      <c r="P8" s="12"/>
      <c r="AI8" s="16"/>
      <c r="AJ8" s="16"/>
      <c r="AK8" s="16"/>
      <c r="AL8" s="16"/>
      <c r="AM8" s="16"/>
      <c r="AN8" s="16"/>
      <c r="AO8" s="16"/>
    </row>
    <row r="9" spans="1:50" ht="13" x14ac:dyDescent="0.3">
      <c r="A9" s="124" t="str">
        <f>+Model!D7</f>
        <v>Mixing power consumption</v>
      </c>
      <c r="B9" s="125" t="str">
        <f>+Model!E7</f>
        <v>W/m3</v>
      </c>
      <c r="C9" s="147">
        <f>+Model!L7</f>
        <v>20</v>
      </c>
      <c r="D9" s="140"/>
      <c r="E9" s="28" t="s">
        <v>150</v>
      </c>
      <c r="F9" s="29">
        <f>+C22</f>
        <v>0</v>
      </c>
      <c r="G9" s="30" t="s">
        <v>87</v>
      </c>
      <c r="L9" s="28">
        <v>7</v>
      </c>
      <c r="M9" s="22" t="s">
        <v>93</v>
      </c>
      <c r="N9" s="29">
        <v>10</v>
      </c>
      <c r="O9" s="30" t="s">
        <v>95</v>
      </c>
      <c r="P9" s="20"/>
      <c r="AI9" s="16"/>
      <c r="AJ9" s="16"/>
      <c r="AK9" s="16"/>
      <c r="AL9" s="16"/>
      <c r="AM9" s="16"/>
      <c r="AN9" s="16"/>
      <c r="AO9" s="16"/>
    </row>
    <row r="10" spans="1:50" ht="13" x14ac:dyDescent="0.3">
      <c r="A10" s="124" t="str">
        <f>+Model!D8</f>
        <v xml:space="preserve">Labour </v>
      </c>
      <c r="B10" s="125" t="str">
        <f>+Model!E8</f>
        <v>people/ha</v>
      </c>
      <c r="C10" s="147">
        <f>+Model!L8</f>
        <v>0.5</v>
      </c>
      <c r="E10" s="33" t="s">
        <v>152</v>
      </c>
      <c r="F10" s="6">
        <v>0.3</v>
      </c>
      <c r="G10" s="141" t="s">
        <v>141</v>
      </c>
      <c r="I10" s="21"/>
      <c r="J10" s="21"/>
      <c r="K10" s="21"/>
      <c r="L10" s="13">
        <v>8</v>
      </c>
      <c r="M10" s="14" t="s">
        <v>23</v>
      </c>
      <c r="N10" s="12">
        <f>+C15</f>
        <v>0.25</v>
      </c>
      <c r="O10" s="15" t="s">
        <v>24</v>
      </c>
      <c r="P10" s="20"/>
      <c r="AI10" s="16"/>
      <c r="AJ10" s="16"/>
      <c r="AK10" s="16"/>
      <c r="AL10" s="16"/>
      <c r="AM10" s="16"/>
      <c r="AN10" s="16"/>
      <c r="AO10" s="16"/>
    </row>
    <row r="11" spans="1:50" ht="13" x14ac:dyDescent="0.3">
      <c r="A11" s="124" t="str">
        <f>+Model!D9</f>
        <v>Production days</v>
      </c>
      <c r="B11" s="125" t="str">
        <f>+Model!E9</f>
        <v>Days</v>
      </c>
      <c r="C11" s="147">
        <f>+Model!L9</f>
        <v>365</v>
      </c>
      <c r="E11" s="28" t="s">
        <v>97</v>
      </c>
      <c r="F11" s="29">
        <f>+C24</f>
        <v>0.1</v>
      </c>
      <c r="G11" s="141" t="s">
        <v>149</v>
      </c>
      <c r="I11" s="21"/>
      <c r="J11" s="21"/>
      <c r="K11" s="21"/>
      <c r="L11" s="28">
        <v>9</v>
      </c>
      <c r="M11" s="22" t="s">
        <v>98</v>
      </c>
      <c r="N11" s="29">
        <f>+N4/N10</f>
        <v>0.6</v>
      </c>
      <c r="O11" s="30" t="s">
        <v>99</v>
      </c>
      <c r="P11" s="24"/>
    </row>
    <row r="12" spans="1:50" ht="13.5" thickBot="1" x14ac:dyDescent="0.35">
      <c r="A12" s="124" t="str">
        <f>+Model!D10</f>
        <v>Land area</v>
      </c>
      <c r="B12" s="125" t="str">
        <f>+Model!E10</f>
        <v>ha</v>
      </c>
      <c r="C12" s="147">
        <f>+Model!L10</f>
        <v>1</v>
      </c>
      <c r="E12" s="86" t="s">
        <v>155</v>
      </c>
      <c r="F12" s="150">
        <f>+C25</f>
        <v>0.1</v>
      </c>
      <c r="G12" s="151" t="s">
        <v>154</v>
      </c>
      <c r="I12" s="81"/>
      <c r="J12" s="25"/>
      <c r="K12" s="25"/>
      <c r="L12" s="33">
        <v>10</v>
      </c>
      <c r="M12" s="22" t="s">
        <v>25</v>
      </c>
      <c r="N12" s="34">
        <f>+N3*1000/(N4*C11)</f>
        <v>2000</v>
      </c>
      <c r="O12" s="30" t="s">
        <v>37</v>
      </c>
      <c r="P12" s="24"/>
      <c r="S12" s="26"/>
    </row>
    <row r="13" spans="1:50" ht="13" x14ac:dyDescent="0.3">
      <c r="A13" s="124" t="str">
        <f>+Model!D11</f>
        <v>Ratio V/S</v>
      </c>
      <c r="B13" s="125" t="str">
        <f>+Model!E11</f>
        <v>m3/m2</v>
      </c>
      <c r="C13" s="147">
        <f>+Model!L11</f>
        <v>0.2</v>
      </c>
      <c r="I13" s="81"/>
      <c r="J13" s="21"/>
      <c r="K13" s="21"/>
      <c r="L13" s="13">
        <v>11</v>
      </c>
      <c r="M13" s="14" t="s">
        <v>100</v>
      </c>
      <c r="N13" s="24">
        <f>+C12</f>
        <v>1</v>
      </c>
      <c r="O13" s="15" t="s">
        <v>101</v>
      </c>
      <c r="P13" s="12"/>
      <c r="Q13" s="22"/>
      <c r="R13" s="27"/>
      <c r="AI13" s="11"/>
      <c r="AJ13" s="11"/>
      <c r="AK13" s="11"/>
      <c r="AL13" s="11"/>
      <c r="AM13" s="11"/>
      <c r="AN13" s="11"/>
      <c r="AO13" s="11"/>
      <c r="AR13" s="11"/>
      <c r="AS13" s="11"/>
      <c r="AT13" s="11"/>
      <c r="AU13" s="11"/>
      <c r="AV13" s="11"/>
      <c r="AW13" s="11"/>
      <c r="AX13" s="11"/>
    </row>
    <row r="14" spans="1:50" ht="13.5" thickBot="1" x14ac:dyDescent="0.35">
      <c r="A14" s="124" t="str">
        <f>+Model!D12</f>
        <v>CO2 fixation efficiency</v>
      </c>
      <c r="B14" s="125"/>
      <c r="C14" s="147">
        <f>+Model!L12</f>
        <v>1.8</v>
      </c>
      <c r="L14" s="17">
        <v>12</v>
      </c>
      <c r="M14" s="18" t="s">
        <v>3</v>
      </c>
      <c r="N14" s="131">
        <f>+C6</f>
        <v>30</v>
      </c>
      <c r="O14" s="19" t="s">
        <v>103</v>
      </c>
      <c r="P14" s="29"/>
      <c r="Q14" s="22"/>
      <c r="V14" s="22"/>
      <c r="W14" s="31"/>
      <c r="X14" s="23"/>
      <c r="AI14" s="11"/>
      <c r="AJ14" s="11"/>
      <c r="AK14" s="11"/>
      <c r="AL14" s="11"/>
      <c r="AM14" s="11"/>
      <c r="AN14" s="11"/>
      <c r="AO14" s="11"/>
      <c r="AR14" s="11"/>
      <c r="AS14" s="11"/>
      <c r="AT14" s="11"/>
      <c r="AU14" s="11"/>
      <c r="AV14" s="11"/>
      <c r="AW14" s="11"/>
      <c r="AX14" s="11"/>
    </row>
    <row r="15" spans="1:50" ht="13.5" thickBot="1" x14ac:dyDescent="0.35">
      <c r="A15" s="124" t="str">
        <f>+Model!D13</f>
        <v>Dilution rate</v>
      </c>
      <c r="B15" s="125" t="str">
        <f>+Model!E13</f>
        <v>1/day</v>
      </c>
      <c r="C15" s="147">
        <f>+Model!L13</f>
        <v>0.25</v>
      </c>
      <c r="I15" s="32"/>
      <c r="J15" s="32"/>
      <c r="K15" s="32"/>
      <c r="L15" s="282">
        <v>13</v>
      </c>
      <c r="M15" s="283" t="s">
        <v>273</v>
      </c>
      <c r="N15" s="284">
        <v>30000</v>
      </c>
      <c r="O15" s="285" t="s">
        <v>274</v>
      </c>
      <c r="P15" s="34"/>
      <c r="Q15" s="22"/>
      <c r="U15" s="26"/>
      <c r="X15" s="23"/>
      <c r="AI15" s="11"/>
      <c r="AJ15" s="11"/>
      <c r="AK15" s="11"/>
      <c r="AL15" s="11"/>
      <c r="AM15" s="11"/>
      <c r="AN15" s="11"/>
      <c r="AO15" s="11"/>
      <c r="AR15" s="11"/>
      <c r="AS15" s="11"/>
      <c r="AT15" s="11"/>
      <c r="AU15" s="11"/>
      <c r="AV15" s="11"/>
      <c r="AW15" s="11"/>
      <c r="AX15" s="11"/>
    </row>
    <row r="16" spans="1:50" ht="13.5" thickBot="1" x14ac:dyDescent="0.35">
      <c r="A16" s="124" t="str">
        <f>+Model!D14</f>
        <v>Total culture volume</v>
      </c>
      <c r="B16" s="125" t="str">
        <f>+Model!E14</f>
        <v>m3</v>
      </c>
      <c r="C16" s="147">
        <f>+Model!L14</f>
        <v>2000</v>
      </c>
      <c r="L16" s="17">
        <v>14</v>
      </c>
      <c r="M16" s="18" t="s">
        <v>275</v>
      </c>
      <c r="N16" s="286">
        <f>+C10*C12</f>
        <v>0.5</v>
      </c>
      <c r="O16" s="19" t="s">
        <v>276</v>
      </c>
      <c r="P16" s="29"/>
      <c r="Q16" s="22"/>
      <c r="U16" s="35"/>
      <c r="V16" s="36" t="s">
        <v>102</v>
      </c>
      <c r="W16" s="36"/>
      <c r="X16" s="37"/>
      <c r="AI16" s="11"/>
      <c r="AJ16" s="11"/>
      <c r="AK16" s="11"/>
      <c r="AL16" s="11"/>
      <c r="AM16" s="11"/>
      <c r="AN16" s="11"/>
      <c r="AO16" s="11"/>
      <c r="AR16" s="11"/>
      <c r="AS16" s="11"/>
      <c r="AT16" s="11"/>
      <c r="AU16" s="11"/>
      <c r="AV16" s="11"/>
      <c r="AW16" s="11"/>
      <c r="AX16" s="11"/>
    </row>
    <row r="17" spans="1:24" ht="13.5" thickBot="1" x14ac:dyDescent="0.35">
      <c r="A17" s="124" t="str">
        <f>+Model!D15</f>
        <v>Total biomass production</v>
      </c>
      <c r="B17" s="125" t="str">
        <f>+Model!E15</f>
        <v>ton/ha/year</v>
      </c>
      <c r="C17" s="147">
        <f>+Model!L15</f>
        <v>109.5</v>
      </c>
      <c r="P17" s="34"/>
      <c r="Q17" s="38"/>
      <c r="R17" s="38"/>
      <c r="U17" s="39"/>
      <c r="V17" s="40" t="s">
        <v>104</v>
      </c>
      <c r="W17" s="41">
        <f>+O95</f>
        <v>1.3964239035516666</v>
      </c>
      <c r="X17" s="42"/>
    </row>
    <row r="18" spans="1:24" ht="13.5" thickBot="1" x14ac:dyDescent="0.35">
      <c r="A18" s="124" t="str">
        <f>+Model!D16</f>
        <v>Total CO2 consumption</v>
      </c>
      <c r="B18" s="125" t="str">
        <f>+Model!E16</f>
        <v>ton/ha/year</v>
      </c>
      <c r="C18" s="147">
        <f>+Model!L16</f>
        <v>109.5</v>
      </c>
      <c r="I18" s="22"/>
      <c r="J18" s="22"/>
      <c r="K18" s="22"/>
      <c r="M18" s="47"/>
      <c r="N18" s="47"/>
      <c r="O18" s="47"/>
      <c r="Q18" s="38"/>
      <c r="R18" s="38"/>
      <c r="U18" s="43"/>
      <c r="V18" s="44" t="s">
        <v>105</v>
      </c>
      <c r="W18" s="44" t="s">
        <v>84</v>
      </c>
      <c r="X18" s="45"/>
    </row>
    <row r="19" spans="1:24" ht="13.5" thickBot="1" x14ac:dyDescent="0.35">
      <c r="A19" s="124" t="str">
        <f>+Model!D17</f>
        <v>Total water evaporation</v>
      </c>
      <c r="B19" s="125" t="str">
        <f>+Model!E17</f>
        <v>ton/ha/year</v>
      </c>
      <c r="C19" s="147">
        <f>+Model!L17</f>
        <v>21900</v>
      </c>
      <c r="H19" s="22"/>
      <c r="I19" s="22"/>
      <c r="J19" s="22"/>
      <c r="K19" s="22"/>
      <c r="L19" s="29"/>
      <c r="M19" s="47"/>
      <c r="N19" s="47"/>
      <c r="O19" s="47"/>
      <c r="Q19" s="38"/>
      <c r="R19" s="38"/>
      <c r="U19" s="46"/>
      <c r="V19" s="47" t="s">
        <v>56</v>
      </c>
      <c r="W19" s="48">
        <f>+P88</f>
        <v>0.30328608395876039</v>
      </c>
      <c r="X19" s="49"/>
    </row>
    <row r="20" spans="1:24" ht="15" thickBot="1" x14ac:dyDescent="0.4">
      <c r="A20" s="124" t="str">
        <f>+Model!D18</f>
        <v>Water cost</v>
      </c>
      <c r="B20" s="125" t="str">
        <f>+Model!E18</f>
        <v>€/kg</v>
      </c>
      <c r="C20" s="147">
        <f>+Model!L18</f>
        <v>0</v>
      </c>
      <c r="E20" s="50" t="s">
        <v>106</v>
      </c>
      <c r="F20" s="51"/>
      <c r="G20" s="52">
        <v>0.85</v>
      </c>
      <c r="O20" s="53"/>
      <c r="Q20" s="198" t="s">
        <v>182</v>
      </c>
      <c r="U20" s="46"/>
      <c r="V20" s="47" t="s">
        <v>62</v>
      </c>
      <c r="W20" s="48">
        <f>+P89</f>
        <v>7.1611492574468152E-2</v>
      </c>
      <c r="X20" s="49"/>
    </row>
    <row r="21" spans="1:24" ht="13.5" thickBot="1" x14ac:dyDescent="0.35">
      <c r="A21" s="124" t="str">
        <f>+Model!D19</f>
        <v>CO2 cost</v>
      </c>
      <c r="B21" s="125" t="str">
        <f>+Model!E19</f>
        <v>€/kg</v>
      </c>
      <c r="C21" s="147">
        <f>+Model!L19</f>
        <v>0.1</v>
      </c>
      <c r="E21" s="50" t="s">
        <v>107</v>
      </c>
      <c r="F21" s="51"/>
      <c r="G21" s="51"/>
      <c r="H21" s="51"/>
      <c r="I21" s="51"/>
      <c r="J21" s="54"/>
      <c r="L21" s="50" t="s">
        <v>107</v>
      </c>
      <c r="M21" s="51"/>
      <c r="N21" s="55"/>
      <c r="O21" s="55"/>
      <c r="P21" s="55"/>
      <c r="Q21" s="55"/>
      <c r="R21" s="56"/>
      <c r="S21" s="54"/>
      <c r="U21" s="46"/>
      <c r="V21" s="47" t="s">
        <v>64</v>
      </c>
      <c r="W21" s="48">
        <f>+P90</f>
        <v>0.22975353867641865</v>
      </c>
      <c r="X21" s="49"/>
    </row>
    <row r="22" spans="1:24" ht="13.5" thickBot="1" x14ac:dyDescent="0.35">
      <c r="A22" s="124" t="str">
        <f>+Model!D20</f>
        <v>Nutrients cost</v>
      </c>
      <c r="B22" s="125" t="str">
        <f>+Model!E20</f>
        <v>€/kg</v>
      </c>
      <c r="C22" s="147">
        <f>+Model!L20</f>
        <v>0</v>
      </c>
      <c r="E22" s="57" t="s">
        <v>108</v>
      </c>
      <c r="F22" s="9" t="s">
        <v>109</v>
      </c>
      <c r="G22" s="9"/>
      <c r="H22" s="9" t="s">
        <v>110</v>
      </c>
      <c r="I22" s="9" t="s">
        <v>111</v>
      </c>
      <c r="J22" s="10"/>
      <c r="L22" s="58" t="s">
        <v>112</v>
      </c>
      <c r="M22" s="8" t="s">
        <v>113</v>
      </c>
      <c r="N22" s="8" t="s">
        <v>111</v>
      </c>
      <c r="O22" s="8"/>
      <c r="P22" s="8" t="s">
        <v>114</v>
      </c>
      <c r="Q22" s="8" t="s">
        <v>115</v>
      </c>
      <c r="R22" s="59" t="s">
        <v>116</v>
      </c>
      <c r="S22" s="60" t="s">
        <v>117</v>
      </c>
      <c r="T22" s="61"/>
      <c r="U22" s="62"/>
      <c r="V22" s="63" t="s">
        <v>67</v>
      </c>
      <c r="W22" s="64">
        <f>+P91</f>
        <v>0.39534888479035285</v>
      </c>
      <c r="X22" s="65"/>
    </row>
    <row r="23" spans="1:24" ht="13" x14ac:dyDescent="0.3">
      <c r="A23" s="124" t="str">
        <f>+Model!D21</f>
        <v>Fertilizers usage</v>
      </c>
      <c r="B23" s="125" t="str">
        <f>+Model!E21</f>
        <v>kg/kg algae biomass</v>
      </c>
      <c r="C23" s="147">
        <f>+Model!L21</f>
        <v>0.3</v>
      </c>
      <c r="E23" s="66">
        <v>1</v>
      </c>
      <c r="F23" s="6">
        <v>100</v>
      </c>
      <c r="G23" s="6" t="str">
        <f>+O23</f>
        <v>m3/h</v>
      </c>
      <c r="H23" s="6">
        <v>10000</v>
      </c>
      <c r="I23" s="133">
        <f>+N12*N10/N9</f>
        <v>50</v>
      </c>
      <c r="J23" s="68" t="str">
        <f>+G23</f>
        <v>m3/h</v>
      </c>
      <c r="K23" s="27"/>
      <c r="L23" s="33">
        <v>1</v>
      </c>
      <c r="M23" s="6" t="s">
        <v>144</v>
      </c>
      <c r="N23" s="69">
        <f>+IF(I23/F23&lt;1,F23,IF(I23/F23&lt;10,I23,I23/(1+INT(I23/(F23*10)))))</f>
        <v>100</v>
      </c>
      <c r="O23" s="22" t="s">
        <v>36</v>
      </c>
      <c r="P23" s="70">
        <f t="shared" ref="P23:P32" si="0">H23*(N23/F23)^$G$20</f>
        <v>10000</v>
      </c>
      <c r="Q23" s="29">
        <f>+IF(E23=1,ROUNDUP(I23/N23,0),0)</f>
        <v>1</v>
      </c>
      <c r="R23" s="132">
        <f>Q23*P23</f>
        <v>10000</v>
      </c>
      <c r="S23" s="72">
        <f t="shared" ref="S23:S32" si="1">R23/R$33</f>
        <v>8.1919793832892204E-2</v>
      </c>
      <c r="X23" s="26"/>
    </row>
    <row r="24" spans="1:24" ht="13" x14ac:dyDescent="0.3">
      <c r="A24" s="124" t="str">
        <f>+Model!D22</f>
        <v>Power cost</v>
      </c>
      <c r="B24" s="125" t="str">
        <f>+Model!E22</f>
        <v>€/kWh</v>
      </c>
      <c r="C24" s="147">
        <f>+Model!L22</f>
        <v>0.1</v>
      </c>
      <c r="D24" s="199" t="s">
        <v>183</v>
      </c>
      <c r="E24" s="66">
        <v>0</v>
      </c>
      <c r="F24" s="6">
        <v>10</v>
      </c>
      <c r="G24" s="6" t="str">
        <f t="shared" ref="G24:G32" si="2">+O24</f>
        <v>m3/h</v>
      </c>
      <c r="H24" s="6">
        <v>20000</v>
      </c>
      <c r="I24" s="133">
        <f>+IF(E24&gt;0,N10*N12/N9,0)</f>
        <v>0</v>
      </c>
      <c r="J24" s="73" t="str">
        <f>+G24</f>
        <v>m3/h</v>
      </c>
      <c r="L24" s="33">
        <v>2</v>
      </c>
      <c r="M24" s="6" t="s">
        <v>145</v>
      </c>
      <c r="N24" s="69">
        <f t="shared" ref="N24:N32" si="3">+IF(I24/F24&lt;1,F24,IF(I24/F24&lt;10,I24,I24/(1+INT(I24/(F24*10)))))</f>
        <v>10</v>
      </c>
      <c r="O24" s="22" t="s">
        <v>36</v>
      </c>
      <c r="P24" s="70">
        <f t="shared" si="0"/>
        <v>20000</v>
      </c>
      <c r="Q24" s="29">
        <f t="shared" ref="Q24:Q32" si="4">+IF(E24=1,ROUNDUP(I24/N24,0),0)</f>
        <v>0</v>
      </c>
      <c r="R24" s="132">
        <f t="shared" ref="R24:R32" si="5">Q24*P24</f>
        <v>0</v>
      </c>
      <c r="S24" s="72">
        <f t="shared" si="1"/>
        <v>0</v>
      </c>
      <c r="U24" s="26"/>
      <c r="V24" s="26"/>
      <c r="W24" s="26"/>
    </row>
    <row r="25" spans="1:24" ht="13" x14ac:dyDescent="0.3">
      <c r="A25" s="124" t="str">
        <f>+Model!D23</f>
        <v>Power for harvesting and others</v>
      </c>
      <c r="B25" s="125" t="str">
        <f>+Model!E23</f>
        <v>kWh/m3 harvest</v>
      </c>
      <c r="C25" s="147">
        <f>+Model!L23</f>
        <v>0.1</v>
      </c>
      <c r="E25" s="66">
        <v>0</v>
      </c>
      <c r="F25" s="6">
        <v>200</v>
      </c>
      <c r="G25" s="6" t="str">
        <f t="shared" si="2"/>
        <v>m3/h</v>
      </c>
      <c r="H25" s="6">
        <v>2500</v>
      </c>
      <c r="I25" s="133">
        <f>+N6*N12*60</f>
        <v>1200</v>
      </c>
      <c r="J25" s="73" t="str">
        <f t="shared" ref="J25:J31" si="6">+G25</f>
        <v>m3/h</v>
      </c>
      <c r="L25" s="33">
        <v>3</v>
      </c>
      <c r="M25" s="6" t="s">
        <v>118</v>
      </c>
      <c r="N25" s="69">
        <f t="shared" si="3"/>
        <v>1200</v>
      </c>
      <c r="O25" s="22" t="s">
        <v>36</v>
      </c>
      <c r="P25" s="70">
        <f t="shared" si="0"/>
        <v>11464.855133854493</v>
      </c>
      <c r="Q25" s="29">
        <f t="shared" si="4"/>
        <v>0</v>
      </c>
      <c r="R25" s="132">
        <f t="shared" si="5"/>
        <v>0</v>
      </c>
      <c r="S25" s="72">
        <f t="shared" si="1"/>
        <v>0</v>
      </c>
      <c r="U25" s="26"/>
      <c r="V25" s="74"/>
      <c r="W25" s="74"/>
    </row>
    <row r="26" spans="1:24" x14ac:dyDescent="0.25">
      <c r="A26" s="124" t="str">
        <f>+Model!D24</f>
        <v>Photobioreactor cost</v>
      </c>
      <c r="B26" s="125" t="str">
        <f>+Model!E24</f>
        <v>€/m3</v>
      </c>
      <c r="C26" s="147">
        <f>+Model!L24</f>
        <v>20</v>
      </c>
      <c r="E26" s="66">
        <v>1</v>
      </c>
      <c r="F26" s="6">
        <f>1000*0.2</f>
        <v>200</v>
      </c>
      <c r="G26" s="6" t="str">
        <f t="shared" si="2"/>
        <v>m3</v>
      </c>
      <c r="H26" s="6">
        <f>+F26*F6</f>
        <v>4000</v>
      </c>
      <c r="I26" s="133">
        <f>+N12</f>
        <v>2000</v>
      </c>
      <c r="J26" s="73" t="str">
        <f t="shared" si="6"/>
        <v>m3</v>
      </c>
      <c r="L26" s="33">
        <v>4</v>
      </c>
      <c r="M26" s="22" t="s">
        <v>146</v>
      </c>
      <c r="N26" s="69">
        <f t="shared" si="3"/>
        <v>1000</v>
      </c>
      <c r="O26" s="22" t="s">
        <v>37</v>
      </c>
      <c r="P26" s="70">
        <f t="shared" si="0"/>
        <v>15710.300604635284</v>
      </c>
      <c r="Q26" s="29">
        <f t="shared" si="4"/>
        <v>2</v>
      </c>
      <c r="R26" s="132">
        <f t="shared" si="5"/>
        <v>31420.601209270568</v>
      </c>
      <c r="S26" s="72">
        <f t="shared" si="1"/>
        <v>0.25739691731689684</v>
      </c>
    </row>
    <row r="27" spans="1:24" ht="13" thickBot="1" x14ac:dyDescent="0.3">
      <c r="A27" s="126"/>
      <c r="B27" s="127"/>
      <c r="C27" s="128"/>
      <c r="E27" s="66">
        <v>1</v>
      </c>
      <c r="F27" s="6">
        <v>25</v>
      </c>
      <c r="G27" s="6" t="str">
        <f t="shared" si="2"/>
        <v>m3/h</v>
      </c>
      <c r="H27" s="6">
        <v>20000</v>
      </c>
      <c r="I27" s="133">
        <f>+N12*N10/N9</f>
        <v>50</v>
      </c>
      <c r="J27" s="73" t="str">
        <f t="shared" si="6"/>
        <v>m3/h</v>
      </c>
      <c r="L27" s="33">
        <v>5</v>
      </c>
      <c r="M27" s="22" t="s">
        <v>179</v>
      </c>
      <c r="N27" s="69">
        <f t="shared" si="3"/>
        <v>50</v>
      </c>
      <c r="O27" s="22" t="s">
        <v>36</v>
      </c>
      <c r="P27" s="70">
        <f t="shared" si="0"/>
        <v>36050.01850443321</v>
      </c>
      <c r="Q27" s="29">
        <f t="shared" si="4"/>
        <v>1</v>
      </c>
      <c r="R27" s="132">
        <f t="shared" si="5"/>
        <v>36050.01850443321</v>
      </c>
      <c r="S27" s="72">
        <f t="shared" si="1"/>
        <v>0.29532100835551173</v>
      </c>
    </row>
    <row r="28" spans="1:24" ht="13" thickBot="1" x14ac:dyDescent="0.3">
      <c r="A28" s="135" t="str">
        <f>+Model!D26</f>
        <v>Equipment Capacity</v>
      </c>
      <c r="B28" s="136"/>
      <c r="C28" s="137"/>
      <c r="E28" s="66">
        <v>1</v>
      </c>
      <c r="F28" s="6">
        <v>5</v>
      </c>
      <c r="G28" s="6" t="str">
        <f t="shared" si="2"/>
        <v>m3</v>
      </c>
      <c r="H28" s="6">
        <v>600</v>
      </c>
      <c r="I28" s="133">
        <f>+IF(E27&gt;0,I27/20,I23)</f>
        <v>2.5</v>
      </c>
      <c r="J28" s="73" t="str">
        <f t="shared" si="6"/>
        <v>m3</v>
      </c>
      <c r="L28" s="33">
        <v>6</v>
      </c>
      <c r="M28" s="6" t="s">
        <v>147</v>
      </c>
      <c r="N28" s="69">
        <f t="shared" si="3"/>
        <v>5</v>
      </c>
      <c r="O28" s="22" t="s">
        <v>37</v>
      </c>
      <c r="P28" s="70">
        <f t="shared" si="0"/>
        <v>600</v>
      </c>
      <c r="Q28" s="29">
        <f t="shared" si="4"/>
        <v>1</v>
      </c>
      <c r="R28" s="132">
        <f t="shared" si="5"/>
        <v>600</v>
      </c>
      <c r="S28" s="72">
        <f t="shared" si="1"/>
        <v>4.9151876299735322E-3</v>
      </c>
    </row>
    <row r="29" spans="1:24" ht="13" thickBot="1" x14ac:dyDescent="0.3">
      <c r="A29" s="135" t="str">
        <f>+Model!D27</f>
        <v xml:space="preserve">Medium preparation unit </v>
      </c>
      <c r="B29" s="136" t="str">
        <f>+Model!E27</f>
        <v>m3/h</v>
      </c>
      <c r="C29" s="138">
        <f>+I23</f>
        <v>50</v>
      </c>
      <c r="E29" s="66">
        <v>1</v>
      </c>
      <c r="F29" s="6">
        <v>20</v>
      </c>
      <c r="G29" s="6" t="str">
        <f t="shared" si="2"/>
        <v>m3/h</v>
      </c>
      <c r="H29" s="6">
        <v>40000</v>
      </c>
      <c r="I29" s="133">
        <f>+IF(E27=1,I27/20,I27)</f>
        <v>2.5</v>
      </c>
      <c r="J29" s="73" t="str">
        <f t="shared" si="6"/>
        <v>m3/h</v>
      </c>
      <c r="L29" s="33">
        <v>7</v>
      </c>
      <c r="M29" s="6" t="s">
        <v>180</v>
      </c>
      <c r="N29" s="69">
        <f t="shared" si="3"/>
        <v>20</v>
      </c>
      <c r="O29" s="22" t="s">
        <v>36</v>
      </c>
      <c r="P29" s="70">
        <f t="shared" si="0"/>
        <v>40000</v>
      </c>
      <c r="Q29" s="29">
        <f t="shared" si="4"/>
        <v>1</v>
      </c>
      <c r="R29" s="132">
        <f t="shared" si="5"/>
        <v>40000</v>
      </c>
      <c r="S29" s="72">
        <f t="shared" si="1"/>
        <v>0.32767917533156882</v>
      </c>
    </row>
    <row r="30" spans="1:24" ht="13" thickBot="1" x14ac:dyDescent="0.3">
      <c r="A30" s="135" t="str">
        <f>+Model!D28</f>
        <v xml:space="preserve">Sterilization process </v>
      </c>
      <c r="B30" s="136" t="str">
        <f>+Model!E28</f>
        <v>m3/h</v>
      </c>
      <c r="C30" s="138">
        <f>+I24</f>
        <v>0</v>
      </c>
      <c r="E30" s="66">
        <v>1</v>
      </c>
      <c r="F30" s="6">
        <v>10</v>
      </c>
      <c r="G30" s="6" t="str">
        <f t="shared" si="2"/>
        <v>m3/h</v>
      </c>
      <c r="H30" s="6">
        <v>1000</v>
      </c>
      <c r="I30" s="133">
        <f>+IF(E27=1,I27/20,I27)</f>
        <v>2.5</v>
      </c>
      <c r="J30" s="73" t="str">
        <f t="shared" si="6"/>
        <v>m3/h</v>
      </c>
      <c r="L30" s="33">
        <v>8</v>
      </c>
      <c r="M30" s="6" t="s">
        <v>148</v>
      </c>
      <c r="N30" s="69">
        <f t="shared" si="3"/>
        <v>10</v>
      </c>
      <c r="O30" s="69" t="str">
        <f>+O23</f>
        <v>m3/h</v>
      </c>
      <c r="P30" s="70">
        <f t="shared" si="0"/>
        <v>1000</v>
      </c>
      <c r="Q30" s="29">
        <f t="shared" si="4"/>
        <v>1</v>
      </c>
      <c r="R30" s="132">
        <f t="shared" si="5"/>
        <v>1000</v>
      </c>
      <c r="S30" s="72">
        <f t="shared" si="1"/>
        <v>8.1919793832892201E-3</v>
      </c>
    </row>
    <row r="31" spans="1:24" ht="13" thickBot="1" x14ac:dyDescent="0.3">
      <c r="A31" s="135" t="str">
        <f>+Model!D29</f>
        <v xml:space="preserve">Air blower </v>
      </c>
      <c r="B31" s="136" t="str">
        <f>+Model!E29</f>
        <v>m3/h</v>
      </c>
      <c r="C31" s="138">
        <f>+I25</f>
        <v>1200</v>
      </c>
      <c r="E31" s="66">
        <v>1</v>
      </c>
      <c r="F31" s="6">
        <v>100</v>
      </c>
      <c r="G31" s="6" t="str">
        <f t="shared" si="2"/>
        <v>Kg/h</v>
      </c>
      <c r="H31" s="6">
        <v>3000</v>
      </c>
      <c r="I31" s="133">
        <f>+N4*N12*C7/N9</f>
        <v>30</v>
      </c>
      <c r="J31" s="73" t="str">
        <f t="shared" si="6"/>
        <v>Kg/h</v>
      </c>
      <c r="L31" s="33">
        <v>9</v>
      </c>
      <c r="M31" s="6" t="s">
        <v>119</v>
      </c>
      <c r="N31" s="69">
        <f t="shared" si="3"/>
        <v>100</v>
      </c>
      <c r="O31" s="22" t="s">
        <v>38</v>
      </c>
      <c r="P31" s="70">
        <f t="shared" si="0"/>
        <v>3000</v>
      </c>
      <c r="Q31" s="29">
        <f t="shared" si="4"/>
        <v>1</v>
      </c>
      <c r="R31" s="132">
        <f t="shared" si="5"/>
        <v>3000</v>
      </c>
      <c r="S31" s="72">
        <f t="shared" si="1"/>
        <v>2.4575938149867659E-2</v>
      </c>
    </row>
    <row r="32" spans="1:24" ht="13" thickBot="1" x14ac:dyDescent="0.3">
      <c r="A32" s="135" t="str">
        <f>+Model!D30</f>
        <v xml:space="preserve">Photobioreactors </v>
      </c>
      <c r="B32" s="136" t="str">
        <f>+Model!E30</f>
        <v>m3</v>
      </c>
      <c r="C32" s="138">
        <f>+I26</f>
        <v>2000</v>
      </c>
      <c r="E32" s="75">
        <v>0</v>
      </c>
      <c r="F32" s="76">
        <v>80</v>
      </c>
      <c r="G32" s="76" t="str">
        <f t="shared" si="2"/>
        <v>Kg/day</v>
      </c>
      <c r="H32" s="76">
        <v>120000</v>
      </c>
      <c r="I32" s="134">
        <f>+N4*N12*4</f>
        <v>1200</v>
      </c>
      <c r="J32" s="77" t="str">
        <f>+G32</f>
        <v>Kg/day</v>
      </c>
      <c r="L32" s="33">
        <v>10</v>
      </c>
      <c r="M32" s="6" t="s">
        <v>191</v>
      </c>
      <c r="N32" s="69">
        <f t="shared" si="3"/>
        <v>600</v>
      </c>
      <c r="O32" s="22" t="s">
        <v>120</v>
      </c>
      <c r="P32" s="70">
        <f t="shared" si="0"/>
        <v>665247.60536054568</v>
      </c>
      <c r="Q32" s="29">
        <f t="shared" si="4"/>
        <v>0</v>
      </c>
      <c r="R32" s="132">
        <f t="shared" si="5"/>
        <v>0</v>
      </c>
      <c r="S32" s="72">
        <f t="shared" si="1"/>
        <v>0</v>
      </c>
    </row>
    <row r="33" spans="1:20" ht="13.5" thickBot="1" x14ac:dyDescent="0.35">
      <c r="A33" s="135" t="str">
        <f>+Model!D31</f>
        <v xml:space="preserve">Sedimenter </v>
      </c>
      <c r="B33" s="136" t="str">
        <f>+Model!E31</f>
        <v>m3/h</v>
      </c>
      <c r="C33" s="138">
        <f t="shared" ref="C33:C37" si="7">+I27</f>
        <v>50</v>
      </c>
      <c r="L33" s="58"/>
      <c r="M33" s="8" t="s">
        <v>121</v>
      </c>
      <c r="N33" s="8"/>
      <c r="O33" s="8"/>
      <c r="P33" s="59"/>
      <c r="Q33" s="8"/>
      <c r="R33" s="78">
        <f>SUM(R23:R32)</f>
        <v>122070.61971370378</v>
      </c>
      <c r="S33" s="79">
        <f>R33/R$33</f>
        <v>1</v>
      </c>
      <c r="T33" s="80"/>
    </row>
    <row r="34" spans="1:20" ht="13" thickBot="1" x14ac:dyDescent="0.3">
      <c r="A34" s="135" t="str">
        <f>+Model!D32</f>
        <v xml:space="preserve">Harvest storage tank </v>
      </c>
      <c r="B34" s="136" t="str">
        <f>+Model!E32</f>
        <v>m3</v>
      </c>
      <c r="C34" s="138">
        <f t="shared" si="7"/>
        <v>2.5</v>
      </c>
    </row>
    <row r="35" spans="1:20" ht="13.5" thickBot="1" x14ac:dyDescent="0.35">
      <c r="A35" s="135" t="str">
        <f>+Model!D33</f>
        <v>Decanter</v>
      </c>
      <c r="B35" s="136" t="str">
        <f>+Model!E33</f>
        <v>m3/h</v>
      </c>
      <c r="C35" s="138">
        <f t="shared" si="7"/>
        <v>2.5</v>
      </c>
      <c r="N35" s="69"/>
      <c r="O35" s="22"/>
      <c r="P35" s="25"/>
      <c r="Q35" s="22"/>
      <c r="R35" s="81"/>
      <c r="S35" s="82"/>
      <c r="T35" s="82"/>
    </row>
    <row r="36" spans="1:20" ht="13.5" thickBot="1" x14ac:dyDescent="0.35">
      <c r="A36" s="135" t="str">
        <f>+Model!D34</f>
        <v>Harvest pump</v>
      </c>
      <c r="B36" s="136" t="str">
        <f>+Model!E34</f>
        <v>m3/h</v>
      </c>
      <c r="C36" s="138">
        <f t="shared" si="7"/>
        <v>2.5</v>
      </c>
      <c r="G36" s="35" t="s">
        <v>122</v>
      </c>
      <c r="H36" s="51"/>
      <c r="I36" s="51"/>
      <c r="J36" s="54"/>
      <c r="L36" s="58" t="s">
        <v>123</v>
      </c>
      <c r="M36" s="9"/>
      <c r="N36" s="9"/>
      <c r="O36" s="9"/>
      <c r="P36" s="9"/>
      <c r="Q36" s="10"/>
    </row>
    <row r="37" spans="1:20" ht="13.5" thickBot="1" x14ac:dyDescent="0.35">
      <c r="A37" s="135" t="str">
        <f>+Model!D35</f>
        <v>CO2 supply unit</v>
      </c>
      <c r="B37" s="136" t="str">
        <f>+Model!E35</f>
        <v>Kg/h</v>
      </c>
      <c r="C37" s="138">
        <f t="shared" si="7"/>
        <v>30</v>
      </c>
      <c r="G37" s="43" t="s">
        <v>124</v>
      </c>
      <c r="H37" s="44" t="s">
        <v>125</v>
      </c>
      <c r="I37" s="44" t="s">
        <v>126</v>
      </c>
      <c r="J37" s="45" t="s">
        <v>127</v>
      </c>
      <c r="L37" s="58" t="s">
        <v>112</v>
      </c>
      <c r="M37" s="8" t="s">
        <v>113</v>
      </c>
      <c r="N37" s="8" t="s">
        <v>128</v>
      </c>
      <c r="O37" s="8"/>
      <c r="P37" s="83" t="s">
        <v>129</v>
      </c>
      <c r="Q37" s="60" t="s">
        <v>117</v>
      </c>
    </row>
    <row r="38" spans="1:20" ht="13" thickBot="1" x14ac:dyDescent="0.3">
      <c r="A38" s="135"/>
      <c r="B38" s="136"/>
      <c r="C38" s="137"/>
      <c r="G38" s="33"/>
      <c r="J38" s="68">
        <v>1</v>
      </c>
      <c r="L38" s="33">
        <v>1</v>
      </c>
      <c r="M38" s="6" t="s">
        <v>42</v>
      </c>
      <c r="N38" s="27">
        <v>1</v>
      </c>
      <c r="P38" s="71">
        <f>R33*N38</f>
        <v>122070.61971370378</v>
      </c>
      <c r="Q38" s="84">
        <f>P38/P$51</f>
        <v>0.30546803047960019</v>
      </c>
    </row>
    <row r="39" spans="1:20" ht="13" thickBot="1" x14ac:dyDescent="0.3">
      <c r="A39" s="135" t="str">
        <f>+Model!D37</f>
        <v>Equipment Costs</v>
      </c>
      <c r="B39" s="136"/>
      <c r="C39" s="137"/>
      <c r="G39" s="33">
        <v>0.5</v>
      </c>
      <c r="H39" s="6">
        <v>0.2</v>
      </c>
      <c r="I39" s="6">
        <v>1.5</v>
      </c>
      <c r="J39" s="85">
        <f>0.4/2</f>
        <v>0.2</v>
      </c>
      <c r="L39" s="33">
        <v>2</v>
      </c>
      <c r="M39" s="6" t="s">
        <v>43</v>
      </c>
      <c r="N39" s="29">
        <f t="shared" ref="N39:N45" si="8">+H39</f>
        <v>0.2</v>
      </c>
      <c r="P39" s="67">
        <f t="shared" ref="P39:P47" si="9">P$38*N39</f>
        <v>24414.123942740756</v>
      </c>
      <c r="Q39" s="72">
        <f t="shared" ref="Q39:Q51" si="10">P39/P$51</f>
        <v>6.1093606095920037E-2</v>
      </c>
    </row>
    <row r="40" spans="1:20" ht="13" thickBot="1" x14ac:dyDescent="0.3">
      <c r="A40" s="135" t="str">
        <f>+Model!D38</f>
        <v xml:space="preserve">Medium preparation unit </v>
      </c>
      <c r="B40" s="136" t="str">
        <f>+Model!E38</f>
        <v>€</v>
      </c>
      <c r="C40" s="138">
        <f>+R23</f>
        <v>10000</v>
      </c>
      <c r="G40" s="33">
        <v>0.35</v>
      </c>
      <c r="H40" s="6">
        <v>0.2</v>
      </c>
      <c r="I40" s="6">
        <v>0.6</v>
      </c>
      <c r="J40" s="68">
        <v>0.15</v>
      </c>
      <c r="L40" s="33">
        <v>3</v>
      </c>
      <c r="M40" s="6" t="s">
        <v>44</v>
      </c>
      <c r="N40" s="29">
        <f t="shared" si="8"/>
        <v>0.2</v>
      </c>
      <c r="P40" s="67">
        <f t="shared" si="9"/>
        <v>24414.123942740756</v>
      </c>
      <c r="Q40" s="72">
        <f t="shared" si="10"/>
        <v>6.1093606095920037E-2</v>
      </c>
    </row>
    <row r="41" spans="1:20" ht="13" thickBot="1" x14ac:dyDescent="0.3">
      <c r="A41" s="135" t="str">
        <f>+Model!D39</f>
        <v xml:space="preserve">Sterilization process </v>
      </c>
      <c r="B41" s="136" t="str">
        <f>+Model!E39</f>
        <v>€</v>
      </c>
      <c r="C41" s="138">
        <f t="shared" ref="C41:C48" si="11">+R24</f>
        <v>0</v>
      </c>
      <c r="G41" s="33">
        <v>0.4</v>
      </c>
      <c r="H41" s="6">
        <v>0.3</v>
      </c>
      <c r="I41" s="6">
        <v>0.6</v>
      </c>
      <c r="J41" s="85">
        <f>0.4/2</f>
        <v>0.2</v>
      </c>
      <c r="L41" s="33">
        <v>4</v>
      </c>
      <c r="M41" s="6" t="s">
        <v>45</v>
      </c>
      <c r="N41" s="29">
        <f t="shared" si="8"/>
        <v>0.3</v>
      </c>
      <c r="P41" s="67">
        <f t="shared" si="9"/>
        <v>36621.185914111134</v>
      </c>
      <c r="Q41" s="72">
        <f t="shared" si="10"/>
        <v>9.1640409143880053E-2</v>
      </c>
    </row>
    <row r="42" spans="1:20" ht="13" thickBot="1" x14ac:dyDescent="0.3">
      <c r="A42" s="135" t="str">
        <f>+Model!D40</f>
        <v xml:space="preserve">Air blower </v>
      </c>
      <c r="B42" s="136" t="str">
        <f>+Model!E40</f>
        <v>€</v>
      </c>
      <c r="C42" s="138">
        <f t="shared" si="11"/>
        <v>0</v>
      </c>
      <c r="G42" s="33">
        <v>0.15</v>
      </c>
      <c r="H42" s="6">
        <v>0.1</v>
      </c>
      <c r="I42" s="6">
        <v>0.2</v>
      </c>
      <c r="J42" s="68">
        <v>0.1</v>
      </c>
      <c r="L42" s="33">
        <v>5</v>
      </c>
      <c r="M42" s="6" t="s">
        <v>46</v>
      </c>
      <c r="N42" s="29">
        <f t="shared" si="8"/>
        <v>0.1</v>
      </c>
      <c r="P42" s="67">
        <f t="shared" si="9"/>
        <v>12207.061971370378</v>
      </c>
      <c r="Q42" s="72">
        <f t="shared" si="10"/>
        <v>3.0546803047960019E-2</v>
      </c>
    </row>
    <row r="43" spans="1:20" ht="13" thickBot="1" x14ac:dyDescent="0.3">
      <c r="A43" s="135" t="str">
        <f>+Model!D41</f>
        <v xml:space="preserve">Photobioreactors </v>
      </c>
      <c r="B43" s="136" t="str">
        <f>+Model!E41</f>
        <v>€</v>
      </c>
      <c r="C43" s="138">
        <f t="shared" si="11"/>
        <v>31420.601209270568</v>
      </c>
      <c r="G43" s="33">
        <v>0.45</v>
      </c>
      <c r="H43" s="6">
        <v>0.1</v>
      </c>
      <c r="I43" s="6">
        <v>2</v>
      </c>
      <c r="J43" s="85">
        <f>0.45/2</f>
        <v>0.22500000000000001</v>
      </c>
      <c r="L43" s="33">
        <v>6</v>
      </c>
      <c r="M43" s="6" t="s">
        <v>47</v>
      </c>
      <c r="N43" s="29">
        <f t="shared" si="8"/>
        <v>0.1</v>
      </c>
      <c r="P43" s="67">
        <f t="shared" si="9"/>
        <v>12207.061971370378</v>
      </c>
      <c r="Q43" s="72">
        <f t="shared" si="10"/>
        <v>3.0546803047960019E-2</v>
      </c>
    </row>
    <row r="44" spans="1:20" ht="13" thickBot="1" x14ac:dyDescent="0.3">
      <c r="A44" s="135" t="str">
        <f>+Model!D42</f>
        <v xml:space="preserve">Sedimenter </v>
      </c>
      <c r="B44" s="136" t="str">
        <f>+Model!E42</f>
        <v>€</v>
      </c>
      <c r="C44" s="138">
        <f t="shared" si="11"/>
        <v>36050.01850443321</v>
      </c>
      <c r="G44" s="33">
        <v>0.15</v>
      </c>
      <c r="H44" s="6">
        <v>0.05</v>
      </c>
      <c r="I44" s="6">
        <v>0.2</v>
      </c>
      <c r="J44" s="68">
        <v>0.12</v>
      </c>
      <c r="L44" s="33">
        <v>7</v>
      </c>
      <c r="M44" s="6" t="s">
        <v>48</v>
      </c>
      <c r="N44" s="29">
        <f t="shared" si="8"/>
        <v>0.05</v>
      </c>
      <c r="P44" s="67">
        <f t="shared" si="9"/>
        <v>6103.5309856851891</v>
      </c>
      <c r="Q44" s="72">
        <f t="shared" si="10"/>
        <v>1.5273401523980009E-2</v>
      </c>
    </row>
    <row r="45" spans="1:20" ht="13" thickBot="1" x14ac:dyDescent="0.3">
      <c r="A45" s="135" t="str">
        <f>+Model!D43</f>
        <v xml:space="preserve">Harvest storage tank </v>
      </c>
      <c r="B45" s="136" t="str">
        <f>+Model!E43</f>
        <v>€</v>
      </c>
      <c r="C45" s="138">
        <f t="shared" si="11"/>
        <v>600</v>
      </c>
      <c r="G45" s="33">
        <v>0.5</v>
      </c>
      <c r="H45" s="6">
        <v>0.2</v>
      </c>
      <c r="I45" s="6">
        <v>1</v>
      </c>
      <c r="J45" s="68">
        <v>0.2</v>
      </c>
      <c r="L45" s="33">
        <v>8</v>
      </c>
      <c r="M45" s="6" t="s">
        <v>49</v>
      </c>
      <c r="N45" s="29">
        <f t="shared" si="8"/>
        <v>0.2</v>
      </c>
      <c r="P45" s="67">
        <f t="shared" si="9"/>
        <v>24414.123942740756</v>
      </c>
      <c r="Q45" s="72">
        <f t="shared" si="10"/>
        <v>6.1093606095920037E-2</v>
      </c>
    </row>
    <row r="46" spans="1:20" ht="13" thickBot="1" x14ac:dyDescent="0.3">
      <c r="A46" s="135" t="str">
        <f>+Model!D44</f>
        <v>Decanter</v>
      </c>
      <c r="B46" s="136" t="str">
        <f>+Model!E44</f>
        <v>€</v>
      </c>
      <c r="C46" s="138">
        <f t="shared" si="11"/>
        <v>40000</v>
      </c>
      <c r="G46" s="33"/>
      <c r="J46" s="68">
        <v>0.06</v>
      </c>
      <c r="L46" s="33">
        <v>9</v>
      </c>
      <c r="M46" s="6" t="s">
        <v>50</v>
      </c>
      <c r="N46" s="29"/>
      <c r="P46" s="67">
        <f t="shared" si="9"/>
        <v>0</v>
      </c>
      <c r="Q46" s="72">
        <f t="shared" si="10"/>
        <v>0</v>
      </c>
    </row>
    <row r="47" spans="1:20" ht="13" thickBot="1" x14ac:dyDescent="0.3">
      <c r="A47" s="135" t="str">
        <f>+Model!D45</f>
        <v>Harvest pump</v>
      </c>
      <c r="B47" s="136" t="str">
        <f>+Model!E45</f>
        <v>€</v>
      </c>
      <c r="C47" s="138">
        <f t="shared" si="11"/>
        <v>1000</v>
      </c>
      <c r="G47" s="33">
        <v>0.25</v>
      </c>
      <c r="H47" s="6">
        <v>0.2</v>
      </c>
      <c r="I47" s="6">
        <v>0.3</v>
      </c>
      <c r="J47" s="68">
        <v>0.3</v>
      </c>
      <c r="L47" s="33">
        <v>10</v>
      </c>
      <c r="M47" s="6" t="s">
        <v>51</v>
      </c>
      <c r="N47" s="29">
        <f>+H47</f>
        <v>0.2</v>
      </c>
      <c r="P47" s="67">
        <f t="shared" si="9"/>
        <v>24414.123942740756</v>
      </c>
      <c r="Q47" s="72">
        <f t="shared" si="10"/>
        <v>6.1093606095920037E-2</v>
      </c>
    </row>
    <row r="48" spans="1:20" ht="13" thickBot="1" x14ac:dyDescent="0.3">
      <c r="A48" s="135" t="str">
        <f>+Model!D46</f>
        <v>CO2 supply unit</v>
      </c>
      <c r="B48" s="136" t="str">
        <f>+Model!E46</f>
        <v>€</v>
      </c>
      <c r="C48" s="138">
        <f t="shared" si="11"/>
        <v>3000</v>
      </c>
      <c r="G48" s="33">
        <v>0.35</v>
      </c>
      <c r="H48" s="6">
        <v>0.3</v>
      </c>
      <c r="I48" s="6">
        <v>0.4</v>
      </c>
      <c r="J48" s="85">
        <f>0.1/2</f>
        <v>0.05</v>
      </c>
      <c r="L48" s="33">
        <v>11</v>
      </c>
      <c r="M48" s="6" t="s">
        <v>52</v>
      </c>
      <c r="N48" s="29">
        <f>+H48</f>
        <v>0.3</v>
      </c>
      <c r="P48" s="67">
        <f>N$48*SUM(P38:P46)</f>
        <v>78735.549715338915</v>
      </c>
      <c r="Q48" s="72">
        <f t="shared" si="10"/>
        <v>0.19702687965934207</v>
      </c>
    </row>
    <row r="49" spans="1:20" ht="13" thickBot="1" x14ac:dyDescent="0.3">
      <c r="A49" s="135"/>
      <c r="B49" s="136"/>
      <c r="C49" s="137"/>
      <c r="G49" s="33">
        <v>0.05</v>
      </c>
      <c r="H49" s="6">
        <v>0.03</v>
      </c>
      <c r="I49" s="6">
        <v>0.08</v>
      </c>
      <c r="J49" s="85">
        <f>0.05/2</f>
        <v>2.5000000000000001E-2</v>
      </c>
      <c r="L49" s="33">
        <v>12</v>
      </c>
      <c r="M49" s="6" t="s">
        <v>53</v>
      </c>
      <c r="N49" s="29">
        <f>+H49</f>
        <v>0.03</v>
      </c>
      <c r="P49" s="67">
        <f>N$49*SUM(P38:P46)</f>
        <v>7873.5549715338911</v>
      </c>
      <c r="Q49" s="72">
        <f t="shared" si="10"/>
        <v>1.9702687965934204E-2</v>
      </c>
    </row>
    <row r="50" spans="1:20" ht="13" thickBot="1" x14ac:dyDescent="0.3">
      <c r="A50" s="135" t="str">
        <f>+Model!D48</f>
        <v>Fix Capital Costs</v>
      </c>
      <c r="B50" s="136"/>
      <c r="C50" s="137"/>
      <c r="G50" s="86">
        <v>0.1</v>
      </c>
      <c r="H50" s="76">
        <v>7.0000000000000007E-2</v>
      </c>
      <c r="I50" s="76">
        <v>0.15</v>
      </c>
      <c r="J50" s="87">
        <v>0.08</v>
      </c>
      <c r="L50" s="33">
        <v>13</v>
      </c>
      <c r="M50" s="6" t="s">
        <v>54</v>
      </c>
      <c r="N50" s="29">
        <f>+H50</f>
        <v>7.0000000000000007E-2</v>
      </c>
      <c r="P50" s="67">
        <f>N$50*SUM(P38:P49)</f>
        <v>26143.254270985362</v>
      </c>
      <c r="Q50" s="72">
        <f t="shared" si="10"/>
        <v>6.5420560747663559E-2</v>
      </c>
    </row>
    <row r="51" spans="1:20" ht="15" thickBot="1" x14ac:dyDescent="0.4">
      <c r="A51" s="135" t="str">
        <f>+Model!D49</f>
        <v>Major purchased equipment</v>
      </c>
      <c r="B51" s="136" t="str">
        <f>+Model!E49</f>
        <v>€</v>
      </c>
      <c r="C51" s="139">
        <f>+P38</f>
        <v>122070.61971370378</v>
      </c>
      <c r="G51" s="200" t="s">
        <v>184</v>
      </c>
      <c r="L51" s="88"/>
      <c r="M51" s="8" t="s">
        <v>130</v>
      </c>
      <c r="N51" s="89"/>
      <c r="O51" s="89"/>
      <c r="P51" s="78">
        <f>SUM(P38:P50)</f>
        <v>399618.31528506195</v>
      </c>
      <c r="Q51" s="90">
        <f t="shared" si="10"/>
        <v>1</v>
      </c>
    </row>
    <row r="52" spans="1:20" ht="13" thickBot="1" x14ac:dyDescent="0.3">
      <c r="A52" s="135" t="str">
        <f>+Model!D50</f>
        <v>Installation costs</v>
      </c>
      <c r="B52" s="136" t="str">
        <f>+Model!E50</f>
        <v>€</v>
      </c>
      <c r="C52" s="139">
        <f t="shared" ref="C52:C63" si="12">+P39</f>
        <v>24414.123942740756</v>
      </c>
      <c r="R52" s="11"/>
    </row>
    <row r="53" spans="1:20" ht="13.5" thickBot="1" x14ac:dyDescent="0.35">
      <c r="A53" s="135" t="str">
        <f>+Model!D51</f>
        <v>Instrumentation and control</v>
      </c>
      <c r="B53" s="136" t="str">
        <f>+Model!E51</f>
        <v>€</v>
      </c>
      <c r="C53" s="139">
        <f t="shared" si="12"/>
        <v>24414.123942740756</v>
      </c>
      <c r="L53" s="50" t="s">
        <v>131</v>
      </c>
      <c r="M53" s="55"/>
      <c r="N53" s="91"/>
      <c r="O53" s="91"/>
      <c r="P53" s="91"/>
      <c r="Q53" s="54"/>
      <c r="R53" s="92"/>
      <c r="S53" s="11"/>
      <c r="T53" s="11"/>
    </row>
    <row r="54" spans="1:20" ht="13.5" thickBot="1" x14ac:dyDescent="0.35">
      <c r="A54" s="135" t="str">
        <f>+Model!D52</f>
        <v>Piping</v>
      </c>
      <c r="B54" s="136" t="str">
        <f>+Model!E52</f>
        <v>€</v>
      </c>
      <c r="C54" s="139">
        <f t="shared" si="12"/>
        <v>36621.185914111134</v>
      </c>
      <c r="H54" s="26"/>
      <c r="I54" s="93"/>
      <c r="J54" s="61"/>
      <c r="L54" s="58" t="s">
        <v>112</v>
      </c>
      <c r="M54" s="94" t="s">
        <v>113</v>
      </c>
      <c r="N54" s="83"/>
      <c r="O54" s="8"/>
      <c r="P54" s="8" t="s">
        <v>129</v>
      </c>
      <c r="Q54" s="95" t="s">
        <v>117</v>
      </c>
      <c r="S54" s="11"/>
      <c r="T54" s="11"/>
    </row>
    <row r="55" spans="1:20" ht="13" thickBot="1" x14ac:dyDescent="0.3">
      <c r="A55" s="135" t="str">
        <f>+Model!D53</f>
        <v>Electrical</v>
      </c>
      <c r="B55" s="136" t="str">
        <f>+Model!E53</f>
        <v>€</v>
      </c>
      <c r="C55" s="139">
        <f t="shared" si="12"/>
        <v>12207.061971370378</v>
      </c>
      <c r="L55" s="33"/>
      <c r="M55" s="6" t="s">
        <v>55</v>
      </c>
      <c r="N55" s="6">
        <v>10</v>
      </c>
      <c r="Q55" s="96"/>
      <c r="S55" s="11"/>
      <c r="T55" s="11"/>
    </row>
    <row r="56" spans="1:20" ht="13" thickBot="1" x14ac:dyDescent="0.3">
      <c r="A56" s="135" t="str">
        <f>+Model!D54</f>
        <v>Buildings</v>
      </c>
      <c r="B56" s="136" t="str">
        <f>+Model!E54</f>
        <v>€</v>
      </c>
      <c r="C56" s="139">
        <f t="shared" si="12"/>
        <v>12207.061971370378</v>
      </c>
      <c r="L56" s="33"/>
      <c r="M56" s="6" t="s">
        <v>56</v>
      </c>
      <c r="P56" s="97">
        <f>+(P51-P44)/N55</f>
        <v>39351.478429937677</v>
      </c>
      <c r="Q56" s="96">
        <f t="shared" ref="Q56:Q60" si="13">+P56/P$60</f>
        <v>0.84854948922699214</v>
      </c>
      <c r="S56" s="11"/>
      <c r="T56" s="11"/>
    </row>
    <row r="57" spans="1:20" ht="13" thickBot="1" x14ac:dyDescent="0.3">
      <c r="A57" s="135" t="str">
        <f>+Model!D55</f>
        <v>Yard improvements</v>
      </c>
      <c r="B57" s="136" t="str">
        <f>+Model!E55</f>
        <v>€</v>
      </c>
      <c r="C57" s="139">
        <f t="shared" si="12"/>
        <v>6103.5309856851891</v>
      </c>
      <c r="L57" s="33"/>
      <c r="M57" s="6" t="s">
        <v>57</v>
      </c>
      <c r="N57" s="98">
        <v>0.01</v>
      </c>
      <c r="P57" s="97">
        <f>0.01*P56</f>
        <v>393.5147842993768</v>
      </c>
      <c r="Q57" s="96">
        <f t="shared" si="13"/>
        <v>8.4854948922699226E-3</v>
      </c>
      <c r="S57" s="11"/>
      <c r="T57" s="11"/>
    </row>
    <row r="58" spans="1:20" ht="13" thickBot="1" x14ac:dyDescent="0.3">
      <c r="A58" s="135" t="str">
        <f>+Model!D56</f>
        <v>Service facilities</v>
      </c>
      <c r="B58" s="136" t="str">
        <f>+Model!E56</f>
        <v>€</v>
      </c>
      <c r="C58" s="139">
        <f t="shared" si="12"/>
        <v>24414.123942740756</v>
      </c>
      <c r="L58" s="33"/>
      <c r="M58" s="6" t="s">
        <v>58</v>
      </c>
      <c r="N58" s="98">
        <v>6.0000000000000001E-3</v>
      </c>
      <c r="P58" s="97">
        <f>0.006*P56</f>
        <v>236.10887057962606</v>
      </c>
      <c r="Q58" s="96">
        <f t="shared" si="13"/>
        <v>5.0912969353619532E-3</v>
      </c>
      <c r="S58" s="11"/>
      <c r="T58" s="11"/>
    </row>
    <row r="59" spans="1:20" ht="15" thickBot="1" x14ac:dyDescent="0.4">
      <c r="A59" s="135" t="str">
        <f>+Model!D57</f>
        <v>Land</v>
      </c>
      <c r="B59" s="136" t="str">
        <f>+Model!E57</f>
        <v>€</v>
      </c>
      <c r="C59" s="139">
        <f t="shared" si="12"/>
        <v>0</v>
      </c>
      <c r="L59" s="33"/>
      <c r="M59" s="6" t="s">
        <v>59</v>
      </c>
      <c r="N59" s="98">
        <v>0.16</v>
      </c>
      <c r="P59" s="209">
        <f>0.16*(P51/N55)</f>
        <v>6393.8930445609922</v>
      </c>
      <c r="Q59" s="96">
        <f t="shared" si="13"/>
        <v>0.13787371894537587</v>
      </c>
      <c r="R59" s="210" t="s">
        <v>192</v>
      </c>
      <c r="S59" s="11"/>
      <c r="T59" s="11"/>
    </row>
    <row r="60" spans="1:20" ht="13.5" thickBot="1" x14ac:dyDescent="0.35">
      <c r="A60" s="135" t="str">
        <f>+Model!D58</f>
        <v>Engineering and supervision</v>
      </c>
      <c r="B60" s="136" t="str">
        <f>+Model!E58</f>
        <v>€</v>
      </c>
      <c r="C60" s="139">
        <f t="shared" si="12"/>
        <v>24414.123942740756</v>
      </c>
      <c r="L60" s="58"/>
      <c r="M60" s="8" t="s">
        <v>132</v>
      </c>
      <c r="N60" s="8"/>
      <c r="O60" s="8"/>
      <c r="P60" s="99">
        <f>SUM(P55:P59)</f>
        <v>46374.995129377676</v>
      </c>
      <c r="Q60" s="100">
        <f t="shared" si="13"/>
        <v>1</v>
      </c>
    </row>
    <row r="61" spans="1:20" ht="13" thickBot="1" x14ac:dyDescent="0.3">
      <c r="A61" s="135" t="str">
        <f>+Model!D59</f>
        <v>Construction expenses</v>
      </c>
      <c r="B61" s="136" t="str">
        <f>+Model!E59</f>
        <v>€</v>
      </c>
      <c r="C61" s="139">
        <f t="shared" si="12"/>
        <v>78735.549715338915</v>
      </c>
      <c r="Q61" s="16"/>
      <c r="S61" s="11"/>
      <c r="T61" s="11"/>
    </row>
    <row r="62" spans="1:20" ht="13.5" thickBot="1" x14ac:dyDescent="0.35">
      <c r="A62" s="135" t="str">
        <f>+Model!D60</f>
        <v>Contractor's fee</v>
      </c>
      <c r="B62" s="136" t="str">
        <f>+Model!E60</f>
        <v>€</v>
      </c>
      <c r="C62" s="139">
        <f t="shared" si="12"/>
        <v>7873.5549715338911</v>
      </c>
      <c r="L62" s="50" t="s">
        <v>133</v>
      </c>
      <c r="M62" s="55"/>
      <c r="N62" s="51"/>
      <c r="O62" s="51"/>
      <c r="P62" s="51"/>
      <c r="Q62" s="101"/>
    </row>
    <row r="63" spans="1:20" ht="13.5" thickBot="1" x14ac:dyDescent="0.35">
      <c r="A63" s="135" t="str">
        <f>+Model!D61</f>
        <v>Contingency</v>
      </c>
      <c r="B63" s="136" t="str">
        <f>+Model!E61</f>
        <v>€</v>
      </c>
      <c r="C63" s="139">
        <f t="shared" si="12"/>
        <v>26143.254270985362</v>
      </c>
      <c r="L63" s="58" t="s">
        <v>112</v>
      </c>
      <c r="M63" s="8" t="s">
        <v>62</v>
      </c>
      <c r="N63" s="8" t="s">
        <v>134</v>
      </c>
      <c r="O63" s="8" t="s">
        <v>135</v>
      </c>
      <c r="P63" s="8" t="s">
        <v>129</v>
      </c>
      <c r="Q63" s="102" t="s">
        <v>117</v>
      </c>
    </row>
    <row r="64" spans="1:20" ht="13.5" thickBot="1" x14ac:dyDescent="0.35">
      <c r="A64" s="135" t="str">
        <f>+Model!D62</f>
        <v>Total fix capital</v>
      </c>
      <c r="B64" s="136" t="str">
        <f>+Model!E62</f>
        <v>€</v>
      </c>
      <c r="C64" s="139">
        <f>+P51</f>
        <v>399618.31528506195</v>
      </c>
      <c r="H64" s="26"/>
      <c r="I64" s="93"/>
      <c r="J64" s="61"/>
      <c r="L64" s="33"/>
      <c r="M64" s="22" t="s">
        <v>151</v>
      </c>
      <c r="N64" s="103">
        <f>+N3*F10*1000</f>
        <v>32850</v>
      </c>
      <c r="O64" s="67">
        <f>+F9</f>
        <v>0</v>
      </c>
      <c r="P64" s="67">
        <f>N64*O64</f>
        <v>0</v>
      </c>
      <c r="Q64" s="96">
        <f>+P64/P$81</f>
        <v>0</v>
      </c>
    </row>
    <row r="65" spans="1:18" ht="13" thickBot="1" x14ac:dyDescent="0.3">
      <c r="A65" s="135"/>
      <c r="B65" s="136"/>
      <c r="C65" s="139"/>
      <c r="L65" s="33"/>
      <c r="M65" s="22" t="s">
        <v>65</v>
      </c>
      <c r="N65" s="103">
        <f>+(N12*N10*N8)*0.1+N12</f>
        <v>20250</v>
      </c>
      <c r="O65" s="67">
        <f>+O68</f>
        <v>0</v>
      </c>
      <c r="P65" s="67">
        <f>N65*O65</f>
        <v>0</v>
      </c>
      <c r="Q65" s="96">
        <f>+P65/P$81</f>
        <v>0</v>
      </c>
    </row>
    <row r="66" spans="1:18" ht="13" thickBot="1" x14ac:dyDescent="0.3">
      <c r="A66" s="135" t="str">
        <f>+Model!D64</f>
        <v>Fix Capital Costs per annun</v>
      </c>
      <c r="B66" s="136"/>
      <c r="C66" s="137"/>
      <c r="L66" s="33"/>
      <c r="M66" s="22" t="s">
        <v>63</v>
      </c>
      <c r="N66" s="103">
        <f>+N3*C7*1000</f>
        <v>109500</v>
      </c>
      <c r="O66" s="67">
        <f>+F8</f>
        <v>0.1</v>
      </c>
      <c r="P66" s="67">
        <f t="shared" ref="P66" si="14">N66*O66</f>
        <v>10950</v>
      </c>
      <c r="Q66" s="96">
        <f>+P66/P$81</f>
        <v>1</v>
      </c>
    </row>
    <row r="67" spans="1:18" ht="13.5" thickBot="1" x14ac:dyDescent="0.35">
      <c r="A67" s="135" t="str">
        <f>+Model!D65</f>
        <v>Lifetime</v>
      </c>
      <c r="B67" s="136" t="str">
        <f>+Model!E65</f>
        <v>€</v>
      </c>
      <c r="C67" s="137">
        <f>+N55</f>
        <v>10</v>
      </c>
      <c r="L67" s="58" t="str">
        <f>+L63</f>
        <v>Item</v>
      </c>
      <c r="M67" s="8" t="s">
        <v>64</v>
      </c>
      <c r="N67" s="8" t="s">
        <v>134</v>
      </c>
      <c r="O67" s="8" t="s">
        <v>135</v>
      </c>
      <c r="P67" s="8" t="s">
        <v>129</v>
      </c>
      <c r="Q67" s="102" t="s">
        <v>117</v>
      </c>
    </row>
    <row r="68" spans="1:18" ht="13" thickBot="1" x14ac:dyDescent="0.3">
      <c r="A68" s="135" t="str">
        <f>+Model!D66</f>
        <v>Depreciation</v>
      </c>
      <c r="B68" s="136" t="str">
        <f>+Model!E66</f>
        <v>€</v>
      </c>
      <c r="C68" s="139">
        <f>+P56</f>
        <v>39351.478429937677</v>
      </c>
      <c r="L68" s="33"/>
      <c r="M68" s="6" t="s">
        <v>153</v>
      </c>
      <c r="N68" s="103">
        <f>+C8*C11*C12*10</f>
        <v>21900</v>
      </c>
      <c r="O68" s="67">
        <f>+F7</f>
        <v>0</v>
      </c>
      <c r="P68" s="67">
        <f>+O68*N68</f>
        <v>0</v>
      </c>
      <c r="Q68" s="96">
        <f>+P68/P$82</f>
        <v>0</v>
      </c>
    </row>
    <row r="69" spans="1:18" ht="13" thickBot="1" x14ac:dyDescent="0.3">
      <c r="A69" s="135" t="str">
        <f>+Model!D67</f>
        <v>Property tax (@ 0.01 depreciation)</v>
      </c>
      <c r="B69" s="136" t="str">
        <f>+Model!E67</f>
        <v>€</v>
      </c>
      <c r="C69" s="139">
        <f t="shared" ref="C69:C71" si="15">+P57</f>
        <v>393.5147842993768</v>
      </c>
      <c r="L69" s="33"/>
      <c r="M69" s="6" t="s">
        <v>142</v>
      </c>
      <c r="N69" s="103">
        <f>+N7*N5*N13*10000*24*N8/1000</f>
        <v>350400</v>
      </c>
      <c r="O69" s="67">
        <f>+O70</f>
        <v>0.1</v>
      </c>
      <c r="P69" s="67">
        <f>N69*O69</f>
        <v>35040</v>
      </c>
      <c r="Q69" s="96">
        <f>+P69/P$82</f>
        <v>0.9974025974025974</v>
      </c>
      <c r="R69" s="6" t="s">
        <v>186</v>
      </c>
    </row>
    <row r="70" spans="1:18" ht="13" thickBot="1" x14ac:dyDescent="0.3">
      <c r="A70" s="135" t="str">
        <f>+Model!D68</f>
        <v>Insurance (@ 0.006 depreciation)</v>
      </c>
      <c r="B70" s="136" t="str">
        <f>+Model!E68</f>
        <v>€</v>
      </c>
      <c r="C70" s="139">
        <f t="shared" si="15"/>
        <v>236.10887057962606</v>
      </c>
      <c r="L70" s="33"/>
      <c r="M70" s="6" t="s">
        <v>143</v>
      </c>
      <c r="N70" s="103">
        <f>+I30*N9*N8*F12</f>
        <v>912.5</v>
      </c>
      <c r="O70" s="67">
        <f>+F11</f>
        <v>0.1</v>
      </c>
      <c r="P70" s="67">
        <f>N70*O70</f>
        <v>91.25</v>
      </c>
      <c r="Q70" s="96">
        <f>+P70/P$82</f>
        <v>2.5974025974025974E-3</v>
      </c>
      <c r="R70" s="6" t="s">
        <v>185</v>
      </c>
    </row>
    <row r="71" spans="1:18" ht="13.5" thickBot="1" x14ac:dyDescent="0.35">
      <c r="A71" s="135" t="str">
        <f>+Model!D69</f>
        <v>Purchase tax (@ 0.16 of items 1-12/10)</v>
      </c>
      <c r="B71" s="136" t="str">
        <f>+Model!E69</f>
        <v>€</v>
      </c>
      <c r="C71" s="139">
        <f t="shared" si="15"/>
        <v>6393.8930445609922</v>
      </c>
      <c r="L71" s="58" t="str">
        <f>+L67</f>
        <v>Item</v>
      </c>
      <c r="M71" s="8" t="s">
        <v>66</v>
      </c>
      <c r="N71" s="8" t="s">
        <v>134</v>
      </c>
      <c r="O71" s="8" t="s">
        <v>135</v>
      </c>
      <c r="P71" s="8" t="s">
        <v>129</v>
      </c>
      <c r="Q71" s="102" t="s">
        <v>117</v>
      </c>
    </row>
    <row r="72" spans="1:18" ht="13" thickBot="1" x14ac:dyDescent="0.3">
      <c r="A72" s="135"/>
      <c r="B72" s="136"/>
      <c r="C72" s="137"/>
      <c r="L72" s="33">
        <f>+L70+1</f>
        <v>1</v>
      </c>
      <c r="M72" s="6" t="s">
        <v>67</v>
      </c>
      <c r="N72" s="27">
        <f>+N16</f>
        <v>0.5</v>
      </c>
      <c r="O72" s="67">
        <f>+N15</f>
        <v>30000</v>
      </c>
      <c r="P72" s="67">
        <f t="shared" ref="P72:P80" si="16">N72*O72</f>
        <v>15000</v>
      </c>
      <c r="Q72" s="96">
        <f>+P72/P$83</f>
        <v>0.24813004110416997</v>
      </c>
    </row>
    <row r="73" spans="1:18" ht="13" thickBot="1" x14ac:dyDescent="0.3">
      <c r="A73" s="135" t="str">
        <f>+Model!D71</f>
        <v>Direct Production Costs</v>
      </c>
      <c r="B73" s="136"/>
      <c r="C73" s="137"/>
      <c r="L73" s="33">
        <f t="shared" ref="L73:L80" si="17">+L72+1</f>
        <v>2</v>
      </c>
      <c r="M73" s="6" t="s">
        <v>68</v>
      </c>
      <c r="N73" s="27">
        <v>0.2</v>
      </c>
      <c r="O73" s="71">
        <f>O72</f>
        <v>30000</v>
      </c>
      <c r="P73" s="67">
        <f t="shared" si="16"/>
        <v>6000</v>
      </c>
      <c r="Q73" s="96">
        <f t="shared" ref="Q73:Q80" si="18">+P73/P$83</f>
        <v>9.9252016441667978E-2</v>
      </c>
    </row>
    <row r="74" spans="1:18" ht="13" thickBot="1" x14ac:dyDescent="0.3">
      <c r="A74" s="135" t="str">
        <f>+Model!D72</f>
        <v>Raw materials</v>
      </c>
      <c r="B74" s="136"/>
      <c r="C74" s="137"/>
      <c r="L74" s="33">
        <f t="shared" si="17"/>
        <v>3</v>
      </c>
      <c r="M74" s="6" t="s">
        <v>69</v>
      </c>
      <c r="N74" s="27">
        <v>0.25</v>
      </c>
      <c r="O74" s="67">
        <f>+P72+P73</f>
        <v>21000</v>
      </c>
      <c r="P74" s="67">
        <f t="shared" si="16"/>
        <v>5250</v>
      </c>
      <c r="Q74" s="96">
        <f t="shared" si="18"/>
        <v>8.6845514386459488E-2</v>
      </c>
    </row>
    <row r="75" spans="1:18" ht="13" thickBot="1" x14ac:dyDescent="0.3">
      <c r="A75" s="135" t="str">
        <f>+Model!D73</f>
        <v>Fertilizers (kg)</v>
      </c>
      <c r="B75" s="136" t="str">
        <f>+Model!E73</f>
        <v>€</v>
      </c>
      <c r="C75" s="139">
        <f>+P64</f>
        <v>0</v>
      </c>
      <c r="L75" s="33">
        <f t="shared" si="17"/>
        <v>4</v>
      </c>
      <c r="M75" s="6" t="s">
        <v>70</v>
      </c>
      <c r="N75" s="27">
        <v>0.04</v>
      </c>
      <c r="O75" s="67">
        <f>+P38</f>
        <v>122070.61971370378</v>
      </c>
      <c r="P75" s="67">
        <f t="shared" si="16"/>
        <v>4882.8247885481514</v>
      </c>
      <c r="Q75" s="96">
        <f t="shared" si="18"/>
        <v>8.0771701032460855E-2</v>
      </c>
    </row>
    <row r="76" spans="1:18" ht="13" thickBot="1" x14ac:dyDescent="0.3">
      <c r="A76" s="135" t="str">
        <f>+Model!D74</f>
        <v>Water (m3)</v>
      </c>
      <c r="B76" s="136" t="str">
        <f>+Model!E74</f>
        <v>€</v>
      </c>
      <c r="C76" s="139">
        <f t="shared" ref="C76:C77" si="19">+P65</f>
        <v>0</v>
      </c>
      <c r="L76" s="33">
        <f t="shared" si="17"/>
        <v>5</v>
      </c>
      <c r="M76" s="6" t="s">
        <v>193</v>
      </c>
      <c r="N76" s="27">
        <v>4.0000000000000001E-3</v>
      </c>
      <c r="O76" s="67">
        <f>SUM(P64:P66)</f>
        <v>10950</v>
      </c>
      <c r="P76" s="67">
        <f t="shared" si="16"/>
        <v>43.800000000000004</v>
      </c>
      <c r="Q76" s="96">
        <f t="shared" si="18"/>
        <v>7.2453972002417641E-4</v>
      </c>
    </row>
    <row r="77" spans="1:18" ht="13" thickBot="1" x14ac:dyDescent="0.3">
      <c r="A77" s="135" t="str">
        <f>+Model!D75</f>
        <v>Carbon dioxide (kg)</v>
      </c>
      <c r="B77" s="136" t="str">
        <f>+Model!E75</f>
        <v>€</v>
      </c>
      <c r="C77" s="139">
        <f t="shared" si="19"/>
        <v>10950</v>
      </c>
      <c r="L77" s="33">
        <f t="shared" si="17"/>
        <v>6</v>
      </c>
      <c r="M77" s="6" t="s">
        <v>72</v>
      </c>
      <c r="N77" s="27">
        <v>0.55000000000000004</v>
      </c>
      <c r="O77" s="67">
        <f>P72+P73+P75</f>
        <v>25882.824788548151</v>
      </c>
      <c r="P77" s="67">
        <f t="shared" si="16"/>
        <v>14235.553633701484</v>
      </c>
      <c r="Q77" s="96">
        <f t="shared" si="18"/>
        <v>0.23548456721806435</v>
      </c>
    </row>
    <row r="78" spans="1:18" ht="13" thickBot="1" x14ac:dyDescent="0.3">
      <c r="A78" s="135" t="str">
        <f>+Model!D76</f>
        <v>Utilities</v>
      </c>
      <c r="B78" s="136"/>
      <c r="C78" s="139"/>
      <c r="L78" s="33">
        <f t="shared" si="17"/>
        <v>7</v>
      </c>
      <c r="M78" s="6" t="s">
        <v>194</v>
      </c>
      <c r="N78" s="27">
        <v>0.16</v>
      </c>
      <c r="O78" s="67">
        <f>SUM(P64:P66)+SUM(P68:P70)+P75+P76</f>
        <v>51007.874788548157</v>
      </c>
      <c r="P78" s="67">
        <f t="shared" si="16"/>
        <v>8161.259966167705</v>
      </c>
      <c r="Q78" s="96">
        <f t="shared" si="18"/>
        <v>0.1350035847244673</v>
      </c>
    </row>
    <row r="79" spans="1:18" ht="13" thickBot="1" x14ac:dyDescent="0.3">
      <c r="A79" s="135" t="str">
        <f>+Model!D77</f>
        <v>Water (m3)</v>
      </c>
      <c r="B79" s="136" t="str">
        <f>+Model!E77</f>
        <v>€</v>
      </c>
      <c r="C79" s="139">
        <f>+P68</f>
        <v>0</v>
      </c>
      <c r="L79" s="33">
        <f t="shared" si="17"/>
        <v>8</v>
      </c>
      <c r="M79" s="6" t="s">
        <v>195</v>
      </c>
      <c r="N79" s="27">
        <v>0.05</v>
      </c>
      <c r="O79" s="67">
        <f>SUM(P64:P66)+SUM(P68:P70)</f>
        <v>46081.25</v>
      </c>
      <c r="P79" s="67">
        <f t="shared" si="16"/>
        <v>2304.0625</v>
      </c>
      <c r="Q79" s="96">
        <f t="shared" si="18"/>
        <v>3.8113808188771775E-2</v>
      </c>
    </row>
    <row r="80" spans="1:18" ht="13" thickBot="1" x14ac:dyDescent="0.3">
      <c r="A80" s="135" t="str">
        <f>+Model!D78</f>
        <v>Power mixing (kWh)</v>
      </c>
      <c r="B80" s="136" t="str">
        <f>+Model!E78</f>
        <v>€</v>
      </c>
      <c r="C80" s="139">
        <f t="shared" ref="C80:C94" si="20">+P69</f>
        <v>35040</v>
      </c>
      <c r="L80" s="33">
        <f t="shared" si="17"/>
        <v>9</v>
      </c>
      <c r="M80" s="6" t="s">
        <v>196</v>
      </c>
      <c r="N80" s="27">
        <v>0.05</v>
      </c>
      <c r="O80" s="67">
        <f>SUM(P64:P66)+SUM(P68:P70)+SUM(P72:P77)</f>
        <v>91493.428422249635</v>
      </c>
      <c r="P80" s="67">
        <f t="shared" si="16"/>
        <v>4574.6714211124818</v>
      </c>
      <c r="Q80" s="96">
        <f t="shared" si="18"/>
        <v>7.5674227183914117E-2</v>
      </c>
    </row>
    <row r="81" spans="1:20" ht="13.5" thickBot="1" x14ac:dyDescent="0.35">
      <c r="A81" s="135" t="str">
        <f>+Model!D79</f>
        <v>Power harvesting and others (Kwh)</v>
      </c>
      <c r="B81" s="136" t="str">
        <f>+Model!E79</f>
        <v>€</v>
      </c>
      <c r="C81" s="139">
        <f t="shared" si="20"/>
        <v>91.25</v>
      </c>
      <c r="L81" s="50"/>
      <c r="M81" s="55" t="s">
        <v>76</v>
      </c>
      <c r="N81" s="55"/>
      <c r="O81" s="55"/>
      <c r="P81" s="104">
        <f>+SUM(P64:P66)</f>
        <v>10950</v>
      </c>
      <c r="Q81" s="101"/>
    </row>
    <row r="82" spans="1:20" ht="13.5" thickBot="1" x14ac:dyDescent="0.35">
      <c r="A82" s="135" t="str">
        <f>+Model!D80</f>
        <v>Labor and others</v>
      </c>
      <c r="B82" s="136"/>
      <c r="C82" s="139"/>
      <c r="L82" s="105"/>
      <c r="M82" s="26" t="s">
        <v>77</v>
      </c>
      <c r="N82" s="26"/>
      <c r="O82" s="26"/>
      <c r="P82" s="106">
        <f>+SUM(P68:P70)</f>
        <v>35131.25</v>
      </c>
      <c r="Q82" s="96"/>
      <c r="R82" s="11"/>
    </row>
    <row r="83" spans="1:20" ht="13.5" thickBot="1" x14ac:dyDescent="0.35">
      <c r="A83" s="135" t="str">
        <f>+Model!D81</f>
        <v>Labor</v>
      </c>
      <c r="B83" s="136" t="str">
        <f>+Model!E81</f>
        <v>€</v>
      </c>
      <c r="C83" s="139">
        <f t="shared" si="20"/>
        <v>15000</v>
      </c>
      <c r="L83" s="107"/>
      <c r="M83" s="108" t="s">
        <v>78</v>
      </c>
      <c r="N83" s="108"/>
      <c r="O83" s="108"/>
      <c r="P83" s="109">
        <f>+SUM(P72:P80)</f>
        <v>60452.172309529822</v>
      </c>
      <c r="Q83" s="110"/>
      <c r="R83" s="11"/>
    </row>
    <row r="84" spans="1:20" ht="13" thickBot="1" x14ac:dyDescent="0.3">
      <c r="A84" s="135" t="str">
        <f>+Model!D82</f>
        <v>Supervision (@ 0.2 labor)</v>
      </c>
      <c r="B84" s="136" t="str">
        <f>+Model!E82</f>
        <v>€</v>
      </c>
      <c r="C84" s="139">
        <f t="shared" si="20"/>
        <v>6000</v>
      </c>
    </row>
    <row r="85" spans="1:20" ht="13" thickBot="1" x14ac:dyDescent="0.3">
      <c r="A85" s="135" t="str">
        <f>+Model!D83</f>
        <v>Payroll charges (@ 0.25 (labor + supervision))</v>
      </c>
      <c r="B85" s="136" t="str">
        <f>+Model!E83</f>
        <v>€</v>
      </c>
      <c r="C85" s="139">
        <f t="shared" si="20"/>
        <v>5250</v>
      </c>
      <c r="R85" s="11"/>
    </row>
    <row r="86" spans="1:20" ht="13.5" thickBot="1" x14ac:dyDescent="0.35">
      <c r="A86" s="135" t="str">
        <f>+Model!D84</f>
        <v>Maintenance (@ 0.04 MEC)</v>
      </c>
      <c r="B86" s="136" t="str">
        <f>+Model!E84</f>
        <v>€</v>
      </c>
      <c r="C86" s="139">
        <f t="shared" si="20"/>
        <v>4882.8247885481514</v>
      </c>
      <c r="L86" s="58" t="s">
        <v>136</v>
      </c>
      <c r="M86" s="8"/>
      <c r="N86" s="8"/>
      <c r="O86" s="8"/>
      <c r="P86" s="111"/>
      <c r="R86" s="11"/>
    </row>
    <row r="87" spans="1:20" ht="13.5" thickBot="1" x14ac:dyDescent="0.35">
      <c r="A87" s="135" t="str">
        <f>+Model!D85</f>
        <v>Operating supplies (@ 0.004 items 1-5)</v>
      </c>
      <c r="B87" s="136" t="str">
        <f>+Model!E85</f>
        <v>€</v>
      </c>
      <c r="C87" s="139">
        <f t="shared" si="20"/>
        <v>43.800000000000004</v>
      </c>
      <c r="L87" s="58" t="s">
        <v>112</v>
      </c>
      <c r="M87" s="8" t="s">
        <v>137</v>
      </c>
      <c r="N87" s="8"/>
      <c r="O87" s="8" t="s">
        <v>129</v>
      </c>
      <c r="P87" s="111" t="s">
        <v>84</v>
      </c>
      <c r="S87" s="25"/>
      <c r="T87" s="25"/>
    </row>
    <row r="88" spans="1:20" ht="13" thickBot="1" x14ac:dyDescent="0.3">
      <c r="A88" s="135" t="str">
        <f>+Model!D86</f>
        <v>General plant overheads (@ 0.55 (labor + supervision + maintenance))</v>
      </c>
      <c r="B88" s="136" t="str">
        <f>+Model!E86</f>
        <v>€</v>
      </c>
      <c r="C88" s="139">
        <f t="shared" si="20"/>
        <v>14235.553633701484</v>
      </c>
      <c r="L88" s="112">
        <v>1</v>
      </c>
      <c r="M88" s="113" t="str">
        <f>+M60</f>
        <v>Total fix capital per annun</v>
      </c>
      <c r="N88" s="113"/>
      <c r="O88" s="114">
        <f>+P60</f>
        <v>46374.995129377676</v>
      </c>
      <c r="P88" s="115">
        <f>+O88/O$94</f>
        <v>0.30328608395876039</v>
      </c>
    </row>
    <row r="89" spans="1:20" ht="13" thickBot="1" x14ac:dyDescent="0.3">
      <c r="A89" s="135" t="str">
        <f>+Model!D87</f>
        <v>Tax (@ 0.16 items 1-7, 11 and 12)</v>
      </c>
      <c r="B89" s="136" t="str">
        <f>+Model!E87</f>
        <v>€</v>
      </c>
      <c r="C89" s="139">
        <f t="shared" si="20"/>
        <v>8161.259966167705</v>
      </c>
      <c r="L89" s="33">
        <v>2</v>
      </c>
      <c r="M89" s="22" t="str">
        <f>+M81</f>
        <v>Total raw materials</v>
      </c>
      <c r="N89" s="22"/>
      <c r="O89" s="71">
        <f>+P81</f>
        <v>10950</v>
      </c>
      <c r="P89" s="116">
        <f>+O89/O$94</f>
        <v>7.1611492574468152E-2</v>
      </c>
    </row>
    <row r="90" spans="1:20" ht="13" thickBot="1" x14ac:dyDescent="0.3">
      <c r="A90" s="135" t="str">
        <f>+Model!D88</f>
        <v>Contingency (@ 0.05 items 1-7)</v>
      </c>
      <c r="B90" s="136" t="str">
        <f>+Model!E88</f>
        <v>€</v>
      </c>
      <c r="C90" s="139">
        <f t="shared" si="20"/>
        <v>2304.0625</v>
      </c>
      <c r="L90" s="33">
        <v>3</v>
      </c>
      <c r="M90" s="22" t="str">
        <f>+M82</f>
        <v>Total utilities</v>
      </c>
      <c r="N90" s="22"/>
      <c r="O90" s="71">
        <f>+P82</f>
        <v>35131.25</v>
      </c>
      <c r="P90" s="116">
        <f>+O90/O$94</f>
        <v>0.22975353867641865</v>
      </c>
    </row>
    <row r="91" spans="1:20" ht="13" thickBot="1" x14ac:dyDescent="0.3">
      <c r="A91" s="135" t="str">
        <f>+Model!D89</f>
        <v>Marketing (@ 0.05 items 1-13)</v>
      </c>
      <c r="B91" s="136" t="str">
        <f>+Model!E89</f>
        <v>€</v>
      </c>
      <c r="C91" s="139">
        <f t="shared" si="20"/>
        <v>4574.6714211124818</v>
      </c>
      <c r="L91" s="86">
        <v>4</v>
      </c>
      <c r="M91" s="190" t="str">
        <f>+M83</f>
        <v>Total labor and others</v>
      </c>
      <c r="N91" s="190"/>
      <c r="O91" s="191">
        <f>+P83</f>
        <v>60452.172309529822</v>
      </c>
      <c r="P91" s="192">
        <f>+O91/O$94</f>
        <v>0.39534888479035285</v>
      </c>
    </row>
    <row r="92" spans="1:20" ht="13.5" thickBot="1" x14ac:dyDescent="0.35">
      <c r="A92" s="135" t="str">
        <f>+Model!D90</f>
        <v>Total raw materials</v>
      </c>
      <c r="B92" s="136" t="str">
        <f>+Model!E90</f>
        <v>€</v>
      </c>
      <c r="C92" s="139">
        <f t="shared" si="20"/>
        <v>10950</v>
      </c>
      <c r="L92" s="188"/>
      <c r="M92" s="26" t="str">
        <f>+M88</f>
        <v>Total fix capital per annun</v>
      </c>
      <c r="N92" s="26"/>
      <c r="O92" s="204">
        <f>+O88</f>
        <v>46374.995129377676</v>
      </c>
      <c r="P92" s="189">
        <f>+O92/O94</f>
        <v>0.30328608395876039</v>
      </c>
    </row>
    <row r="93" spans="1:20" ht="13.5" thickBot="1" x14ac:dyDescent="0.35">
      <c r="A93" s="135" t="str">
        <f>+Model!D91</f>
        <v>Total utilities</v>
      </c>
      <c r="B93" s="136" t="str">
        <f>+Model!E91</f>
        <v>€</v>
      </c>
      <c r="C93" s="139">
        <f t="shared" si="20"/>
        <v>35131.25</v>
      </c>
      <c r="L93" s="105"/>
      <c r="M93" s="26" t="s">
        <v>138</v>
      </c>
      <c r="N93" s="26"/>
      <c r="O93" s="204">
        <f>+P83+P82+P81</f>
        <v>106533.42230952982</v>
      </c>
      <c r="P93" s="118">
        <f>+O93/O94</f>
        <v>0.69671391604123967</v>
      </c>
    </row>
    <row r="94" spans="1:20" ht="13.5" thickBot="1" x14ac:dyDescent="0.35">
      <c r="A94" s="135" t="str">
        <f>+Model!D92</f>
        <v>Total labor and others</v>
      </c>
      <c r="B94" s="136" t="str">
        <f>+Model!E92</f>
        <v>€</v>
      </c>
      <c r="C94" s="139">
        <f t="shared" si="20"/>
        <v>60452.172309529822</v>
      </c>
      <c r="L94" s="58"/>
      <c r="M94" s="8" t="s">
        <v>139</v>
      </c>
      <c r="N94" s="8"/>
      <c r="O94" s="205">
        <f>+O93+P60</f>
        <v>152908.41743890749</v>
      </c>
      <c r="P94" s="119"/>
    </row>
    <row r="95" spans="1:20" ht="13.5" thickBot="1" x14ac:dyDescent="0.35">
      <c r="A95" s="135" t="str">
        <f>+Model!D93</f>
        <v>Total fix capital per annun</v>
      </c>
      <c r="B95" s="136" t="str">
        <f>+Model!E93</f>
        <v>€</v>
      </c>
      <c r="C95" s="139">
        <f>+O92</f>
        <v>46374.995129377676</v>
      </c>
      <c r="L95" s="107"/>
      <c r="M95" s="108" t="s">
        <v>140</v>
      </c>
      <c r="N95" s="108"/>
      <c r="O95" s="143">
        <f>+O94/(N3*1000)</f>
        <v>1.3964239035516666</v>
      </c>
      <c r="P95" s="120"/>
      <c r="R95" s="212"/>
    </row>
    <row r="96" spans="1:20" ht="13" thickBot="1" x14ac:dyDescent="0.3">
      <c r="A96" s="135" t="str">
        <f>+Model!D94</f>
        <v>Total direct production costs</v>
      </c>
      <c r="B96" s="136" t="str">
        <f>+Model!E94</f>
        <v>€</v>
      </c>
      <c r="C96" s="139">
        <f t="shared" ref="C96:C98" si="21">+O93</f>
        <v>106533.42230952982</v>
      </c>
    </row>
    <row r="97" spans="1:3" ht="13" thickBot="1" x14ac:dyDescent="0.3">
      <c r="A97" s="135" t="str">
        <f>+Model!D95</f>
        <v>Total production costs</v>
      </c>
      <c r="B97" s="136" t="str">
        <f>+Model!E95</f>
        <v>€</v>
      </c>
      <c r="C97" s="139">
        <f t="shared" si="21"/>
        <v>152908.41743890749</v>
      </c>
    </row>
    <row r="98" spans="1:3" ht="13" thickBot="1" x14ac:dyDescent="0.3">
      <c r="A98" s="135" t="str">
        <f>+Model!D96</f>
        <v>Unit cost of producing biomass</v>
      </c>
      <c r="B98" s="136" t="str">
        <f>+Model!E96</f>
        <v>€/kg</v>
      </c>
      <c r="C98" s="139">
        <f t="shared" si="21"/>
        <v>1.3964239035516666</v>
      </c>
    </row>
  </sheetData>
  <pageMargins left="0.7" right="0.7" top="0.75" bottom="0.75" header="0.3" footer="0.3"/>
  <pageSetup paperSize="9" orientation="portrait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X98"/>
  <sheetViews>
    <sheetView zoomScale="70" zoomScaleNormal="70" workbookViewId="0">
      <selection activeCell="C6" sqref="C6:C26"/>
    </sheetView>
  </sheetViews>
  <sheetFormatPr baseColWidth="10" defaultColWidth="11.453125" defaultRowHeight="12.5" x14ac:dyDescent="0.25"/>
  <cols>
    <col min="1" max="1" width="35.453125" style="6" customWidth="1"/>
    <col min="2" max="2" width="19.1796875" style="6" bestFit="1" customWidth="1"/>
    <col min="3" max="3" width="16.54296875" style="6" bestFit="1" customWidth="1"/>
    <col min="4" max="4" width="23.26953125" style="6" bestFit="1" customWidth="1"/>
    <col min="5" max="5" width="29.26953125" style="6" bestFit="1" customWidth="1"/>
    <col min="6" max="6" width="18.453125" style="6" bestFit="1" customWidth="1"/>
    <col min="7" max="7" width="12.81640625" style="6" customWidth="1"/>
    <col min="8" max="8" width="11.54296875" style="6" bestFit="1" customWidth="1"/>
    <col min="9" max="9" width="16.1796875" style="6" bestFit="1" customWidth="1"/>
    <col min="10" max="10" width="13.1796875" style="6" bestFit="1" customWidth="1"/>
    <col min="11" max="11" width="7.1796875" style="6" customWidth="1"/>
    <col min="12" max="12" width="8.7265625" style="6" customWidth="1"/>
    <col min="13" max="13" width="60.453125" style="6" bestFit="1" customWidth="1"/>
    <col min="14" max="14" width="15.1796875" style="6" bestFit="1" customWidth="1"/>
    <col min="15" max="15" width="17.26953125" style="6" customWidth="1"/>
    <col min="16" max="16" width="16.453125" style="6" customWidth="1"/>
    <col min="17" max="17" width="12.54296875" style="6" customWidth="1"/>
    <col min="18" max="18" width="21.1796875" style="6" bestFit="1" customWidth="1"/>
    <col min="19" max="19" width="10.81640625" style="6" bestFit="1" customWidth="1"/>
    <col min="20" max="20" width="6.54296875" style="6" bestFit="1" customWidth="1"/>
    <col min="21" max="21" width="4" style="6" customWidth="1"/>
    <col min="22" max="22" width="20.26953125" style="6" bestFit="1" customWidth="1"/>
    <col min="23" max="23" width="11" style="6" bestFit="1" customWidth="1"/>
    <col min="24" max="24" width="10" style="6" bestFit="1" customWidth="1"/>
    <col min="25" max="16384" width="11.453125" style="6"/>
  </cols>
  <sheetData>
    <row r="1" spans="1:50" ht="13" thickBot="1" x14ac:dyDescent="0.3"/>
    <row r="2" spans="1:50" ht="13.5" thickBot="1" x14ac:dyDescent="0.35">
      <c r="L2" s="112"/>
      <c r="M2" s="55" t="s">
        <v>79</v>
      </c>
      <c r="N2" s="51"/>
      <c r="O2" s="54"/>
    </row>
    <row r="3" spans="1:50" x14ac:dyDescent="0.25">
      <c r="L3" s="112">
        <v>1</v>
      </c>
      <c r="M3" s="113" t="s">
        <v>81</v>
      </c>
      <c r="N3" s="129">
        <f>+N13*N14*N8/100</f>
        <v>109.5</v>
      </c>
      <c r="O3" s="130" t="s">
        <v>82</v>
      </c>
    </row>
    <row r="4" spans="1:50" ht="13" thickBot="1" x14ac:dyDescent="0.3">
      <c r="L4" s="33">
        <v>2</v>
      </c>
      <c r="M4" s="22" t="s">
        <v>3</v>
      </c>
      <c r="N4" s="29">
        <f>+N14/(N5*1000)</f>
        <v>0.15</v>
      </c>
      <c r="O4" s="30" t="s">
        <v>85</v>
      </c>
      <c r="AI4" s="7"/>
      <c r="AJ4" s="7"/>
      <c r="AK4" s="7"/>
      <c r="AL4" s="7"/>
      <c r="AM4" s="7"/>
      <c r="AN4" s="7"/>
      <c r="AO4" s="7"/>
    </row>
    <row r="5" spans="1:50" ht="13.5" thickBot="1" x14ac:dyDescent="0.35">
      <c r="A5" s="121" t="str">
        <f>+Model!D3</f>
        <v>Technical parameters</v>
      </c>
      <c r="B5" s="122"/>
      <c r="C5" s="123"/>
      <c r="E5" s="58" t="s">
        <v>80</v>
      </c>
      <c r="F5" s="9"/>
      <c r="G5" s="10"/>
      <c r="L5" s="13">
        <v>3</v>
      </c>
      <c r="M5" s="14" t="s">
        <v>22</v>
      </c>
      <c r="N5" s="12">
        <f>+C13</f>
        <v>0.2</v>
      </c>
      <c r="O5" s="15" t="s">
        <v>88</v>
      </c>
      <c r="AI5" s="11"/>
      <c r="AJ5" s="11"/>
      <c r="AK5" s="11"/>
      <c r="AL5" s="11"/>
      <c r="AM5" s="11"/>
      <c r="AN5" s="11"/>
      <c r="AO5" s="11"/>
    </row>
    <row r="6" spans="1:50" ht="13" x14ac:dyDescent="0.3">
      <c r="A6" s="124" t="str">
        <f>+Model!D4</f>
        <v>Biomass productivity</v>
      </c>
      <c r="B6" s="125" t="str">
        <f>+Model!E4</f>
        <v>g/m2/day</v>
      </c>
      <c r="C6" s="147">
        <f>+Model!N4</f>
        <v>30</v>
      </c>
      <c r="D6" s="140"/>
      <c r="E6" s="148" t="s">
        <v>83</v>
      </c>
      <c r="F6" s="149">
        <f>+C26</f>
        <v>10</v>
      </c>
      <c r="G6" s="130" t="s">
        <v>91</v>
      </c>
      <c r="L6" s="13">
        <v>4</v>
      </c>
      <c r="M6" s="14" t="s">
        <v>89</v>
      </c>
      <c r="N6" s="20">
        <v>0.01</v>
      </c>
      <c r="O6" s="15" t="s">
        <v>90</v>
      </c>
      <c r="P6" s="12"/>
    </row>
    <row r="7" spans="1:50" ht="13" x14ac:dyDescent="0.3">
      <c r="A7" s="124" t="str">
        <f>+Model!D5</f>
        <v>CO2 usage</v>
      </c>
      <c r="B7" s="125" t="str">
        <f>+Model!E5</f>
        <v>kg/kg algae biomass</v>
      </c>
      <c r="C7" s="147">
        <f>+Model!N5</f>
        <v>1</v>
      </c>
      <c r="D7" s="140"/>
      <c r="E7" s="28" t="s">
        <v>96</v>
      </c>
      <c r="F7" s="201">
        <f>+C20</f>
        <v>0</v>
      </c>
      <c r="G7" s="141" t="s">
        <v>91</v>
      </c>
      <c r="L7" s="13">
        <v>5</v>
      </c>
      <c r="M7" s="14" t="s">
        <v>21</v>
      </c>
      <c r="N7" s="20">
        <f>+C9</f>
        <v>20</v>
      </c>
      <c r="O7" s="15" t="s">
        <v>92</v>
      </c>
      <c r="P7" s="12"/>
      <c r="AI7" s="16"/>
      <c r="AJ7" s="16"/>
      <c r="AK7" s="16"/>
      <c r="AL7" s="16"/>
      <c r="AM7" s="16"/>
      <c r="AN7" s="16"/>
      <c r="AO7" s="16"/>
    </row>
    <row r="8" spans="1:50" ht="13" x14ac:dyDescent="0.3">
      <c r="A8" s="124" t="str">
        <f>+Model!D6</f>
        <v>Water evaporation</v>
      </c>
      <c r="B8" s="125" t="str">
        <f>+Model!E6</f>
        <v>L/m2/day</v>
      </c>
      <c r="C8" s="147">
        <f>+Model!N6</f>
        <v>6</v>
      </c>
      <c r="D8" s="140"/>
      <c r="E8" s="28" t="s">
        <v>86</v>
      </c>
      <c r="F8" s="29">
        <f>+C21</f>
        <v>0.1</v>
      </c>
      <c r="G8" s="30" t="s">
        <v>87</v>
      </c>
      <c r="L8" s="13">
        <v>6</v>
      </c>
      <c r="M8" s="14" t="s">
        <v>93</v>
      </c>
      <c r="N8" s="24">
        <f>+C11</f>
        <v>365</v>
      </c>
      <c r="O8" s="15" t="s">
        <v>94</v>
      </c>
      <c r="P8" s="12"/>
      <c r="AI8" s="16"/>
      <c r="AJ8" s="16"/>
      <c r="AK8" s="16"/>
      <c r="AL8" s="16"/>
      <c r="AM8" s="16"/>
      <c r="AN8" s="16"/>
      <c r="AO8" s="16"/>
    </row>
    <row r="9" spans="1:50" ht="13" x14ac:dyDescent="0.3">
      <c r="A9" s="124" t="str">
        <f>+Model!D7</f>
        <v>Mixing power consumption</v>
      </c>
      <c r="B9" s="125" t="str">
        <f>+Model!E7</f>
        <v>W/m3</v>
      </c>
      <c r="C9" s="147">
        <f>+Model!N7</f>
        <v>20</v>
      </c>
      <c r="D9" s="140"/>
      <c r="E9" s="28" t="s">
        <v>150</v>
      </c>
      <c r="F9" s="29">
        <f>+C22</f>
        <v>0</v>
      </c>
      <c r="G9" s="30" t="s">
        <v>87</v>
      </c>
      <c r="L9" s="28">
        <v>7</v>
      </c>
      <c r="M9" s="22" t="s">
        <v>93</v>
      </c>
      <c r="N9" s="29">
        <v>10</v>
      </c>
      <c r="O9" s="30" t="s">
        <v>95</v>
      </c>
      <c r="P9" s="20"/>
      <c r="AI9" s="16"/>
      <c r="AJ9" s="16"/>
      <c r="AK9" s="16"/>
      <c r="AL9" s="16"/>
      <c r="AM9" s="16"/>
      <c r="AN9" s="16"/>
      <c r="AO9" s="16"/>
    </row>
    <row r="10" spans="1:50" ht="13" x14ac:dyDescent="0.3">
      <c r="A10" s="124" t="str">
        <f>+Model!D8</f>
        <v xml:space="preserve">Labour </v>
      </c>
      <c r="B10" s="125" t="str">
        <f>+Model!E8</f>
        <v>people/ha</v>
      </c>
      <c r="C10" s="147">
        <f>+Model!N8</f>
        <v>0.5</v>
      </c>
      <c r="E10" s="33" t="s">
        <v>152</v>
      </c>
      <c r="F10" s="6">
        <v>0.3</v>
      </c>
      <c r="G10" s="141" t="s">
        <v>141</v>
      </c>
      <c r="I10" s="21"/>
      <c r="J10" s="21"/>
      <c r="K10" s="21"/>
      <c r="L10" s="13">
        <v>8</v>
      </c>
      <c r="M10" s="14" t="s">
        <v>23</v>
      </c>
      <c r="N10" s="12">
        <f>+C15</f>
        <v>0.25</v>
      </c>
      <c r="O10" s="15" t="s">
        <v>24</v>
      </c>
      <c r="P10" s="20"/>
      <c r="AI10" s="16"/>
      <c r="AJ10" s="16"/>
      <c r="AK10" s="16"/>
      <c r="AL10" s="16"/>
      <c r="AM10" s="16"/>
      <c r="AN10" s="16"/>
      <c r="AO10" s="16"/>
    </row>
    <row r="11" spans="1:50" ht="13" x14ac:dyDescent="0.3">
      <c r="A11" s="124" t="str">
        <f>+Model!D9</f>
        <v>Production days</v>
      </c>
      <c r="B11" s="125" t="str">
        <f>+Model!E9</f>
        <v>Days</v>
      </c>
      <c r="C11" s="147">
        <f>+Model!N9</f>
        <v>365</v>
      </c>
      <c r="E11" s="28" t="s">
        <v>97</v>
      </c>
      <c r="F11" s="29">
        <f>+C24</f>
        <v>0.1</v>
      </c>
      <c r="G11" s="141" t="s">
        <v>149</v>
      </c>
      <c r="I11" s="21"/>
      <c r="J11" s="21"/>
      <c r="K11" s="21"/>
      <c r="L11" s="28">
        <v>9</v>
      </c>
      <c r="M11" s="22" t="s">
        <v>98</v>
      </c>
      <c r="N11" s="29">
        <f>+N4/N10</f>
        <v>0.6</v>
      </c>
      <c r="O11" s="30" t="s">
        <v>99</v>
      </c>
      <c r="P11" s="24"/>
    </row>
    <row r="12" spans="1:50" ht="13.5" thickBot="1" x14ac:dyDescent="0.35">
      <c r="A12" s="124" t="str">
        <f>+Model!D10</f>
        <v>Land area</v>
      </c>
      <c r="B12" s="125" t="str">
        <f>+Model!E10</f>
        <v>ha</v>
      </c>
      <c r="C12" s="147">
        <f>+Model!N10</f>
        <v>1</v>
      </c>
      <c r="E12" s="86" t="s">
        <v>155</v>
      </c>
      <c r="F12" s="150">
        <f>+C25</f>
        <v>0.1</v>
      </c>
      <c r="G12" s="151" t="s">
        <v>154</v>
      </c>
      <c r="I12" s="81"/>
      <c r="J12" s="25"/>
      <c r="K12" s="25"/>
      <c r="L12" s="33">
        <v>10</v>
      </c>
      <c r="M12" s="22" t="s">
        <v>25</v>
      </c>
      <c r="N12" s="34">
        <f>+N3*1000/(N4*C11)</f>
        <v>2000</v>
      </c>
      <c r="O12" s="30" t="s">
        <v>37</v>
      </c>
      <c r="P12" s="24"/>
      <c r="S12" s="26"/>
    </row>
    <row r="13" spans="1:50" ht="13" x14ac:dyDescent="0.3">
      <c r="A13" s="124" t="str">
        <f>+Model!D11</f>
        <v>Ratio V/S</v>
      </c>
      <c r="B13" s="125" t="str">
        <f>+Model!E11</f>
        <v>m3/m2</v>
      </c>
      <c r="C13" s="147">
        <f>+Model!N11</f>
        <v>0.2</v>
      </c>
      <c r="I13" s="81"/>
      <c r="J13" s="21"/>
      <c r="K13" s="21"/>
      <c r="L13" s="13">
        <v>11</v>
      </c>
      <c r="M13" s="14" t="s">
        <v>100</v>
      </c>
      <c r="N13" s="24">
        <f>+C12</f>
        <v>1</v>
      </c>
      <c r="O13" s="15" t="s">
        <v>101</v>
      </c>
      <c r="P13" s="12"/>
      <c r="Q13" s="22"/>
      <c r="R13" s="27"/>
      <c r="AI13" s="11"/>
      <c r="AJ13" s="11"/>
      <c r="AK13" s="11"/>
      <c r="AL13" s="11"/>
      <c r="AM13" s="11"/>
      <c r="AN13" s="11"/>
      <c r="AO13" s="11"/>
      <c r="AR13" s="11"/>
      <c r="AS13" s="11"/>
      <c r="AT13" s="11"/>
      <c r="AU13" s="11"/>
      <c r="AV13" s="11"/>
      <c r="AW13" s="11"/>
      <c r="AX13" s="11"/>
    </row>
    <row r="14" spans="1:50" ht="13.5" thickBot="1" x14ac:dyDescent="0.35">
      <c r="A14" s="124" t="str">
        <f>+Model!D12</f>
        <v>CO2 fixation efficiency</v>
      </c>
      <c r="B14" s="125"/>
      <c r="C14" s="147">
        <f>+Model!N12</f>
        <v>1.8</v>
      </c>
      <c r="L14" s="17">
        <v>12</v>
      </c>
      <c r="M14" s="18" t="s">
        <v>3</v>
      </c>
      <c r="N14" s="131">
        <f>+C6</f>
        <v>30</v>
      </c>
      <c r="O14" s="19" t="s">
        <v>103</v>
      </c>
      <c r="P14" s="29"/>
      <c r="Q14" s="22"/>
      <c r="V14" s="22"/>
      <c r="W14" s="31"/>
      <c r="X14" s="23"/>
      <c r="AI14" s="11"/>
      <c r="AJ14" s="11"/>
      <c r="AK14" s="11"/>
      <c r="AL14" s="11"/>
      <c r="AM14" s="11"/>
      <c r="AN14" s="11"/>
      <c r="AO14" s="11"/>
      <c r="AR14" s="11"/>
      <c r="AS14" s="11"/>
      <c r="AT14" s="11"/>
      <c r="AU14" s="11"/>
      <c r="AV14" s="11"/>
      <c r="AW14" s="11"/>
      <c r="AX14" s="11"/>
    </row>
    <row r="15" spans="1:50" ht="13.5" thickBot="1" x14ac:dyDescent="0.35">
      <c r="A15" s="124" t="str">
        <f>+Model!D13</f>
        <v>Dilution rate</v>
      </c>
      <c r="B15" s="125" t="str">
        <f>+Model!E13</f>
        <v>1/day</v>
      </c>
      <c r="C15" s="147">
        <f>+Model!N13</f>
        <v>0.25</v>
      </c>
      <c r="I15" s="32"/>
      <c r="J15" s="32"/>
      <c r="K15" s="32"/>
      <c r="L15" s="282">
        <v>13</v>
      </c>
      <c r="M15" s="283" t="s">
        <v>273</v>
      </c>
      <c r="N15" s="284">
        <v>30000</v>
      </c>
      <c r="O15" s="285" t="s">
        <v>274</v>
      </c>
      <c r="P15" s="34"/>
      <c r="Q15" s="22"/>
      <c r="U15" s="26"/>
      <c r="X15" s="23"/>
      <c r="AI15" s="11"/>
      <c r="AJ15" s="11"/>
      <c r="AK15" s="11"/>
      <c r="AL15" s="11"/>
      <c r="AM15" s="11"/>
      <c r="AN15" s="11"/>
      <c r="AO15" s="11"/>
      <c r="AR15" s="11"/>
      <c r="AS15" s="11"/>
      <c r="AT15" s="11"/>
      <c r="AU15" s="11"/>
      <c r="AV15" s="11"/>
      <c r="AW15" s="11"/>
      <c r="AX15" s="11"/>
    </row>
    <row r="16" spans="1:50" ht="13.5" thickBot="1" x14ac:dyDescent="0.35">
      <c r="A16" s="124" t="str">
        <f>+Model!D14</f>
        <v>Total culture volume</v>
      </c>
      <c r="B16" s="125" t="str">
        <f>+Model!E14</f>
        <v>m3</v>
      </c>
      <c r="C16" s="147">
        <f>+Model!N14</f>
        <v>2000</v>
      </c>
      <c r="L16" s="17">
        <v>14</v>
      </c>
      <c r="M16" s="18" t="s">
        <v>275</v>
      </c>
      <c r="N16" s="286">
        <f>+C10*C12</f>
        <v>0.5</v>
      </c>
      <c r="O16" s="19" t="s">
        <v>276</v>
      </c>
      <c r="P16" s="29"/>
      <c r="Q16" s="22"/>
      <c r="U16" s="35"/>
      <c r="V16" s="36" t="s">
        <v>102</v>
      </c>
      <c r="W16" s="36"/>
      <c r="X16" s="37"/>
      <c r="AI16" s="11"/>
      <c r="AJ16" s="11"/>
      <c r="AK16" s="11"/>
      <c r="AL16" s="11"/>
      <c r="AM16" s="11"/>
      <c r="AN16" s="11"/>
      <c r="AO16" s="11"/>
      <c r="AR16" s="11"/>
      <c r="AS16" s="11"/>
      <c r="AT16" s="11"/>
      <c r="AU16" s="11"/>
      <c r="AV16" s="11"/>
      <c r="AW16" s="11"/>
      <c r="AX16" s="11"/>
    </row>
    <row r="17" spans="1:24" ht="13.5" thickBot="1" x14ac:dyDescent="0.35">
      <c r="A17" s="124" t="str">
        <f>+Model!D15</f>
        <v>Total biomass production</v>
      </c>
      <c r="B17" s="125" t="str">
        <f>+Model!E15</f>
        <v>ton/ha/year</v>
      </c>
      <c r="C17" s="147">
        <f>+Model!N15</f>
        <v>109.5</v>
      </c>
      <c r="P17" s="34"/>
      <c r="Q17" s="38"/>
      <c r="R17" s="38"/>
      <c r="U17" s="39"/>
      <c r="V17" s="40" t="s">
        <v>104</v>
      </c>
      <c r="W17" s="41">
        <f>+O95</f>
        <v>1.3316597310706131</v>
      </c>
      <c r="X17" s="42"/>
    </row>
    <row r="18" spans="1:24" ht="13.5" thickBot="1" x14ac:dyDescent="0.35">
      <c r="A18" s="124" t="str">
        <f>+Model!D16</f>
        <v>Total CO2 consumption</v>
      </c>
      <c r="B18" s="125" t="str">
        <f>+Model!E16</f>
        <v>ton/ha/year</v>
      </c>
      <c r="C18" s="147">
        <f>+Model!N16</f>
        <v>109.5</v>
      </c>
      <c r="I18" s="22"/>
      <c r="J18" s="22"/>
      <c r="K18" s="22"/>
      <c r="M18" s="47"/>
      <c r="N18" s="47"/>
      <c r="O18" s="47"/>
      <c r="Q18" s="38"/>
      <c r="R18" s="38"/>
      <c r="U18" s="43"/>
      <c r="V18" s="44" t="s">
        <v>105</v>
      </c>
      <c r="W18" s="44" t="s">
        <v>84</v>
      </c>
      <c r="X18" s="45"/>
    </row>
    <row r="19" spans="1:24" ht="13.5" thickBot="1" x14ac:dyDescent="0.35">
      <c r="A19" s="124" t="str">
        <f>+Model!D17</f>
        <v>Total water evaporation</v>
      </c>
      <c r="B19" s="125" t="str">
        <f>+Model!E17</f>
        <v>ton/ha/year</v>
      </c>
      <c r="C19" s="147">
        <f>+Model!N17</f>
        <v>21900</v>
      </c>
      <c r="H19" s="22"/>
      <c r="I19" s="22"/>
      <c r="J19" s="22"/>
      <c r="K19" s="22"/>
      <c r="L19" s="29"/>
      <c r="M19" s="47"/>
      <c r="N19" s="47"/>
      <c r="O19" s="47"/>
      <c r="Q19" s="38"/>
      <c r="R19" s="38"/>
      <c r="U19" s="46"/>
      <c r="V19" s="47" t="s">
        <v>56</v>
      </c>
      <c r="W19" s="48">
        <f>+P88</f>
        <v>0.27710538984006378</v>
      </c>
      <c r="X19" s="49"/>
    </row>
    <row r="20" spans="1:24" ht="15" thickBot="1" x14ac:dyDescent="0.4">
      <c r="A20" s="124" t="str">
        <f>+Model!D18</f>
        <v>Water cost</v>
      </c>
      <c r="B20" s="125" t="str">
        <f>+Model!E18</f>
        <v>€/kg</v>
      </c>
      <c r="C20" s="147">
        <f>+Model!N18</f>
        <v>0</v>
      </c>
      <c r="E20" s="50" t="s">
        <v>106</v>
      </c>
      <c r="F20" s="51"/>
      <c r="G20" s="52">
        <v>0.85</v>
      </c>
      <c r="O20" s="53"/>
      <c r="Q20" s="198" t="s">
        <v>182</v>
      </c>
      <c r="U20" s="46"/>
      <c r="V20" s="47" t="s">
        <v>62</v>
      </c>
      <c r="W20" s="48">
        <f>+P89</f>
        <v>7.5094258440632652E-2</v>
      </c>
      <c r="X20" s="49"/>
    </row>
    <row r="21" spans="1:24" ht="13.5" thickBot="1" x14ac:dyDescent="0.35">
      <c r="A21" s="124" t="str">
        <f>+Model!D19</f>
        <v>CO2 cost</v>
      </c>
      <c r="B21" s="125" t="str">
        <f>+Model!E19</f>
        <v>€/kg</v>
      </c>
      <c r="C21" s="147">
        <f>+Model!N19</f>
        <v>0.1</v>
      </c>
      <c r="E21" s="50" t="s">
        <v>107</v>
      </c>
      <c r="F21" s="51"/>
      <c r="G21" s="51"/>
      <c r="H21" s="51"/>
      <c r="I21" s="51"/>
      <c r="J21" s="54"/>
      <c r="L21" s="50" t="s">
        <v>107</v>
      </c>
      <c r="M21" s="51"/>
      <c r="N21" s="55"/>
      <c r="O21" s="55"/>
      <c r="P21" s="55"/>
      <c r="Q21" s="55"/>
      <c r="R21" s="56"/>
      <c r="S21" s="54"/>
      <c r="U21" s="46"/>
      <c r="V21" s="47" t="s">
        <v>64</v>
      </c>
      <c r="W21" s="48">
        <f>+P90</f>
        <v>0.24092741249702976</v>
      </c>
      <c r="X21" s="49"/>
    </row>
    <row r="22" spans="1:24" ht="13.5" thickBot="1" x14ac:dyDescent="0.35">
      <c r="A22" s="124" t="str">
        <f>+Model!D20</f>
        <v>Nutrients cost</v>
      </c>
      <c r="B22" s="125" t="str">
        <f>+Model!E20</f>
        <v>€/kg</v>
      </c>
      <c r="C22" s="147">
        <f>+Model!N20</f>
        <v>0</v>
      </c>
      <c r="E22" s="57" t="s">
        <v>108</v>
      </c>
      <c r="F22" s="9" t="s">
        <v>109</v>
      </c>
      <c r="G22" s="9"/>
      <c r="H22" s="9" t="s">
        <v>110</v>
      </c>
      <c r="I22" s="9" t="s">
        <v>111</v>
      </c>
      <c r="J22" s="10"/>
      <c r="L22" s="58" t="s">
        <v>112</v>
      </c>
      <c r="M22" s="8" t="s">
        <v>113</v>
      </c>
      <c r="N22" s="8" t="s">
        <v>111</v>
      </c>
      <c r="O22" s="8"/>
      <c r="P22" s="8" t="s">
        <v>114</v>
      </c>
      <c r="Q22" s="8" t="s">
        <v>115</v>
      </c>
      <c r="R22" s="59" t="s">
        <v>116</v>
      </c>
      <c r="S22" s="60" t="s">
        <v>117</v>
      </c>
      <c r="T22" s="61"/>
      <c r="U22" s="62"/>
      <c r="V22" s="63" t="s">
        <v>67</v>
      </c>
      <c r="W22" s="64">
        <f>+P91</f>
        <v>0.40687293922227369</v>
      </c>
      <c r="X22" s="65"/>
    </row>
    <row r="23" spans="1:24" ht="13" x14ac:dyDescent="0.3">
      <c r="A23" s="124" t="str">
        <f>+Model!D21</f>
        <v>Fertilizers usage</v>
      </c>
      <c r="B23" s="125" t="str">
        <f>+Model!E21</f>
        <v>kg/kg algae biomass</v>
      </c>
      <c r="C23" s="147">
        <f>+Model!N21</f>
        <v>0.3</v>
      </c>
      <c r="E23" s="66">
        <v>1</v>
      </c>
      <c r="F23" s="6">
        <v>100</v>
      </c>
      <c r="G23" s="6" t="str">
        <f>+O23</f>
        <v>m3/h</v>
      </c>
      <c r="H23" s="6">
        <v>10000</v>
      </c>
      <c r="I23" s="133">
        <f>+N12*N10/N9</f>
        <v>50</v>
      </c>
      <c r="J23" s="68" t="str">
        <f>+G23</f>
        <v>m3/h</v>
      </c>
      <c r="K23" s="27"/>
      <c r="L23" s="33">
        <v>1</v>
      </c>
      <c r="M23" s="6" t="s">
        <v>144</v>
      </c>
      <c r="N23" s="69">
        <f>+IF(I23/F23&lt;1,F23,IF(I23/F23&lt;10,I23,I23/(1+INT(I23/(F23*10)))))</f>
        <v>100</v>
      </c>
      <c r="O23" s="22" t="s">
        <v>36</v>
      </c>
      <c r="P23" s="70">
        <f t="shared" ref="P23:P32" si="0">H23*(N23/F23)^$G$20</f>
        <v>10000</v>
      </c>
      <c r="Q23" s="29">
        <f>+IF(E23=1,ROUNDUP(I23/N23,0),0)</f>
        <v>1</v>
      </c>
      <c r="R23" s="132">
        <f>Q23*P23</f>
        <v>10000</v>
      </c>
      <c r="S23" s="72">
        <f t="shared" ref="S23:S32" si="1">R23/R$33</f>
        <v>9.4020026300836668E-2</v>
      </c>
      <c r="X23" s="26"/>
    </row>
    <row r="24" spans="1:24" ht="13" x14ac:dyDescent="0.3">
      <c r="A24" s="124" t="str">
        <f>+Model!D22</f>
        <v>Power cost</v>
      </c>
      <c r="B24" s="125" t="str">
        <f>+Model!E22</f>
        <v>€/kWh</v>
      </c>
      <c r="C24" s="147">
        <f>+Model!N22</f>
        <v>0.1</v>
      </c>
      <c r="D24" s="199" t="s">
        <v>183</v>
      </c>
      <c r="E24" s="66">
        <v>0</v>
      </c>
      <c r="F24" s="6">
        <v>10</v>
      </c>
      <c r="G24" s="6" t="str">
        <f t="shared" ref="G24:G32" si="2">+O24</f>
        <v>m3/h</v>
      </c>
      <c r="H24" s="6">
        <v>20000</v>
      </c>
      <c r="I24" s="133">
        <f>+IF(E24&gt;0,N10*N12/N9,0)</f>
        <v>0</v>
      </c>
      <c r="J24" s="73" t="str">
        <f>+G24</f>
        <v>m3/h</v>
      </c>
      <c r="L24" s="33">
        <v>2</v>
      </c>
      <c r="M24" s="6" t="s">
        <v>145</v>
      </c>
      <c r="N24" s="69">
        <f t="shared" ref="N24:N32" si="3">+IF(I24/F24&lt;1,F24,IF(I24/F24&lt;10,I24,I24/(1+INT(I24/(F24*10)))))</f>
        <v>10</v>
      </c>
      <c r="O24" s="22" t="s">
        <v>36</v>
      </c>
      <c r="P24" s="70">
        <f t="shared" si="0"/>
        <v>20000</v>
      </c>
      <c r="Q24" s="29">
        <f t="shared" ref="Q24:Q32" si="4">+IF(E24=1,ROUNDUP(I24/N24,0),0)</f>
        <v>0</v>
      </c>
      <c r="R24" s="132">
        <f t="shared" ref="R24:R32" si="5">Q24*P24</f>
        <v>0</v>
      </c>
      <c r="S24" s="72">
        <f t="shared" si="1"/>
        <v>0</v>
      </c>
      <c r="U24" s="26"/>
      <c r="V24" s="26"/>
      <c r="W24" s="26"/>
    </row>
    <row r="25" spans="1:24" ht="13" x14ac:dyDescent="0.3">
      <c r="A25" s="124" t="str">
        <f>+Model!D23</f>
        <v>Power for harvesting and others</v>
      </c>
      <c r="B25" s="125" t="str">
        <f>+Model!E23</f>
        <v>kWh/m3 harvest</v>
      </c>
      <c r="C25" s="147">
        <f>+Model!N23</f>
        <v>0.1</v>
      </c>
      <c r="E25" s="66">
        <v>0</v>
      </c>
      <c r="F25" s="6">
        <v>200</v>
      </c>
      <c r="G25" s="6" t="str">
        <f t="shared" si="2"/>
        <v>m3/h</v>
      </c>
      <c r="H25" s="6">
        <v>2500</v>
      </c>
      <c r="I25" s="133">
        <f>+N6*N12*60</f>
        <v>1200</v>
      </c>
      <c r="J25" s="73" t="str">
        <f t="shared" ref="J25:J31" si="6">+G25</f>
        <v>m3/h</v>
      </c>
      <c r="L25" s="33">
        <v>3</v>
      </c>
      <c r="M25" s="6" t="s">
        <v>118</v>
      </c>
      <c r="N25" s="69">
        <f t="shared" si="3"/>
        <v>1200</v>
      </c>
      <c r="O25" s="22" t="s">
        <v>36</v>
      </c>
      <c r="P25" s="70">
        <f t="shared" si="0"/>
        <v>11464.855133854493</v>
      </c>
      <c r="Q25" s="29">
        <f t="shared" si="4"/>
        <v>0</v>
      </c>
      <c r="R25" s="132">
        <f t="shared" si="5"/>
        <v>0</v>
      </c>
      <c r="S25" s="72">
        <f t="shared" si="1"/>
        <v>0</v>
      </c>
      <c r="U25" s="26"/>
      <c r="V25" s="74"/>
      <c r="W25" s="74"/>
    </row>
    <row r="26" spans="1:24" x14ac:dyDescent="0.25">
      <c r="A26" s="124" t="str">
        <f>+Model!D24</f>
        <v>Photobioreactor cost</v>
      </c>
      <c r="B26" s="125" t="str">
        <f>+Model!E24</f>
        <v>€/m3</v>
      </c>
      <c r="C26" s="147">
        <f>+Model!N24</f>
        <v>10</v>
      </c>
      <c r="E26" s="66">
        <v>1</v>
      </c>
      <c r="F26" s="6">
        <f>1000*0.2</f>
        <v>200</v>
      </c>
      <c r="G26" s="6" t="str">
        <f t="shared" si="2"/>
        <v>m3</v>
      </c>
      <c r="H26" s="6">
        <f>+F26*F6</f>
        <v>2000</v>
      </c>
      <c r="I26" s="133">
        <f>+N12</f>
        <v>2000</v>
      </c>
      <c r="J26" s="73" t="str">
        <f t="shared" si="6"/>
        <v>m3</v>
      </c>
      <c r="L26" s="33">
        <v>4</v>
      </c>
      <c r="M26" s="22" t="s">
        <v>146</v>
      </c>
      <c r="N26" s="69">
        <f t="shared" si="3"/>
        <v>1000</v>
      </c>
      <c r="O26" s="22" t="s">
        <v>37</v>
      </c>
      <c r="P26" s="70">
        <f t="shared" si="0"/>
        <v>7855.1503023176419</v>
      </c>
      <c r="Q26" s="29">
        <f t="shared" si="4"/>
        <v>2</v>
      </c>
      <c r="R26" s="132">
        <f t="shared" si="5"/>
        <v>15710.300604635284</v>
      </c>
      <c r="S26" s="72">
        <f t="shared" si="1"/>
        <v>0.14770828760418597</v>
      </c>
    </row>
    <row r="27" spans="1:24" ht="13" thickBot="1" x14ac:dyDescent="0.3">
      <c r="A27" s="126"/>
      <c r="B27" s="127"/>
      <c r="C27" s="128"/>
      <c r="E27" s="66">
        <v>1</v>
      </c>
      <c r="F27" s="6">
        <v>25</v>
      </c>
      <c r="G27" s="6" t="str">
        <f t="shared" si="2"/>
        <v>m3/h</v>
      </c>
      <c r="H27" s="6">
        <v>20000</v>
      </c>
      <c r="I27" s="133">
        <f>+N12*N10/N9</f>
        <v>50</v>
      </c>
      <c r="J27" s="73" t="str">
        <f t="shared" si="6"/>
        <v>m3/h</v>
      </c>
      <c r="L27" s="33">
        <v>5</v>
      </c>
      <c r="M27" s="22" t="s">
        <v>179</v>
      </c>
      <c r="N27" s="69">
        <f t="shared" si="3"/>
        <v>50</v>
      </c>
      <c r="O27" s="22" t="s">
        <v>36</v>
      </c>
      <c r="P27" s="70">
        <f t="shared" si="0"/>
        <v>36050.01850443321</v>
      </c>
      <c r="Q27" s="29">
        <f t="shared" si="4"/>
        <v>1</v>
      </c>
      <c r="R27" s="132">
        <f t="shared" si="5"/>
        <v>36050.01850443321</v>
      </c>
      <c r="S27" s="72">
        <f t="shared" si="1"/>
        <v>0.33894236879324591</v>
      </c>
    </row>
    <row r="28" spans="1:24" ht="13" thickBot="1" x14ac:dyDescent="0.3">
      <c r="A28" s="135" t="str">
        <f>+Model!D26</f>
        <v>Equipment Capacity</v>
      </c>
      <c r="B28" s="136"/>
      <c r="C28" s="137"/>
      <c r="E28" s="66">
        <v>1</v>
      </c>
      <c r="F28" s="6">
        <v>5</v>
      </c>
      <c r="G28" s="6" t="str">
        <f t="shared" si="2"/>
        <v>m3</v>
      </c>
      <c r="H28" s="6">
        <v>600</v>
      </c>
      <c r="I28" s="133">
        <f>+IF(E27&gt;0,I27/20,I23)</f>
        <v>2.5</v>
      </c>
      <c r="J28" s="73" t="str">
        <f t="shared" si="6"/>
        <v>m3</v>
      </c>
      <c r="L28" s="33">
        <v>6</v>
      </c>
      <c r="M28" s="6" t="s">
        <v>147</v>
      </c>
      <c r="N28" s="69">
        <f t="shared" si="3"/>
        <v>5</v>
      </c>
      <c r="O28" s="22" t="s">
        <v>37</v>
      </c>
      <c r="P28" s="70">
        <f t="shared" si="0"/>
        <v>600</v>
      </c>
      <c r="Q28" s="29">
        <f t="shared" si="4"/>
        <v>1</v>
      </c>
      <c r="R28" s="132">
        <f t="shared" si="5"/>
        <v>600</v>
      </c>
      <c r="S28" s="72">
        <f t="shared" si="1"/>
        <v>5.6412015780501999E-3</v>
      </c>
    </row>
    <row r="29" spans="1:24" ht="13" thickBot="1" x14ac:dyDescent="0.3">
      <c r="A29" s="135" t="str">
        <f>+Model!D27</f>
        <v xml:space="preserve">Medium preparation unit </v>
      </c>
      <c r="B29" s="136" t="str">
        <f>+Model!E27</f>
        <v>m3/h</v>
      </c>
      <c r="C29" s="138">
        <f>+I23</f>
        <v>50</v>
      </c>
      <c r="E29" s="66">
        <v>1</v>
      </c>
      <c r="F29" s="6">
        <v>20</v>
      </c>
      <c r="G29" s="6" t="str">
        <f t="shared" si="2"/>
        <v>m3/h</v>
      </c>
      <c r="H29" s="6">
        <v>40000</v>
      </c>
      <c r="I29" s="133">
        <f>+IF(E27=1,I27/20,I27)</f>
        <v>2.5</v>
      </c>
      <c r="J29" s="73" t="str">
        <f t="shared" si="6"/>
        <v>m3/h</v>
      </c>
      <c r="L29" s="33">
        <v>7</v>
      </c>
      <c r="M29" s="6" t="s">
        <v>180</v>
      </c>
      <c r="N29" s="69">
        <f t="shared" si="3"/>
        <v>20</v>
      </c>
      <c r="O29" s="22" t="s">
        <v>36</v>
      </c>
      <c r="P29" s="70">
        <f t="shared" si="0"/>
        <v>40000</v>
      </c>
      <c r="Q29" s="29">
        <f t="shared" si="4"/>
        <v>1</v>
      </c>
      <c r="R29" s="132">
        <f t="shared" si="5"/>
        <v>40000</v>
      </c>
      <c r="S29" s="72">
        <f t="shared" si="1"/>
        <v>0.37608010520334667</v>
      </c>
    </row>
    <row r="30" spans="1:24" ht="13" thickBot="1" x14ac:dyDescent="0.3">
      <c r="A30" s="135" t="str">
        <f>+Model!D28</f>
        <v xml:space="preserve">Sterilization process </v>
      </c>
      <c r="B30" s="136" t="str">
        <f>+Model!E28</f>
        <v>m3/h</v>
      </c>
      <c r="C30" s="138">
        <f>+I24</f>
        <v>0</v>
      </c>
      <c r="E30" s="66">
        <v>1</v>
      </c>
      <c r="F30" s="6">
        <v>10</v>
      </c>
      <c r="G30" s="6" t="str">
        <f t="shared" si="2"/>
        <v>m3/h</v>
      </c>
      <c r="H30" s="6">
        <v>1000</v>
      </c>
      <c r="I30" s="133">
        <f>+IF(E27=1,I27/20,I27)</f>
        <v>2.5</v>
      </c>
      <c r="J30" s="73" t="str">
        <f t="shared" si="6"/>
        <v>m3/h</v>
      </c>
      <c r="L30" s="33">
        <v>8</v>
      </c>
      <c r="M30" s="6" t="s">
        <v>148</v>
      </c>
      <c r="N30" s="69">
        <f t="shared" si="3"/>
        <v>10</v>
      </c>
      <c r="O30" s="69" t="str">
        <f>+O23</f>
        <v>m3/h</v>
      </c>
      <c r="P30" s="70">
        <f t="shared" si="0"/>
        <v>1000</v>
      </c>
      <c r="Q30" s="29">
        <f t="shared" si="4"/>
        <v>1</v>
      </c>
      <c r="R30" s="132">
        <f t="shared" si="5"/>
        <v>1000</v>
      </c>
      <c r="S30" s="72">
        <f t="shared" si="1"/>
        <v>9.4020026300836671E-3</v>
      </c>
    </row>
    <row r="31" spans="1:24" ht="13" thickBot="1" x14ac:dyDescent="0.3">
      <c r="A31" s="135" t="str">
        <f>+Model!D29</f>
        <v xml:space="preserve">Air blower </v>
      </c>
      <c r="B31" s="136" t="str">
        <f>+Model!E29</f>
        <v>m3/h</v>
      </c>
      <c r="C31" s="138">
        <f>+I25</f>
        <v>1200</v>
      </c>
      <c r="E31" s="66">
        <v>1</v>
      </c>
      <c r="F31" s="6">
        <v>100</v>
      </c>
      <c r="G31" s="6" t="str">
        <f t="shared" si="2"/>
        <v>Kg/h</v>
      </c>
      <c r="H31" s="6">
        <v>3000</v>
      </c>
      <c r="I31" s="133">
        <f>+N4*N12*C7/N9</f>
        <v>30</v>
      </c>
      <c r="J31" s="73" t="str">
        <f t="shared" si="6"/>
        <v>Kg/h</v>
      </c>
      <c r="L31" s="33">
        <v>9</v>
      </c>
      <c r="M31" s="6" t="s">
        <v>119</v>
      </c>
      <c r="N31" s="69">
        <f t="shared" si="3"/>
        <v>100</v>
      </c>
      <c r="O31" s="22" t="s">
        <v>38</v>
      </c>
      <c r="P31" s="70">
        <f t="shared" si="0"/>
        <v>3000</v>
      </c>
      <c r="Q31" s="29">
        <f t="shared" si="4"/>
        <v>1</v>
      </c>
      <c r="R31" s="132">
        <f t="shared" si="5"/>
        <v>3000</v>
      </c>
      <c r="S31" s="72">
        <f t="shared" si="1"/>
        <v>2.8206007890251E-2</v>
      </c>
    </row>
    <row r="32" spans="1:24" ht="13" thickBot="1" x14ac:dyDescent="0.3">
      <c r="A32" s="135" t="str">
        <f>+Model!D30</f>
        <v xml:space="preserve">Photobioreactors </v>
      </c>
      <c r="B32" s="136" t="str">
        <f>+Model!E30</f>
        <v>m3</v>
      </c>
      <c r="C32" s="138">
        <f>+I26</f>
        <v>2000</v>
      </c>
      <c r="E32" s="75">
        <v>0</v>
      </c>
      <c r="F32" s="76">
        <v>80</v>
      </c>
      <c r="G32" s="76" t="str">
        <f t="shared" si="2"/>
        <v>Kg/day</v>
      </c>
      <c r="H32" s="76">
        <v>120000</v>
      </c>
      <c r="I32" s="134">
        <f>+N4*N12*4</f>
        <v>1200</v>
      </c>
      <c r="J32" s="77" t="str">
        <f>+G32</f>
        <v>Kg/day</v>
      </c>
      <c r="L32" s="33">
        <v>10</v>
      </c>
      <c r="M32" s="6" t="s">
        <v>191</v>
      </c>
      <c r="N32" s="69">
        <f t="shared" si="3"/>
        <v>600</v>
      </c>
      <c r="O32" s="22" t="s">
        <v>120</v>
      </c>
      <c r="P32" s="70">
        <f t="shared" si="0"/>
        <v>665247.60536054568</v>
      </c>
      <c r="Q32" s="29">
        <f t="shared" si="4"/>
        <v>0</v>
      </c>
      <c r="R32" s="132">
        <f t="shared" si="5"/>
        <v>0</v>
      </c>
      <c r="S32" s="72">
        <f t="shared" si="1"/>
        <v>0</v>
      </c>
    </row>
    <row r="33" spans="1:20" ht="13.5" thickBot="1" x14ac:dyDescent="0.35">
      <c r="A33" s="135" t="str">
        <f>+Model!D31</f>
        <v xml:space="preserve">Sedimenter </v>
      </c>
      <c r="B33" s="136" t="str">
        <f>+Model!E31</f>
        <v>m3/h</v>
      </c>
      <c r="C33" s="138">
        <f t="shared" ref="C33:C37" si="7">+I27</f>
        <v>50</v>
      </c>
      <c r="L33" s="58"/>
      <c r="M33" s="8" t="s">
        <v>121</v>
      </c>
      <c r="N33" s="8"/>
      <c r="O33" s="8"/>
      <c r="P33" s="59"/>
      <c r="Q33" s="8"/>
      <c r="R33" s="78">
        <f>SUM(R23:R32)</f>
        <v>106360.31910906848</v>
      </c>
      <c r="S33" s="79">
        <f>R33/R$33</f>
        <v>1</v>
      </c>
      <c r="T33" s="80"/>
    </row>
    <row r="34" spans="1:20" ht="13" thickBot="1" x14ac:dyDescent="0.3">
      <c r="A34" s="135" t="str">
        <f>+Model!D32</f>
        <v xml:space="preserve">Harvest storage tank </v>
      </c>
      <c r="B34" s="136" t="str">
        <f>+Model!E32</f>
        <v>m3</v>
      </c>
      <c r="C34" s="138">
        <f t="shared" si="7"/>
        <v>2.5</v>
      </c>
    </row>
    <row r="35" spans="1:20" ht="13.5" thickBot="1" x14ac:dyDescent="0.35">
      <c r="A35" s="135" t="str">
        <f>+Model!D33</f>
        <v>Decanter</v>
      </c>
      <c r="B35" s="136" t="str">
        <f>+Model!E33</f>
        <v>m3/h</v>
      </c>
      <c r="C35" s="138">
        <f t="shared" si="7"/>
        <v>2.5</v>
      </c>
      <c r="N35" s="69"/>
      <c r="O35" s="22"/>
      <c r="P35" s="25"/>
      <c r="Q35" s="22"/>
      <c r="R35" s="81"/>
      <c r="S35" s="82"/>
      <c r="T35" s="82"/>
    </row>
    <row r="36" spans="1:20" ht="13.5" thickBot="1" x14ac:dyDescent="0.35">
      <c r="A36" s="135" t="str">
        <f>+Model!D34</f>
        <v>Harvest pump</v>
      </c>
      <c r="B36" s="136" t="str">
        <f>+Model!E34</f>
        <v>m3/h</v>
      </c>
      <c r="C36" s="138">
        <f t="shared" si="7"/>
        <v>2.5</v>
      </c>
      <c r="G36" s="35" t="s">
        <v>122</v>
      </c>
      <c r="H36" s="51"/>
      <c r="I36" s="51"/>
      <c r="J36" s="54"/>
      <c r="L36" s="58" t="s">
        <v>123</v>
      </c>
      <c r="M36" s="9"/>
      <c r="N36" s="9"/>
      <c r="O36" s="9"/>
      <c r="P36" s="9"/>
      <c r="Q36" s="10"/>
    </row>
    <row r="37" spans="1:20" ht="13.5" thickBot="1" x14ac:dyDescent="0.35">
      <c r="A37" s="135" t="str">
        <f>+Model!D35</f>
        <v>CO2 supply unit</v>
      </c>
      <c r="B37" s="136" t="str">
        <f>+Model!E35</f>
        <v>Kg/h</v>
      </c>
      <c r="C37" s="138">
        <f t="shared" si="7"/>
        <v>30</v>
      </c>
      <c r="G37" s="43" t="s">
        <v>124</v>
      </c>
      <c r="H37" s="44" t="s">
        <v>125</v>
      </c>
      <c r="I37" s="44" t="s">
        <v>126</v>
      </c>
      <c r="J37" s="45" t="s">
        <v>127</v>
      </c>
      <c r="L37" s="58" t="s">
        <v>112</v>
      </c>
      <c r="M37" s="8" t="s">
        <v>113</v>
      </c>
      <c r="N37" s="8" t="s">
        <v>128</v>
      </c>
      <c r="O37" s="8"/>
      <c r="P37" s="83" t="s">
        <v>129</v>
      </c>
      <c r="Q37" s="60" t="s">
        <v>117</v>
      </c>
    </row>
    <row r="38" spans="1:20" ht="13" thickBot="1" x14ac:dyDescent="0.3">
      <c r="A38" s="135"/>
      <c r="B38" s="136"/>
      <c r="C38" s="137"/>
      <c r="G38" s="33"/>
      <c r="J38" s="68">
        <v>1</v>
      </c>
      <c r="L38" s="33">
        <v>1</v>
      </c>
      <c r="M38" s="6" t="s">
        <v>42</v>
      </c>
      <c r="N38" s="27">
        <v>1</v>
      </c>
      <c r="P38" s="71">
        <f>R33*N38</f>
        <v>106360.31910906848</v>
      </c>
      <c r="Q38" s="84">
        <f>P38/P$51</f>
        <v>0.30546803047960008</v>
      </c>
    </row>
    <row r="39" spans="1:20" ht="13" thickBot="1" x14ac:dyDescent="0.3">
      <c r="A39" s="135" t="str">
        <f>+Model!D37</f>
        <v>Equipment Costs</v>
      </c>
      <c r="B39" s="136"/>
      <c r="C39" s="137"/>
      <c r="G39" s="33">
        <v>0.5</v>
      </c>
      <c r="H39" s="6">
        <v>0.2</v>
      </c>
      <c r="I39" s="6">
        <v>1.5</v>
      </c>
      <c r="J39" s="85">
        <f>0.4/2</f>
        <v>0.2</v>
      </c>
      <c r="L39" s="33">
        <v>2</v>
      </c>
      <c r="M39" s="6" t="s">
        <v>43</v>
      </c>
      <c r="N39" s="29">
        <f t="shared" ref="N39:N45" si="8">+H39</f>
        <v>0.2</v>
      </c>
      <c r="P39" s="67">
        <f t="shared" ref="P39:P47" si="9">P$38*N39</f>
        <v>21272.063821813699</v>
      </c>
      <c r="Q39" s="72">
        <f t="shared" ref="Q39:Q51" si="10">P39/P$51</f>
        <v>6.1093606095920024E-2</v>
      </c>
    </row>
    <row r="40" spans="1:20" ht="13" thickBot="1" x14ac:dyDescent="0.3">
      <c r="A40" s="135" t="str">
        <f>+Model!D38</f>
        <v xml:space="preserve">Medium preparation unit </v>
      </c>
      <c r="B40" s="136" t="str">
        <f>+Model!E38</f>
        <v>€</v>
      </c>
      <c r="C40" s="138">
        <f>+R23</f>
        <v>10000</v>
      </c>
      <c r="G40" s="33">
        <v>0.35</v>
      </c>
      <c r="H40" s="6">
        <v>0.2</v>
      </c>
      <c r="I40" s="6">
        <v>0.6</v>
      </c>
      <c r="J40" s="68">
        <v>0.15</v>
      </c>
      <c r="L40" s="33">
        <v>3</v>
      </c>
      <c r="M40" s="6" t="s">
        <v>44</v>
      </c>
      <c r="N40" s="29">
        <f t="shared" si="8"/>
        <v>0.2</v>
      </c>
      <c r="P40" s="67">
        <f t="shared" si="9"/>
        <v>21272.063821813699</v>
      </c>
      <c r="Q40" s="72">
        <f t="shared" si="10"/>
        <v>6.1093606095920024E-2</v>
      </c>
    </row>
    <row r="41" spans="1:20" ht="13" thickBot="1" x14ac:dyDescent="0.3">
      <c r="A41" s="135" t="str">
        <f>+Model!D39</f>
        <v xml:space="preserve">Sterilization process </v>
      </c>
      <c r="B41" s="136" t="str">
        <f>+Model!E39</f>
        <v>€</v>
      </c>
      <c r="C41" s="138">
        <f t="shared" ref="C41:C48" si="11">+R24</f>
        <v>0</v>
      </c>
      <c r="G41" s="33">
        <v>0.4</v>
      </c>
      <c r="H41" s="6">
        <v>0.3</v>
      </c>
      <c r="I41" s="6">
        <v>0.6</v>
      </c>
      <c r="J41" s="85">
        <f>0.4/2</f>
        <v>0.2</v>
      </c>
      <c r="L41" s="33">
        <v>4</v>
      </c>
      <c r="M41" s="6" t="s">
        <v>45</v>
      </c>
      <c r="N41" s="29">
        <f t="shared" si="8"/>
        <v>0.3</v>
      </c>
      <c r="P41" s="67">
        <f t="shared" si="9"/>
        <v>31908.095732720543</v>
      </c>
      <c r="Q41" s="72">
        <f t="shared" si="10"/>
        <v>9.1640409143880025E-2</v>
      </c>
    </row>
    <row r="42" spans="1:20" ht="13" thickBot="1" x14ac:dyDescent="0.3">
      <c r="A42" s="135" t="str">
        <f>+Model!D40</f>
        <v xml:space="preserve">Air blower </v>
      </c>
      <c r="B42" s="136" t="str">
        <f>+Model!E40</f>
        <v>€</v>
      </c>
      <c r="C42" s="138">
        <f t="shared" si="11"/>
        <v>0</v>
      </c>
      <c r="G42" s="33">
        <v>0.15</v>
      </c>
      <c r="H42" s="6">
        <v>0.1</v>
      </c>
      <c r="I42" s="6">
        <v>0.2</v>
      </c>
      <c r="J42" s="68">
        <v>0.1</v>
      </c>
      <c r="L42" s="33">
        <v>5</v>
      </c>
      <c r="M42" s="6" t="s">
        <v>46</v>
      </c>
      <c r="N42" s="29">
        <f t="shared" si="8"/>
        <v>0.1</v>
      </c>
      <c r="P42" s="67">
        <f t="shared" si="9"/>
        <v>10636.03191090685</v>
      </c>
      <c r="Q42" s="72">
        <f t="shared" si="10"/>
        <v>3.0546803047960012E-2</v>
      </c>
    </row>
    <row r="43" spans="1:20" ht="13" thickBot="1" x14ac:dyDescent="0.3">
      <c r="A43" s="135" t="str">
        <f>+Model!D41</f>
        <v xml:space="preserve">Photobioreactors </v>
      </c>
      <c r="B43" s="136" t="str">
        <f>+Model!E41</f>
        <v>€</v>
      </c>
      <c r="C43" s="138">
        <f t="shared" si="11"/>
        <v>15710.300604635284</v>
      </c>
      <c r="G43" s="33">
        <v>0.45</v>
      </c>
      <c r="H43" s="6">
        <v>0.1</v>
      </c>
      <c r="I43" s="6">
        <v>2</v>
      </c>
      <c r="J43" s="85">
        <f>0.45/2</f>
        <v>0.22500000000000001</v>
      </c>
      <c r="L43" s="33">
        <v>6</v>
      </c>
      <c r="M43" s="6" t="s">
        <v>47</v>
      </c>
      <c r="N43" s="29">
        <f t="shared" si="8"/>
        <v>0.1</v>
      </c>
      <c r="P43" s="67">
        <f t="shared" si="9"/>
        <v>10636.03191090685</v>
      </c>
      <c r="Q43" s="72">
        <f t="shared" si="10"/>
        <v>3.0546803047960012E-2</v>
      </c>
    </row>
    <row r="44" spans="1:20" ht="13" thickBot="1" x14ac:dyDescent="0.3">
      <c r="A44" s="135" t="str">
        <f>+Model!D42</f>
        <v xml:space="preserve">Sedimenter </v>
      </c>
      <c r="B44" s="136" t="str">
        <f>+Model!E42</f>
        <v>€</v>
      </c>
      <c r="C44" s="138">
        <f t="shared" si="11"/>
        <v>36050.01850443321</v>
      </c>
      <c r="G44" s="33">
        <v>0.15</v>
      </c>
      <c r="H44" s="6">
        <v>0.05</v>
      </c>
      <c r="I44" s="6">
        <v>0.2</v>
      </c>
      <c r="J44" s="68">
        <v>0.12</v>
      </c>
      <c r="L44" s="33">
        <v>7</v>
      </c>
      <c r="M44" s="6" t="s">
        <v>48</v>
      </c>
      <c r="N44" s="29">
        <f t="shared" si="8"/>
        <v>0.05</v>
      </c>
      <c r="P44" s="67">
        <f t="shared" si="9"/>
        <v>5318.0159554534248</v>
      </c>
      <c r="Q44" s="72">
        <f t="shared" si="10"/>
        <v>1.5273401523980006E-2</v>
      </c>
    </row>
    <row r="45" spans="1:20" ht="13" thickBot="1" x14ac:dyDescent="0.3">
      <c r="A45" s="135" t="str">
        <f>+Model!D43</f>
        <v xml:space="preserve">Harvest storage tank </v>
      </c>
      <c r="B45" s="136" t="str">
        <f>+Model!E43</f>
        <v>€</v>
      </c>
      <c r="C45" s="138">
        <f t="shared" si="11"/>
        <v>600</v>
      </c>
      <c r="G45" s="33">
        <v>0.5</v>
      </c>
      <c r="H45" s="6">
        <v>0.2</v>
      </c>
      <c r="I45" s="6">
        <v>1</v>
      </c>
      <c r="J45" s="68">
        <v>0.2</v>
      </c>
      <c r="L45" s="33">
        <v>8</v>
      </c>
      <c r="M45" s="6" t="s">
        <v>49</v>
      </c>
      <c r="N45" s="29">
        <f t="shared" si="8"/>
        <v>0.2</v>
      </c>
      <c r="P45" s="67">
        <f t="shared" si="9"/>
        <v>21272.063821813699</v>
      </c>
      <c r="Q45" s="72">
        <f t="shared" si="10"/>
        <v>6.1093606095920024E-2</v>
      </c>
    </row>
    <row r="46" spans="1:20" ht="13" thickBot="1" x14ac:dyDescent="0.3">
      <c r="A46" s="135" t="str">
        <f>+Model!D44</f>
        <v>Decanter</v>
      </c>
      <c r="B46" s="136" t="str">
        <f>+Model!E44</f>
        <v>€</v>
      </c>
      <c r="C46" s="138">
        <f t="shared" si="11"/>
        <v>40000</v>
      </c>
      <c r="G46" s="33"/>
      <c r="J46" s="68">
        <v>0.06</v>
      </c>
      <c r="L46" s="33">
        <v>9</v>
      </c>
      <c r="M46" s="6" t="s">
        <v>50</v>
      </c>
      <c r="N46" s="29"/>
      <c r="P46" s="67">
        <f t="shared" si="9"/>
        <v>0</v>
      </c>
      <c r="Q46" s="72">
        <f t="shared" si="10"/>
        <v>0</v>
      </c>
    </row>
    <row r="47" spans="1:20" ht="13" thickBot="1" x14ac:dyDescent="0.3">
      <c r="A47" s="135" t="str">
        <f>+Model!D45</f>
        <v>Harvest pump</v>
      </c>
      <c r="B47" s="136" t="str">
        <f>+Model!E45</f>
        <v>€</v>
      </c>
      <c r="C47" s="138">
        <f t="shared" si="11"/>
        <v>1000</v>
      </c>
      <c r="G47" s="33">
        <v>0.25</v>
      </c>
      <c r="H47" s="6">
        <v>0.2</v>
      </c>
      <c r="I47" s="6">
        <v>0.3</v>
      </c>
      <c r="J47" s="68">
        <v>0.3</v>
      </c>
      <c r="L47" s="33">
        <v>10</v>
      </c>
      <c r="M47" s="6" t="s">
        <v>51</v>
      </c>
      <c r="N47" s="29">
        <f>+H47</f>
        <v>0.2</v>
      </c>
      <c r="P47" s="67">
        <f t="shared" si="9"/>
        <v>21272.063821813699</v>
      </c>
      <c r="Q47" s="72">
        <f t="shared" si="10"/>
        <v>6.1093606095920024E-2</v>
      </c>
    </row>
    <row r="48" spans="1:20" ht="13" thickBot="1" x14ac:dyDescent="0.3">
      <c r="A48" s="135" t="str">
        <f>+Model!D46</f>
        <v>CO2 supply unit</v>
      </c>
      <c r="B48" s="136" t="str">
        <f>+Model!E46</f>
        <v>€</v>
      </c>
      <c r="C48" s="138">
        <f t="shared" si="11"/>
        <v>3000</v>
      </c>
      <c r="G48" s="33">
        <v>0.35</v>
      </c>
      <c r="H48" s="6">
        <v>0.3</v>
      </c>
      <c r="I48" s="6">
        <v>0.4</v>
      </c>
      <c r="J48" s="85">
        <f>0.1/2</f>
        <v>0.05</v>
      </c>
      <c r="L48" s="33">
        <v>11</v>
      </c>
      <c r="M48" s="6" t="s">
        <v>52</v>
      </c>
      <c r="N48" s="29">
        <f>+H48</f>
        <v>0.3</v>
      </c>
      <c r="P48" s="67">
        <f>N$48*SUM(P38:P46)</f>
        <v>68602.405825349168</v>
      </c>
      <c r="Q48" s="72">
        <f t="shared" si="10"/>
        <v>0.19702687965934204</v>
      </c>
    </row>
    <row r="49" spans="1:20" ht="13" thickBot="1" x14ac:dyDescent="0.3">
      <c r="A49" s="135"/>
      <c r="B49" s="136"/>
      <c r="C49" s="137"/>
      <c r="G49" s="33">
        <v>0.05</v>
      </c>
      <c r="H49" s="6">
        <v>0.03</v>
      </c>
      <c r="I49" s="6">
        <v>0.08</v>
      </c>
      <c r="J49" s="85">
        <f>0.05/2</f>
        <v>2.5000000000000001E-2</v>
      </c>
      <c r="L49" s="33">
        <v>12</v>
      </c>
      <c r="M49" s="6" t="s">
        <v>53</v>
      </c>
      <c r="N49" s="29">
        <f>+H49</f>
        <v>0.03</v>
      </c>
      <c r="P49" s="67">
        <f>N$49*SUM(P38:P46)</f>
        <v>6860.2405825349169</v>
      </c>
      <c r="Q49" s="72">
        <f t="shared" si="10"/>
        <v>1.9702687965934204E-2</v>
      </c>
    </row>
    <row r="50" spans="1:20" ht="13" thickBot="1" x14ac:dyDescent="0.3">
      <c r="A50" s="135" t="str">
        <f>+Model!D48</f>
        <v>Fix Capital Costs</v>
      </c>
      <c r="B50" s="136"/>
      <c r="C50" s="137"/>
      <c r="G50" s="86">
        <v>0.1</v>
      </c>
      <c r="H50" s="76">
        <v>7.0000000000000007E-2</v>
      </c>
      <c r="I50" s="76">
        <v>0.15</v>
      </c>
      <c r="J50" s="87">
        <v>0.08</v>
      </c>
      <c r="L50" s="33">
        <v>13</v>
      </c>
      <c r="M50" s="6" t="s">
        <v>54</v>
      </c>
      <c r="N50" s="29">
        <f>+H50</f>
        <v>7.0000000000000007E-2</v>
      </c>
      <c r="P50" s="67">
        <f>N$50*SUM(P38:P49)</f>
        <v>22778.657741993651</v>
      </c>
      <c r="Q50" s="72">
        <f t="shared" si="10"/>
        <v>6.5420560747663545E-2</v>
      </c>
    </row>
    <row r="51" spans="1:20" ht="15" thickBot="1" x14ac:dyDescent="0.4">
      <c r="A51" s="135" t="str">
        <f>+Model!D49</f>
        <v>Major purchased equipment</v>
      </c>
      <c r="B51" s="136" t="str">
        <f>+Model!E49</f>
        <v>€</v>
      </c>
      <c r="C51" s="139">
        <f>+P38</f>
        <v>106360.31910906848</v>
      </c>
      <c r="G51" s="200" t="s">
        <v>184</v>
      </c>
      <c r="L51" s="88"/>
      <c r="M51" s="8" t="s">
        <v>130</v>
      </c>
      <c r="N51" s="89"/>
      <c r="O51" s="89"/>
      <c r="P51" s="78">
        <f>SUM(P38:P50)</f>
        <v>348188.05405618867</v>
      </c>
      <c r="Q51" s="90">
        <f t="shared" si="10"/>
        <v>1</v>
      </c>
    </row>
    <row r="52" spans="1:20" ht="13" thickBot="1" x14ac:dyDescent="0.3">
      <c r="A52" s="135" t="str">
        <f>+Model!D50</f>
        <v>Installation costs</v>
      </c>
      <c r="B52" s="136" t="str">
        <f>+Model!E50</f>
        <v>€</v>
      </c>
      <c r="C52" s="139">
        <f t="shared" ref="C52:C63" si="12">+P39</f>
        <v>21272.063821813699</v>
      </c>
      <c r="R52" s="11"/>
    </row>
    <row r="53" spans="1:20" ht="13.5" thickBot="1" x14ac:dyDescent="0.35">
      <c r="A53" s="135" t="str">
        <f>+Model!D51</f>
        <v>Instrumentation and control</v>
      </c>
      <c r="B53" s="136" t="str">
        <f>+Model!E51</f>
        <v>€</v>
      </c>
      <c r="C53" s="139">
        <f t="shared" si="12"/>
        <v>21272.063821813699</v>
      </c>
      <c r="L53" s="50" t="s">
        <v>131</v>
      </c>
      <c r="M53" s="55"/>
      <c r="N53" s="91"/>
      <c r="O53" s="91"/>
      <c r="P53" s="91"/>
      <c r="Q53" s="54"/>
      <c r="R53" s="92"/>
      <c r="S53" s="11"/>
      <c r="T53" s="11"/>
    </row>
    <row r="54" spans="1:20" ht="13.5" thickBot="1" x14ac:dyDescent="0.35">
      <c r="A54" s="135" t="str">
        <f>+Model!D52</f>
        <v>Piping</v>
      </c>
      <c r="B54" s="136" t="str">
        <f>+Model!E52</f>
        <v>€</v>
      </c>
      <c r="C54" s="139">
        <f t="shared" si="12"/>
        <v>31908.095732720543</v>
      </c>
      <c r="H54" s="26"/>
      <c r="I54" s="93"/>
      <c r="J54" s="61"/>
      <c r="L54" s="58" t="s">
        <v>112</v>
      </c>
      <c r="M54" s="94" t="s">
        <v>113</v>
      </c>
      <c r="N54" s="83"/>
      <c r="O54" s="8"/>
      <c r="P54" s="8" t="s">
        <v>129</v>
      </c>
      <c r="Q54" s="95" t="s">
        <v>117</v>
      </c>
      <c r="S54" s="11"/>
      <c r="T54" s="11"/>
    </row>
    <row r="55" spans="1:20" ht="13" thickBot="1" x14ac:dyDescent="0.3">
      <c r="A55" s="135" t="str">
        <f>+Model!D53</f>
        <v>Electrical</v>
      </c>
      <c r="B55" s="136" t="str">
        <f>+Model!E53</f>
        <v>€</v>
      </c>
      <c r="C55" s="139">
        <f t="shared" si="12"/>
        <v>10636.03191090685</v>
      </c>
      <c r="L55" s="33"/>
      <c r="M55" s="6" t="s">
        <v>55</v>
      </c>
      <c r="N55" s="6">
        <v>10</v>
      </c>
      <c r="Q55" s="96"/>
      <c r="S55" s="11"/>
      <c r="T55" s="11"/>
    </row>
    <row r="56" spans="1:20" ht="13" thickBot="1" x14ac:dyDescent="0.3">
      <c r="A56" s="135" t="str">
        <f>+Model!D54</f>
        <v>Buildings</v>
      </c>
      <c r="B56" s="136" t="str">
        <f>+Model!E54</f>
        <v>€</v>
      </c>
      <c r="C56" s="139">
        <f t="shared" si="12"/>
        <v>10636.03191090685</v>
      </c>
      <c r="L56" s="33"/>
      <c r="M56" s="6" t="s">
        <v>56</v>
      </c>
      <c r="P56" s="97">
        <f>+(P51-P44)/N55</f>
        <v>34287.003810073526</v>
      </c>
      <c r="Q56" s="96">
        <f t="shared" ref="Q56:Q60" si="13">+P56/P$60</f>
        <v>0.84854948922699214</v>
      </c>
      <c r="S56" s="11"/>
      <c r="T56" s="11"/>
    </row>
    <row r="57" spans="1:20" ht="13" thickBot="1" x14ac:dyDescent="0.3">
      <c r="A57" s="135" t="str">
        <f>+Model!D55</f>
        <v>Yard improvements</v>
      </c>
      <c r="B57" s="136" t="str">
        <f>+Model!E55</f>
        <v>€</v>
      </c>
      <c r="C57" s="139">
        <f t="shared" si="12"/>
        <v>5318.0159554534248</v>
      </c>
      <c r="L57" s="33"/>
      <c r="M57" s="6" t="s">
        <v>57</v>
      </c>
      <c r="N57" s="98">
        <v>0.01</v>
      </c>
      <c r="P57" s="97">
        <f>0.01*P56</f>
        <v>342.87003810073526</v>
      </c>
      <c r="Q57" s="96">
        <f t="shared" si="13"/>
        <v>8.4854948922699226E-3</v>
      </c>
      <c r="S57" s="11"/>
      <c r="T57" s="11"/>
    </row>
    <row r="58" spans="1:20" ht="13" thickBot="1" x14ac:dyDescent="0.3">
      <c r="A58" s="135" t="str">
        <f>+Model!D56</f>
        <v>Service facilities</v>
      </c>
      <c r="B58" s="136" t="str">
        <f>+Model!E56</f>
        <v>€</v>
      </c>
      <c r="C58" s="139">
        <f t="shared" si="12"/>
        <v>21272.063821813699</v>
      </c>
      <c r="L58" s="33"/>
      <c r="M58" s="6" t="s">
        <v>58</v>
      </c>
      <c r="N58" s="98">
        <v>6.0000000000000001E-3</v>
      </c>
      <c r="P58" s="97">
        <f>0.006*P56</f>
        <v>205.72202286044117</v>
      </c>
      <c r="Q58" s="96">
        <f t="shared" si="13"/>
        <v>5.0912969353619532E-3</v>
      </c>
      <c r="S58" s="11"/>
      <c r="T58" s="11"/>
    </row>
    <row r="59" spans="1:20" ht="15" thickBot="1" x14ac:dyDescent="0.4">
      <c r="A59" s="135" t="str">
        <f>+Model!D57</f>
        <v>Land</v>
      </c>
      <c r="B59" s="136" t="str">
        <f>+Model!E57</f>
        <v>€</v>
      </c>
      <c r="C59" s="139">
        <f t="shared" si="12"/>
        <v>0</v>
      </c>
      <c r="L59" s="33"/>
      <c r="M59" s="6" t="s">
        <v>59</v>
      </c>
      <c r="N59" s="98">
        <v>0.16</v>
      </c>
      <c r="P59" s="209">
        <f>0.16*(P51/N55)</f>
        <v>5571.0088648990195</v>
      </c>
      <c r="Q59" s="96">
        <f t="shared" si="13"/>
        <v>0.13787371894537587</v>
      </c>
      <c r="R59" s="210" t="s">
        <v>192</v>
      </c>
      <c r="S59" s="11"/>
      <c r="T59" s="11"/>
    </row>
    <row r="60" spans="1:20" ht="13.5" thickBot="1" x14ac:dyDescent="0.35">
      <c r="A60" s="135" t="str">
        <f>+Model!D58</f>
        <v>Engineering and supervision</v>
      </c>
      <c r="B60" s="136" t="str">
        <f>+Model!E58</f>
        <v>€</v>
      </c>
      <c r="C60" s="139">
        <f t="shared" si="12"/>
        <v>21272.063821813699</v>
      </c>
      <c r="L60" s="58"/>
      <c r="M60" s="8" t="s">
        <v>132</v>
      </c>
      <c r="N60" s="8"/>
      <c r="O60" s="8"/>
      <c r="P60" s="99">
        <f>SUM(P55:P59)</f>
        <v>40406.604735933724</v>
      </c>
      <c r="Q60" s="100">
        <f t="shared" si="13"/>
        <v>1</v>
      </c>
    </row>
    <row r="61" spans="1:20" ht="13" thickBot="1" x14ac:dyDescent="0.3">
      <c r="A61" s="135" t="str">
        <f>+Model!D59</f>
        <v>Construction expenses</v>
      </c>
      <c r="B61" s="136" t="str">
        <f>+Model!E59</f>
        <v>€</v>
      </c>
      <c r="C61" s="139">
        <f t="shared" si="12"/>
        <v>68602.405825349168</v>
      </c>
      <c r="Q61" s="16"/>
      <c r="S61" s="11"/>
      <c r="T61" s="11"/>
    </row>
    <row r="62" spans="1:20" ht="13.5" thickBot="1" x14ac:dyDescent="0.35">
      <c r="A62" s="135" t="str">
        <f>+Model!D60</f>
        <v>Contractor's fee</v>
      </c>
      <c r="B62" s="136" t="str">
        <f>+Model!E60</f>
        <v>€</v>
      </c>
      <c r="C62" s="139">
        <f t="shared" si="12"/>
        <v>6860.2405825349169</v>
      </c>
      <c r="L62" s="50" t="s">
        <v>133</v>
      </c>
      <c r="M62" s="55"/>
      <c r="N62" s="51"/>
      <c r="O62" s="51"/>
      <c r="P62" s="51"/>
      <c r="Q62" s="101"/>
    </row>
    <row r="63" spans="1:20" ht="13.5" thickBot="1" x14ac:dyDescent="0.35">
      <c r="A63" s="135" t="str">
        <f>+Model!D61</f>
        <v>Contingency</v>
      </c>
      <c r="B63" s="136" t="str">
        <f>+Model!E61</f>
        <v>€</v>
      </c>
      <c r="C63" s="139">
        <f t="shared" si="12"/>
        <v>22778.657741993651</v>
      </c>
      <c r="L63" s="58" t="s">
        <v>112</v>
      </c>
      <c r="M63" s="8" t="s">
        <v>62</v>
      </c>
      <c r="N63" s="8" t="s">
        <v>134</v>
      </c>
      <c r="O63" s="8" t="s">
        <v>135</v>
      </c>
      <c r="P63" s="8" t="s">
        <v>129</v>
      </c>
      <c r="Q63" s="102" t="s">
        <v>117</v>
      </c>
    </row>
    <row r="64" spans="1:20" ht="13.5" thickBot="1" x14ac:dyDescent="0.35">
      <c r="A64" s="135" t="str">
        <f>+Model!D62</f>
        <v>Total fix capital</v>
      </c>
      <c r="B64" s="136" t="str">
        <f>+Model!E62</f>
        <v>€</v>
      </c>
      <c r="C64" s="139">
        <f>+P51</f>
        <v>348188.05405618867</v>
      </c>
      <c r="H64" s="26"/>
      <c r="I64" s="93"/>
      <c r="J64" s="61"/>
      <c r="L64" s="33"/>
      <c r="M64" s="22" t="s">
        <v>151</v>
      </c>
      <c r="N64" s="103">
        <f>+N3*F10*1000</f>
        <v>32850</v>
      </c>
      <c r="O64" s="67">
        <f>+F9</f>
        <v>0</v>
      </c>
      <c r="P64" s="67">
        <f>N64*O64</f>
        <v>0</v>
      </c>
      <c r="Q64" s="96">
        <f>+P64/P$81</f>
        <v>0</v>
      </c>
    </row>
    <row r="65" spans="1:18" ht="13" thickBot="1" x14ac:dyDescent="0.3">
      <c r="A65" s="135"/>
      <c r="B65" s="136"/>
      <c r="C65" s="139"/>
      <c r="L65" s="33"/>
      <c r="M65" s="22" t="s">
        <v>65</v>
      </c>
      <c r="N65" s="103">
        <f>+(N12*N10*N8)*0.1+N12</f>
        <v>20250</v>
      </c>
      <c r="O65" s="67">
        <f>+O68</f>
        <v>0</v>
      </c>
      <c r="P65" s="67">
        <f>N65*O65</f>
        <v>0</v>
      </c>
      <c r="Q65" s="96">
        <f>+P65/P$81</f>
        <v>0</v>
      </c>
    </row>
    <row r="66" spans="1:18" ht="13" thickBot="1" x14ac:dyDescent="0.3">
      <c r="A66" s="135" t="str">
        <f>+Model!D64</f>
        <v>Fix Capital Costs per annun</v>
      </c>
      <c r="B66" s="136"/>
      <c r="C66" s="137"/>
      <c r="L66" s="33"/>
      <c r="M66" s="22" t="s">
        <v>63</v>
      </c>
      <c r="N66" s="103">
        <f>+N3*C7*1000</f>
        <v>109500</v>
      </c>
      <c r="O66" s="67">
        <f>+F8</f>
        <v>0.1</v>
      </c>
      <c r="P66" s="67">
        <f t="shared" ref="P66" si="14">N66*O66</f>
        <v>10950</v>
      </c>
      <c r="Q66" s="96">
        <f>+P66/P$81</f>
        <v>1</v>
      </c>
    </row>
    <row r="67" spans="1:18" ht="13.5" thickBot="1" x14ac:dyDescent="0.35">
      <c r="A67" s="135" t="str">
        <f>+Model!D65</f>
        <v>Lifetime</v>
      </c>
      <c r="B67" s="136" t="str">
        <f>+Model!E65</f>
        <v>€</v>
      </c>
      <c r="C67" s="137">
        <f>+N55</f>
        <v>10</v>
      </c>
      <c r="L67" s="58" t="str">
        <f>+L63</f>
        <v>Item</v>
      </c>
      <c r="M67" s="8" t="s">
        <v>64</v>
      </c>
      <c r="N67" s="8" t="s">
        <v>134</v>
      </c>
      <c r="O67" s="8" t="s">
        <v>135</v>
      </c>
      <c r="P67" s="8" t="s">
        <v>129</v>
      </c>
      <c r="Q67" s="102" t="s">
        <v>117</v>
      </c>
    </row>
    <row r="68" spans="1:18" ht="13" thickBot="1" x14ac:dyDescent="0.3">
      <c r="A68" s="135" t="str">
        <f>+Model!D66</f>
        <v>Depreciation</v>
      </c>
      <c r="B68" s="136" t="str">
        <f>+Model!E66</f>
        <v>€</v>
      </c>
      <c r="C68" s="139">
        <f>+P56</f>
        <v>34287.003810073526</v>
      </c>
      <c r="L68" s="33"/>
      <c r="M68" s="6" t="s">
        <v>153</v>
      </c>
      <c r="N68" s="103">
        <f>+C8*C11*C12*10</f>
        <v>21900</v>
      </c>
      <c r="O68" s="67">
        <f>+F7</f>
        <v>0</v>
      </c>
      <c r="P68" s="67">
        <f>+O68*N68</f>
        <v>0</v>
      </c>
      <c r="Q68" s="96">
        <f>+P68/P$82</f>
        <v>0</v>
      </c>
    </row>
    <row r="69" spans="1:18" ht="13" thickBot="1" x14ac:dyDescent="0.3">
      <c r="A69" s="135" t="str">
        <f>+Model!D67</f>
        <v>Property tax (@ 0.01 depreciation)</v>
      </c>
      <c r="B69" s="136" t="str">
        <f>+Model!E67</f>
        <v>€</v>
      </c>
      <c r="C69" s="139">
        <f t="shared" ref="C69:C71" si="15">+P57</f>
        <v>342.87003810073526</v>
      </c>
      <c r="L69" s="33"/>
      <c r="M69" s="6" t="s">
        <v>142</v>
      </c>
      <c r="N69" s="103">
        <f>+N7*N5*N13*10000*24*N8/1000</f>
        <v>350400</v>
      </c>
      <c r="O69" s="67">
        <f>+O70</f>
        <v>0.1</v>
      </c>
      <c r="P69" s="67">
        <f>N69*O69</f>
        <v>35040</v>
      </c>
      <c r="Q69" s="96">
        <f>+P69/P$82</f>
        <v>0.9974025974025974</v>
      </c>
      <c r="R69" s="6" t="s">
        <v>186</v>
      </c>
    </row>
    <row r="70" spans="1:18" ht="13" thickBot="1" x14ac:dyDescent="0.3">
      <c r="A70" s="135" t="str">
        <f>+Model!D68</f>
        <v>Insurance (@ 0.006 depreciation)</v>
      </c>
      <c r="B70" s="136" t="str">
        <f>+Model!E68</f>
        <v>€</v>
      </c>
      <c r="C70" s="139">
        <f t="shared" si="15"/>
        <v>205.72202286044117</v>
      </c>
      <c r="L70" s="33"/>
      <c r="M70" s="6" t="s">
        <v>143</v>
      </c>
      <c r="N70" s="103">
        <f>+I30*N9*N8*F12</f>
        <v>912.5</v>
      </c>
      <c r="O70" s="67">
        <f>+F11</f>
        <v>0.1</v>
      </c>
      <c r="P70" s="67">
        <f>N70*O70</f>
        <v>91.25</v>
      </c>
      <c r="Q70" s="96">
        <f>+P70/P$82</f>
        <v>2.5974025974025974E-3</v>
      </c>
      <c r="R70" s="6" t="s">
        <v>185</v>
      </c>
    </row>
    <row r="71" spans="1:18" ht="13.5" thickBot="1" x14ac:dyDescent="0.35">
      <c r="A71" s="135" t="str">
        <f>+Model!D69</f>
        <v>Purchase tax (@ 0.16 of items 1-12/10)</v>
      </c>
      <c r="B71" s="136" t="str">
        <f>+Model!E69</f>
        <v>€</v>
      </c>
      <c r="C71" s="139">
        <f t="shared" si="15"/>
        <v>5571.0088648990195</v>
      </c>
      <c r="L71" s="58" t="str">
        <f>+L67</f>
        <v>Item</v>
      </c>
      <c r="M71" s="8" t="s">
        <v>66</v>
      </c>
      <c r="N71" s="8" t="s">
        <v>134</v>
      </c>
      <c r="O71" s="8" t="s">
        <v>135</v>
      </c>
      <c r="P71" s="8" t="s">
        <v>129</v>
      </c>
      <c r="Q71" s="102" t="s">
        <v>117</v>
      </c>
    </row>
    <row r="72" spans="1:18" ht="13" thickBot="1" x14ac:dyDescent="0.3">
      <c r="A72" s="135"/>
      <c r="B72" s="136"/>
      <c r="C72" s="137"/>
      <c r="L72" s="33">
        <f>+L70+1</f>
        <v>1</v>
      </c>
      <c r="M72" s="6" t="s">
        <v>67</v>
      </c>
      <c r="N72" s="27">
        <f>+N16</f>
        <v>0.5</v>
      </c>
      <c r="O72" s="67">
        <f>+N15</f>
        <v>30000</v>
      </c>
      <c r="P72" s="67">
        <f t="shared" ref="P72:P80" si="16">N72*O72</f>
        <v>15000</v>
      </c>
      <c r="Q72" s="96">
        <f>+P72/P$83</f>
        <v>0.25282794027929156</v>
      </c>
    </row>
    <row r="73" spans="1:18" ht="13" thickBot="1" x14ac:dyDescent="0.3">
      <c r="A73" s="135" t="str">
        <f>+Model!D71</f>
        <v>Direct Production Costs</v>
      </c>
      <c r="B73" s="136"/>
      <c r="C73" s="137"/>
      <c r="L73" s="33">
        <f t="shared" ref="L73:L80" si="17">+L72+1</f>
        <v>2</v>
      </c>
      <c r="M73" s="6" t="s">
        <v>68</v>
      </c>
      <c r="N73" s="27">
        <v>0.2</v>
      </c>
      <c r="O73" s="71">
        <f>O72</f>
        <v>30000</v>
      </c>
      <c r="P73" s="67">
        <f t="shared" si="16"/>
        <v>6000</v>
      </c>
      <c r="Q73" s="96">
        <f t="shared" ref="Q73:Q80" si="18">+P73/P$83</f>
        <v>0.10113117611171663</v>
      </c>
    </row>
    <row r="74" spans="1:18" ht="13" thickBot="1" x14ac:dyDescent="0.3">
      <c r="A74" s="135" t="str">
        <f>+Model!D72</f>
        <v>Raw materials</v>
      </c>
      <c r="B74" s="136"/>
      <c r="C74" s="137"/>
      <c r="L74" s="33">
        <f t="shared" si="17"/>
        <v>3</v>
      </c>
      <c r="M74" s="6" t="s">
        <v>69</v>
      </c>
      <c r="N74" s="27">
        <v>0.25</v>
      </c>
      <c r="O74" s="67">
        <f>+P72+P73</f>
        <v>21000</v>
      </c>
      <c r="P74" s="67">
        <f t="shared" si="16"/>
        <v>5250</v>
      </c>
      <c r="Q74" s="96">
        <f t="shared" si="18"/>
        <v>8.8489779097752047E-2</v>
      </c>
    </row>
    <row r="75" spans="1:18" ht="13" thickBot="1" x14ac:dyDescent="0.3">
      <c r="A75" s="135" t="str">
        <f>+Model!D73</f>
        <v>Fertilizers (kg)</v>
      </c>
      <c r="B75" s="136" t="str">
        <f>+Model!E73</f>
        <v>€</v>
      </c>
      <c r="C75" s="139">
        <f>+P64</f>
        <v>0</v>
      </c>
      <c r="L75" s="33">
        <f t="shared" si="17"/>
        <v>4</v>
      </c>
      <c r="M75" s="6" t="s">
        <v>70</v>
      </c>
      <c r="N75" s="27">
        <v>0.04</v>
      </c>
      <c r="O75" s="67">
        <f>+P38</f>
        <v>106360.31910906848</v>
      </c>
      <c r="P75" s="67">
        <f t="shared" si="16"/>
        <v>4254.4127643627398</v>
      </c>
      <c r="Q75" s="96">
        <f t="shared" si="18"/>
        <v>7.1708961087450576E-2</v>
      </c>
    </row>
    <row r="76" spans="1:18" ht="13" thickBot="1" x14ac:dyDescent="0.3">
      <c r="A76" s="135" t="str">
        <f>+Model!D74</f>
        <v>Water (m3)</v>
      </c>
      <c r="B76" s="136" t="str">
        <f>+Model!E74</f>
        <v>€</v>
      </c>
      <c r="C76" s="139">
        <f t="shared" ref="C76:C77" si="19">+P65</f>
        <v>0</v>
      </c>
      <c r="L76" s="33">
        <f t="shared" si="17"/>
        <v>5</v>
      </c>
      <c r="M76" s="6" t="s">
        <v>193</v>
      </c>
      <c r="N76" s="27">
        <v>4.0000000000000001E-3</v>
      </c>
      <c r="O76" s="67">
        <f>SUM(P64:P66)</f>
        <v>10950</v>
      </c>
      <c r="P76" s="67">
        <f t="shared" si="16"/>
        <v>43.800000000000004</v>
      </c>
      <c r="Q76" s="96">
        <f t="shared" si="18"/>
        <v>7.3825758561553152E-4</v>
      </c>
    </row>
    <row r="77" spans="1:18" ht="13" thickBot="1" x14ac:dyDescent="0.3">
      <c r="A77" s="135" t="str">
        <f>+Model!D75</f>
        <v>Carbon dioxide (kg)</v>
      </c>
      <c r="B77" s="136" t="str">
        <f>+Model!E75</f>
        <v>€</v>
      </c>
      <c r="C77" s="139">
        <f t="shared" si="19"/>
        <v>10950</v>
      </c>
      <c r="L77" s="33">
        <f t="shared" si="17"/>
        <v>6</v>
      </c>
      <c r="M77" s="6" t="s">
        <v>72</v>
      </c>
      <c r="N77" s="27">
        <v>0.55000000000000004</v>
      </c>
      <c r="O77" s="67">
        <f>P72+P73+P75</f>
        <v>25254.41276436274</v>
      </c>
      <c r="P77" s="67">
        <f t="shared" si="16"/>
        <v>13889.927020399507</v>
      </c>
      <c r="Q77" s="96">
        <f t="shared" si="18"/>
        <v>0.23411744261315234</v>
      </c>
    </row>
    <row r="78" spans="1:18" ht="13" thickBot="1" x14ac:dyDescent="0.3">
      <c r="A78" s="135" t="str">
        <f>+Model!D76</f>
        <v>Utilities</v>
      </c>
      <c r="B78" s="136"/>
      <c r="C78" s="139"/>
      <c r="L78" s="33">
        <f t="shared" si="17"/>
        <v>7</v>
      </c>
      <c r="M78" s="6" t="s">
        <v>194</v>
      </c>
      <c r="N78" s="27">
        <v>0.16</v>
      </c>
      <c r="O78" s="67">
        <f>SUM(P64:P66)+SUM(P68:P70)+P75+P76</f>
        <v>50379.462764362746</v>
      </c>
      <c r="P78" s="67">
        <f t="shared" si="16"/>
        <v>8060.7140422980392</v>
      </c>
      <c r="Q78" s="96">
        <f t="shared" si="18"/>
        <v>0.1358649152329717</v>
      </c>
    </row>
    <row r="79" spans="1:18" ht="13" thickBot="1" x14ac:dyDescent="0.3">
      <c r="A79" s="135" t="str">
        <f>+Model!D77</f>
        <v>Water (m3)</v>
      </c>
      <c r="B79" s="136" t="str">
        <f>+Model!E77</f>
        <v>€</v>
      </c>
      <c r="C79" s="139">
        <f>+P68</f>
        <v>0</v>
      </c>
      <c r="L79" s="33">
        <f t="shared" si="17"/>
        <v>8</v>
      </c>
      <c r="M79" s="6" t="s">
        <v>195</v>
      </c>
      <c r="N79" s="27">
        <v>0.05</v>
      </c>
      <c r="O79" s="67">
        <f>SUM(P64:P66)+SUM(P68:P70)</f>
        <v>46081.25</v>
      </c>
      <c r="P79" s="67">
        <f t="shared" si="16"/>
        <v>2304.0625</v>
      </c>
      <c r="Q79" s="96">
        <f t="shared" si="18"/>
        <v>3.8835425076650353E-2</v>
      </c>
    </row>
    <row r="80" spans="1:18" ht="13" thickBot="1" x14ac:dyDescent="0.3">
      <c r="A80" s="135" t="str">
        <f>+Model!D78</f>
        <v>Power mixing (kWh)</v>
      </c>
      <c r="B80" s="136" t="str">
        <f>+Model!E78</f>
        <v>€</v>
      </c>
      <c r="C80" s="139">
        <f t="shared" ref="C80:C94" si="20">+P69</f>
        <v>35040</v>
      </c>
      <c r="L80" s="33">
        <f t="shared" si="17"/>
        <v>9</v>
      </c>
      <c r="M80" s="6" t="s">
        <v>196</v>
      </c>
      <c r="N80" s="27">
        <v>0.05</v>
      </c>
      <c r="O80" s="67">
        <f>SUM(P64:P66)+SUM(P68:P70)+SUM(P72:P77)</f>
        <v>90519.389784762243</v>
      </c>
      <c r="P80" s="67">
        <f t="shared" si="16"/>
        <v>4525.9694892381121</v>
      </c>
      <c r="Q80" s="96">
        <f t="shared" si="18"/>
        <v>7.6286102915399279E-2</v>
      </c>
    </row>
    <row r="81" spans="1:20" ht="13.5" thickBot="1" x14ac:dyDescent="0.35">
      <c r="A81" s="135" t="str">
        <f>+Model!D79</f>
        <v>Power harvesting and others (Kwh)</v>
      </c>
      <c r="B81" s="136" t="str">
        <f>+Model!E79</f>
        <v>€</v>
      </c>
      <c r="C81" s="139">
        <f t="shared" si="20"/>
        <v>91.25</v>
      </c>
      <c r="L81" s="50"/>
      <c r="M81" s="55" t="s">
        <v>76</v>
      </c>
      <c r="N81" s="55"/>
      <c r="O81" s="55"/>
      <c r="P81" s="104">
        <f>+SUM(P64:P66)</f>
        <v>10950</v>
      </c>
      <c r="Q81" s="101"/>
    </row>
    <row r="82" spans="1:20" ht="13.5" thickBot="1" x14ac:dyDescent="0.35">
      <c r="A82" s="135" t="str">
        <f>+Model!D80</f>
        <v>Labor and others</v>
      </c>
      <c r="B82" s="136"/>
      <c r="C82" s="139"/>
      <c r="L82" s="105"/>
      <c r="M82" s="26" t="s">
        <v>77</v>
      </c>
      <c r="N82" s="26"/>
      <c r="O82" s="26"/>
      <c r="P82" s="106">
        <f>+SUM(P68:P70)</f>
        <v>35131.25</v>
      </c>
      <c r="Q82" s="96"/>
      <c r="R82" s="11"/>
    </row>
    <row r="83" spans="1:20" ht="13.5" thickBot="1" x14ac:dyDescent="0.35">
      <c r="A83" s="135" t="str">
        <f>+Model!D81</f>
        <v>Labor</v>
      </c>
      <c r="B83" s="136" t="str">
        <f>+Model!E81</f>
        <v>€</v>
      </c>
      <c r="C83" s="139">
        <f t="shared" si="20"/>
        <v>15000</v>
      </c>
      <c r="L83" s="107"/>
      <c r="M83" s="108" t="s">
        <v>78</v>
      </c>
      <c r="N83" s="108"/>
      <c r="O83" s="108"/>
      <c r="P83" s="109">
        <f>+SUM(P72:P80)</f>
        <v>59328.885816298396</v>
      </c>
      <c r="Q83" s="110"/>
      <c r="R83" s="11"/>
    </row>
    <row r="84" spans="1:20" ht="13" thickBot="1" x14ac:dyDescent="0.3">
      <c r="A84" s="135" t="str">
        <f>+Model!D82</f>
        <v>Supervision (@ 0.2 labor)</v>
      </c>
      <c r="B84" s="136" t="str">
        <f>+Model!E82</f>
        <v>€</v>
      </c>
      <c r="C84" s="139">
        <f t="shared" si="20"/>
        <v>6000</v>
      </c>
    </row>
    <row r="85" spans="1:20" ht="13" thickBot="1" x14ac:dyDescent="0.3">
      <c r="A85" s="135" t="str">
        <f>+Model!D83</f>
        <v>Payroll charges (@ 0.25 (labor + supervision))</v>
      </c>
      <c r="B85" s="136" t="str">
        <f>+Model!E83</f>
        <v>€</v>
      </c>
      <c r="C85" s="139">
        <f t="shared" si="20"/>
        <v>5250</v>
      </c>
      <c r="R85" s="11"/>
    </row>
    <row r="86" spans="1:20" ht="13.5" thickBot="1" x14ac:dyDescent="0.35">
      <c r="A86" s="135" t="str">
        <f>+Model!D84</f>
        <v>Maintenance (@ 0.04 MEC)</v>
      </c>
      <c r="B86" s="136" t="str">
        <f>+Model!E84</f>
        <v>€</v>
      </c>
      <c r="C86" s="139">
        <f t="shared" si="20"/>
        <v>4254.4127643627398</v>
      </c>
      <c r="L86" s="58" t="s">
        <v>136</v>
      </c>
      <c r="M86" s="8"/>
      <c r="N86" s="8"/>
      <c r="O86" s="8"/>
      <c r="P86" s="111"/>
      <c r="R86" s="11"/>
    </row>
    <row r="87" spans="1:20" ht="13.5" thickBot="1" x14ac:dyDescent="0.35">
      <c r="A87" s="135" t="str">
        <f>+Model!D85</f>
        <v>Operating supplies (@ 0.004 items 1-5)</v>
      </c>
      <c r="B87" s="136" t="str">
        <f>+Model!E85</f>
        <v>€</v>
      </c>
      <c r="C87" s="139">
        <f t="shared" si="20"/>
        <v>43.800000000000004</v>
      </c>
      <c r="L87" s="58" t="s">
        <v>112</v>
      </c>
      <c r="M87" s="8" t="s">
        <v>137</v>
      </c>
      <c r="N87" s="8"/>
      <c r="O87" s="8" t="s">
        <v>129</v>
      </c>
      <c r="P87" s="111" t="s">
        <v>84</v>
      </c>
      <c r="S87" s="25"/>
      <c r="T87" s="25"/>
    </row>
    <row r="88" spans="1:20" ht="13" thickBot="1" x14ac:dyDescent="0.3">
      <c r="A88" s="135" t="str">
        <f>+Model!D86</f>
        <v>General plant overheads (@ 0.55 (labor + supervision + maintenance))</v>
      </c>
      <c r="B88" s="136" t="str">
        <f>+Model!E86</f>
        <v>€</v>
      </c>
      <c r="C88" s="139">
        <f t="shared" si="20"/>
        <v>13889.927020399507</v>
      </c>
      <c r="L88" s="112">
        <v>1</v>
      </c>
      <c r="M88" s="113" t="str">
        <f>+M60</f>
        <v>Total fix capital per annun</v>
      </c>
      <c r="N88" s="113"/>
      <c r="O88" s="114">
        <f>+P60</f>
        <v>40406.604735933724</v>
      </c>
      <c r="P88" s="115">
        <f>+O88/O$94</f>
        <v>0.27710538984006378</v>
      </c>
    </row>
    <row r="89" spans="1:20" ht="13" thickBot="1" x14ac:dyDescent="0.3">
      <c r="A89" s="135" t="str">
        <f>+Model!D87</f>
        <v>Tax (@ 0.16 items 1-7, 11 and 12)</v>
      </c>
      <c r="B89" s="136" t="str">
        <f>+Model!E87</f>
        <v>€</v>
      </c>
      <c r="C89" s="139">
        <f t="shared" si="20"/>
        <v>8060.7140422980392</v>
      </c>
      <c r="L89" s="33">
        <v>2</v>
      </c>
      <c r="M89" s="22" t="str">
        <f>+M81</f>
        <v>Total raw materials</v>
      </c>
      <c r="N89" s="22"/>
      <c r="O89" s="71">
        <f>+P81</f>
        <v>10950</v>
      </c>
      <c r="P89" s="116">
        <f>+O89/O$94</f>
        <v>7.5094258440632652E-2</v>
      </c>
    </row>
    <row r="90" spans="1:20" ht="13" thickBot="1" x14ac:dyDescent="0.3">
      <c r="A90" s="135" t="str">
        <f>+Model!D88</f>
        <v>Contingency (@ 0.05 items 1-7)</v>
      </c>
      <c r="B90" s="136" t="str">
        <f>+Model!E88</f>
        <v>€</v>
      </c>
      <c r="C90" s="139">
        <f t="shared" si="20"/>
        <v>2304.0625</v>
      </c>
      <c r="L90" s="33">
        <v>3</v>
      </c>
      <c r="M90" s="22" t="str">
        <f>+M82</f>
        <v>Total utilities</v>
      </c>
      <c r="N90" s="22"/>
      <c r="O90" s="71">
        <f>+P82</f>
        <v>35131.25</v>
      </c>
      <c r="P90" s="116">
        <f>+O90/O$94</f>
        <v>0.24092741249702976</v>
      </c>
    </row>
    <row r="91" spans="1:20" ht="13" thickBot="1" x14ac:dyDescent="0.3">
      <c r="A91" s="135" t="str">
        <f>+Model!D89</f>
        <v>Marketing (@ 0.05 items 1-13)</v>
      </c>
      <c r="B91" s="136" t="str">
        <f>+Model!E89</f>
        <v>€</v>
      </c>
      <c r="C91" s="139">
        <f t="shared" si="20"/>
        <v>4525.9694892381121</v>
      </c>
      <c r="L91" s="86">
        <v>4</v>
      </c>
      <c r="M91" s="190" t="str">
        <f>+M83</f>
        <v>Total labor and others</v>
      </c>
      <c r="N91" s="190"/>
      <c r="O91" s="191">
        <f>+P83</f>
        <v>59328.885816298396</v>
      </c>
      <c r="P91" s="192">
        <f>+O91/O$94</f>
        <v>0.40687293922227369</v>
      </c>
    </row>
    <row r="92" spans="1:20" ht="13.5" thickBot="1" x14ac:dyDescent="0.35">
      <c r="A92" s="135" t="str">
        <f>+Model!D90</f>
        <v>Total raw materials</v>
      </c>
      <c r="B92" s="136" t="str">
        <f>+Model!E90</f>
        <v>€</v>
      </c>
      <c r="C92" s="139">
        <f t="shared" si="20"/>
        <v>10950</v>
      </c>
      <c r="L92" s="188"/>
      <c r="M92" s="26" t="str">
        <f>+M88</f>
        <v>Total fix capital per annun</v>
      </c>
      <c r="N92" s="26"/>
      <c r="O92" s="204">
        <f>+O88</f>
        <v>40406.604735933724</v>
      </c>
      <c r="P92" s="189">
        <f>+O92/O94</f>
        <v>0.27710538984006378</v>
      </c>
    </row>
    <row r="93" spans="1:20" ht="13.5" thickBot="1" x14ac:dyDescent="0.35">
      <c r="A93" s="135" t="str">
        <f>+Model!D91</f>
        <v>Total utilities</v>
      </c>
      <c r="B93" s="136" t="str">
        <f>+Model!E91</f>
        <v>€</v>
      </c>
      <c r="C93" s="139">
        <f t="shared" si="20"/>
        <v>35131.25</v>
      </c>
      <c r="L93" s="105"/>
      <c r="M93" s="26" t="s">
        <v>138</v>
      </c>
      <c r="N93" s="26"/>
      <c r="O93" s="204">
        <f>+P83+P82+P81</f>
        <v>105410.1358162984</v>
      </c>
      <c r="P93" s="118">
        <f>+O93/O94</f>
        <v>0.72289461015993606</v>
      </c>
    </row>
    <row r="94" spans="1:20" ht="13.5" thickBot="1" x14ac:dyDescent="0.35">
      <c r="A94" s="135" t="str">
        <f>+Model!D92</f>
        <v>Total labor and others</v>
      </c>
      <c r="B94" s="136" t="str">
        <f>+Model!E92</f>
        <v>€</v>
      </c>
      <c r="C94" s="139">
        <f t="shared" si="20"/>
        <v>59328.885816298396</v>
      </c>
      <c r="L94" s="58"/>
      <c r="M94" s="8" t="s">
        <v>139</v>
      </c>
      <c r="N94" s="8"/>
      <c r="O94" s="205">
        <f>+O93+P60</f>
        <v>145816.74055223214</v>
      </c>
      <c r="P94" s="119"/>
    </row>
    <row r="95" spans="1:20" ht="13.5" thickBot="1" x14ac:dyDescent="0.35">
      <c r="A95" s="135" t="str">
        <f>+Model!D93</f>
        <v>Total fix capital per annun</v>
      </c>
      <c r="B95" s="136" t="str">
        <f>+Model!E93</f>
        <v>€</v>
      </c>
      <c r="C95" s="139">
        <f>+O92</f>
        <v>40406.604735933724</v>
      </c>
      <c r="L95" s="107"/>
      <c r="M95" s="108" t="s">
        <v>140</v>
      </c>
      <c r="N95" s="108"/>
      <c r="O95" s="143">
        <f>+O94/(N3*1000)</f>
        <v>1.3316597310706131</v>
      </c>
      <c r="P95" s="120"/>
      <c r="R95" s="212"/>
    </row>
    <row r="96" spans="1:20" ht="13" thickBot="1" x14ac:dyDescent="0.3">
      <c r="A96" s="135" t="str">
        <f>+Model!D94</f>
        <v>Total direct production costs</v>
      </c>
      <c r="B96" s="136" t="str">
        <f>+Model!E94</f>
        <v>€</v>
      </c>
      <c r="C96" s="139">
        <f t="shared" ref="C96:C98" si="21">+O93</f>
        <v>105410.1358162984</v>
      </c>
    </row>
    <row r="97" spans="1:3" ht="13" thickBot="1" x14ac:dyDescent="0.3">
      <c r="A97" s="135" t="str">
        <f>+Model!D95</f>
        <v>Total production costs</v>
      </c>
      <c r="B97" s="136" t="str">
        <f>+Model!E95</f>
        <v>€</v>
      </c>
      <c r="C97" s="139">
        <f t="shared" si="21"/>
        <v>145816.74055223214</v>
      </c>
    </row>
    <row r="98" spans="1:3" ht="13" thickBot="1" x14ac:dyDescent="0.3">
      <c r="A98" s="135" t="str">
        <f>+Model!D96</f>
        <v>Unit cost of producing biomass</v>
      </c>
      <c r="B98" s="136" t="str">
        <f>+Model!E96</f>
        <v>€/kg</v>
      </c>
      <c r="C98" s="139">
        <f t="shared" si="21"/>
        <v>1.3316597310706131</v>
      </c>
    </row>
  </sheetData>
  <pageMargins left="0.7" right="0.7" top="0.75" bottom="0.75" header="0.3" footer="0.3"/>
  <pageSetup paperSize="9" orientation="portrait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IF120"/>
  <sheetViews>
    <sheetView zoomScale="80" zoomScaleNormal="80" workbookViewId="0">
      <selection activeCell="L34" sqref="L34"/>
    </sheetView>
  </sheetViews>
  <sheetFormatPr baseColWidth="10" defaultColWidth="9.1796875" defaultRowHeight="14.5" x14ac:dyDescent="0.35"/>
  <cols>
    <col min="2" max="2" width="32.26953125" bestFit="1" customWidth="1"/>
    <col min="3" max="3" width="24.81640625" bestFit="1" customWidth="1"/>
    <col min="4" max="4" width="14.81640625" bestFit="1" customWidth="1"/>
    <col min="6" max="6" width="44.81640625" style="1" customWidth="1"/>
    <col min="7" max="7" width="18.81640625" style="145" bestFit="1" customWidth="1"/>
    <col min="8" max="8" width="23.81640625" style="145" bestFit="1" customWidth="1"/>
  </cols>
  <sheetData>
    <row r="1" spans="1:8" x14ac:dyDescent="0.35">
      <c r="F1" s="290" t="s">
        <v>187</v>
      </c>
      <c r="G1" s="291"/>
      <c r="H1" s="292"/>
    </row>
    <row r="2" spans="1:8" ht="15" thickBot="1" x14ac:dyDescent="0.4">
      <c r="A2" t="s">
        <v>168</v>
      </c>
      <c r="F2" s="293"/>
      <c r="G2" s="294"/>
      <c r="H2" s="295"/>
    </row>
    <row r="3" spans="1:8" ht="15" thickBot="1" x14ac:dyDescent="0.4">
      <c r="A3" s="184" t="s">
        <v>169</v>
      </c>
      <c r="B3" s="184" t="s">
        <v>170</v>
      </c>
      <c r="E3" s="184"/>
      <c r="F3" s="288" t="s">
        <v>241</v>
      </c>
      <c r="G3" s="289"/>
      <c r="H3" s="296"/>
    </row>
    <row r="4" spans="1:8" x14ac:dyDescent="0.35">
      <c r="A4" s="185" t="s">
        <v>171</v>
      </c>
      <c r="B4" s="185" t="s">
        <v>246</v>
      </c>
      <c r="C4" s="185"/>
      <c r="D4" s="185"/>
      <c r="F4" s="213"/>
      <c r="G4" s="4" t="s">
        <v>0</v>
      </c>
      <c r="H4" s="214" t="s">
        <v>1</v>
      </c>
    </row>
    <row r="5" spans="1:8" ht="15" thickBot="1" x14ac:dyDescent="0.4">
      <c r="A5" s="181" t="s">
        <v>173</v>
      </c>
      <c r="B5" s="181" t="s">
        <v>181</v>
      </c>
      <c r="C5" s="215"/>
      <c r="D5" s="215"/>
      <c r="F5" s="216" t="s">
        <v>20</v>
      </c>
      <c r="G5" s="217"/>
      <c r="H5" s="218"/>
    </row>
    <row r="6" spans="1:8" s="142" customFormat="1" ht="15" thickBot="1" x14ac:dyDescent="0.4">
      <c r="A6" s="215" t="s">
        <v>190</v>
      </c>
      <c r="B6" s="215" t="s">
        <v>247</v>
      </c>
      <c r="C6" s="297" t="s">
        <v>219</v>
      </c>
      <c r="D6" s="298"/>
      <c r="E6" s="298"/>
      <c r="F6" s="298"/>
      <c r="G6" s="298"/>
      <c r="H6" s="299"/>
    </row>
    <row r="7" spans="1:8" s="142" customFormat="1" ht="16.5" x14ac:dyDescent="0.35">
      <c r="C7" s="219" t="s">
        <v>199</v>
      </c>
      <c r="D7" s="220" t="s">
        <v>200</v>
      </c>
      <c r="E7" s="220">
        <v>3</v>
      </c>
      <c r="F7" s="221" t="s">
        <v>239</v>
      </c>
      <c r="G7" s="222" t="s">
        <v>248</v>
      </c>
      <c r="H7" s="223">
        <f>E9/1000</f>
        <v>116.52996575342462</v>
      </c>
    </row>
    <row r="8" spans="1:8" s="142" customFormat="1" ht="16.5" x14ac:dyDescent="0.35">
      <c r="C8" s="224" t="s">
        <v>208</v>
      </c>
      <c r="D8" s="225" t="s">
        <v>117</v>
      </c>
      <c r="E8" s="225">
        <v>4</v>
      </c>
      <c r="F8" s="226" t="s">
        <v>189</v>
      </c>
      <c r="G8" s="227" t="s">
        <v>249</v>
      </c>
      <c r="H8" s="228">
        <f>(E7*H7)/24</f>
        <v>14.566245719178077</v>
      </c>
    </row>
    <row r="9" spans="1:8" s="142" customFormat="1" x14ac:dyDescent="0.35">
      <c r="C9" s="264" t="s">
        <v>245</v>
      </c>
      <c r="D9" s="265" t="s">
        <v>201</v>
      </c>
      <c r="E9" s="265">
        <v>116529.96575342462</v>
      </c>
      <c r="F9" s="226" t="s">
        <v>215</v>
      </c>
      <c r="G9" s="227" t="s">
        <v>201</v>
      </c>
      <c r="H9" s="228">
        <f>E9*(E8/100)*(E14/100)</f>
        <v>186.44794520547941</v>
      </c>
    </row>
    <row r="10" spans="1:8" s="142" customFormat="1" x14ac:dyDescent="0.35">
      <c r="C10" s="264" t="s">
        <v>260</v>
      </c>
      <c r="D10" s="265" t="s">
        <v>201</v>
      </c>
      <c r="E10" s="272">
        <f>E9*(E8/100)</f>
        <v>4661.1986301369852</v>
      </c>
      <c r="F10" s="226" t="s">
        <v>216</v>
      </c>
      <c r="G10" s="227" t="s">
        <v>251</v>
      </c>
      <c r="H10" s="228">
        <f>H9*E16</f>
        <v>3717.7720273972595</v>
      </c>
    </row>
    <row r="11" spans="1:8" s="142" customFormat="1" x14ac:dyDescent="0.35">
      <c r="C11" s="264" t="s">
        <v>261</v>
      </c>
      <c r="D11" s="265" t="s">
        <v>117</v>
      </c>
      <c r="E11" s="265">
        <v>51.7</v>
      </c>
      <c r="F11" s="226" t="s">
        <v>217</v>
      </c>
      <c r="G11" s="227" t="s">
        <v>201</v>
      </c>
      <c r="H11" s="228">
        <f>E9*(E8/100)*(E15/100)</f>
        <v>233.05993150684927</v>
      </c>
    </row>
    <row r="12" spans="1:8" s="142" customFormat="1" x14ac:dyDescent="0.35">
      <c r="C12" s="264" t="s">
        <v>262</v>
      </c>
      <c r="D12" s="265" t="s">
        <v>117</v>
      </c>
      <c r="E12" s="265">
        <v>22.3</v>
      </c>
      <c r="F12" s="226" t="s">
        <v>218</v>
      </c>
      <c r="G12" s="227" t="s">
        <v>251</v>
      </c>
      <c r="H12" s="228">
        <f>H11*E17</f>
        <v>8341.214948630135</v>
      </c>
    </row>
    <row r="13" spans="1:8" s="142" customFormat="1" x14ac:dyDescent="0.35">
      <c r="C13" s="264" t="s">
        <v>263</v>
      </c>
      <c r="D13" s="265" t="s">
        <v>117</v>
      </c>
      <c r="E13" s="265">
        <v>13.4</v>
      </c>
      <c r="F13" s="226" t="s">
        <v>250</v>
      </c>
      <c r="G13" s="227" t="s">
        <v>198</v>
      </c>
      <c r="H13" s="228">
        <f>(H7*(E18-20)*4180)/3600</f>
        <v>4059.1271404109575</v>
      </c>
    </row>
    <row r="14" spans="1:8" s="158" customFormat="1" x14ac:dyDescent="0.35">
      <c r="C14" s="224" t="s">
        <v>210</v>
      </c>
      <c r="D14" s="225" t="s">
        <v>117</v>
      </c>
      <c r="E14" s="225">
        <v>4</v>
      </c>
      <c r="F14" s="258" t="s">
        <v>252</v>
      </c>
      <c r="G14" s="227" t="s">
        <v>198</v>
      </c>
      <c r="H14" s="261">
        <f>H8*E19*24</f>
        <v>349.58989726027386</v>
      </c>
    </row>
    <row r="15" spans="1:8" s="158" customFormat="1" x14ac:dyDescent="0.35">
      <c r="C15" s="224" t="s">
        <v>211</v>
      </c>
      <c r="D15" s="225" t="s">
        <v>117</v>
      </c>
      <c r="E15" s="225">
        <v>5</v>
      </c>
      <c r="F15" s="258"/>
      <c r="G15" s="259"/>
      <c r="H15" s="263"/>
    </row>
    <row r="16" spans="1:8" s="158" customFormat="1" x14ac:dyDescent="0.35">
      <c r="C16" s="224" t="s">
        <v>213</v>
      </c>
      <c r="D16" s="225" t="s">
        <v>87</v>
      </c>
      <c r="E16" s="225">
        <v>19.940000000000001</v>
      </c>
      <c r="F16" s="258"/>
      <c r="G16" s="259"/>
      <c r="H16" s="263"/>
    </row>
    <row r="17" spans="3:8" s="158" customFormat="1" x14ac:dyDescent="0.35">
      <c r="C17" s="224" t="s">
        <v>214</v>
      </c>
      <c r="D17" s="225" t="s">
        <v>87</v>
      </c>
      <c r="E17" s="225">
        <v>35.79</v>
      </c>
      <c r="F17" s="258"/>
      <c r="G17" s="259"/>
      <c r="H17" s="263"/>
    </row>
    <row r="18" spans="3:8" s="158" customFormat="1" x14ac:dyDescent="0.35">
      <c r="C18" s="256" t="s">
        <v>243</v>
      </c>
      <c r="D18" s="257" t="s">
        <v>244</v>
      </c>
      <c r="E18" s="257">
        <v>50</v>
      </c>
      <c r="F18" s="258"/>
      <c r="G18" s="259"/>
      <c r="H18" s="263"/>
    </row>
    <row r="19" spans="3:8" s="158" customFormat="1" ht="16.5" x14ac:dyDescent="0.35">
      <c r="C19" s="256" t="s">
        <v>253</v>
      </c>
      <c r="D19" s="225" t="s">
        <v>254</v>
      </c>
      <c r="E19" s="257">
        <v>1</v>
      </c>
      <c r="F19" s="258"/>
      <c r="G19" s="259"/>
      <c r="H19" s="263"/>
    </row>
    <row r="20" spans="3:8" s="158" customFormat="1" x14ac:dyDescent="0.35">
      <c r="C20" s="256" t="s">
        <v>242</v>
      </c>
      <c r="D20" s="257" t="s">
        <v>149</v>
      </c>
      <c r="E20" s="257">
        <v>0.05</v>
      </c>
      <c r="F20" s="258"/>
      <c r="G20" s="259"/>
      <c r="H20" s="263"/>
    </row>
    <row r="21" spans="3:8" s="158" customFormat="1" ht="15" thickBot="1" x14ac:dyDescent="0.4">
      <c r="C21" s="256" t="s">
        <v>202</v>
      </c>
      <c r="D21" s="257" t="s">
        <v>149</v>
      </c>
      <c r="E21" s="257">
        <v>0.15</v>
      </c>
      <c r="F21" s="258"/>
      <c r="G21" s="259"/>
      <c r="H21" s="260"/>
    </row>
    <row r="22" spans="3:8" s="158" customFormat="1" ht="15" thickBot="1" x14ac:dyDescent="0.4">
      <c r="C22" s="300" t="s">
        <v>203</v>
      </c>
      <c r="D22" s="301"/>
      <c r="E22" s="301"/>
      <c r="F22" s="301"/>
      <c r="G22" s="301"/>
      <c r="H22" s="302"/>
    </row>
    <row r="23" spans="3:8" s="158" customFormat="1" ht="16.5" x14ac:dyDescent="0.35">
      <c r="C23" s="219" t="s">
        <v>197</v>
      </c>
      <c r="D23" s="220" t="s">
        <v>254</v>
      </c>
      <c r="E23" s="220">
        <v>1</v>
      </c>
      <c r="F23" s="221" t="s">
        <v>240</v>
      </c>
      <c r="G23" s="222" t="s">
        <v>257</v>
      </c>
      <c r="H23" s="223">
        <f>E24/(24*1000)</f>
        <v>4.8729005222493473</v>
      </c>
    </row>
    <row r="24" spans="3:8" s="158" customFormat="1" x14ac:dyDescent="0.35">
      <c r="C24" s="269" t="s">
        <v>255</v>
      </c>
      <c r="D24" s="265" t="s">
        <v>201</v>
      </c>
      <c r="E24" s="270">
        <v>116949.61253398434</v>
      </c>
      <c r="F24" s="226" t="s">
        <v>197</v>
      </c>
      <c r="G24" s="227" t="s">
        <v>198</v>
      </c>
      <c r="H24" s="228">
        <f>H23*E23*E27</f>
        <v>48.72900522249347</v>
      </c>
    </row>
    <row r="25" spans="3:8" s="158" customFormat="1" x14ac:dyDescent="0.35">
      <c r="C25" s="269" t="s">
        <v>264</v>
      </c>
      <c r="D25" s="265" t="s">
        <v>117</v>
      </c>
      <c r="E25" s="270">
        <v>70</v>
      </c>
      <c r="F25" s="226" t="s">
        <v>258</v>
      </c>
      <c r="G25" s="227" t="s">
        <v>201</v>
      </c>
      <c r="H25" s="228">
        <f>((E10*(E11/100))+(E10*(E12/100))+(E10*(E13/100)))-H26</f>
        <v>2179.1103595890409</v>
      </c>
    </row>
    <row r="26" spans="3:8" s="158" customFormat="1" x14ac:dyDescent="0.35">
      <c r="C26" s="269" t="s">
        <v>265</v>
      </c>
      <c r="D26" s="265" t="s">
        <v>117</v>
      </c>
      <c r="E26" s="278">
        <v>20</v>
      </c>
      <c r="F26" s="226" t="s">
        <v>259</v>
      </c>
      <c r="G26" s="227" t="s">
        <v>201</v>
      </c>
      <c r="H26" s="228">
        <f>(E10*(E11/100)*(E25/100))+(E10*(E12/100)*(E26/100))</f>
        <v>1894.7772431506846</v>
      </c>
    </row>
    <row r="27" spans="3:8" s="142" customFormat="1" x14ac:dyDescent="0.35">
      <c r="C27" s="224" t="s">
        <v>204</v>
      </c>
      <c r="D27" s="225" t="s">
        <v>95</v>
      </c>
      <c r="E27" s="225">
        <v>10</v>
      </c>
      <c r="F27" s="303" t="s">
        <v>206</v>
      </c>
      <c r="G27" s="227" t="s">
        <v>201</v>
      </c>
      <c r="H27" s="228">
        <f>(H25*100)/(100-E29)</f>
        <v>10895.551797945203</v>
      </c>
    </row>
    <row r="28" spans="3:8" s="158" customFormat="1" ht="16.5" x14ac:dyDescent="0.35">
      <c r="C28" s="224" t="s">
        <v>205</v>
      </c>
      <c r="D28" s="225" t="s">
        <v>188</v>
      </c>
      <c r="E28" s="231">
        <v>40</v>
      </c>
      <c r="F28" s="304"/>
      <c r="G28" s="227" t="s">
        <v>266</v>
      </c>
      <c r="H28" s="228">
        <f>H27/1000</f>
        <v>10.895551797945203</v>
      </c>
    </row>
    <row r="29" spans="3:8" s="158" customFormat="1" x14ac:dyDescent="0.35">
      <c r="C29" s="256" t="s">
        <v>256</v>
      </c>
      <c r="D29" s="257" t="s">
        <v>117</v>
      </c>
      <c r="E29" s="225">
        <v>80</v>
      </c>
      <c r="F29" s="305" t="s">
        <v>207</v>
      </c>
      <c r="G29" s="227" t="s">
        <v>201</v>
      </c>
      <c r="H29" s="261">
        <f>E24-H27</f>
        <v>106054.06073603914</v>
      </c>
    </row>
    <row r="30" spans="3:8" s="158" customFormat="1" ht="17" thickBot="1" x14ac:dyDescent="0.4">
      <c r="C30" s="256"/>
      <c r="D30" s="257"/>
      <c r="E30" s="271"/>
      <c r="F30" s="306"/>
      <c r="G30" s="259" t="s">
        <v>266</v>
      </c>
      <c r="H30" s="261">
        <f>H29/1000</f>
        <v>106.05406073603915</v>
      </c>
    </row>
    <row r="31" spans="3:8" s="158" customFormat="1" ht="15" thickBot="1" x14ac:dyDescent="0.4">
      <c r="C31" s="300" t="s">
        <v>235</v>
      </c>
      <c r="D31" s="301"/>
      <c r="E31" s="301"/>
      <c r="F31" s="301"/>
      <c r="G31" s="301"/>
      <c r="H31" s="302"/>
    </row>
    <row r="32" spans="3:8" s="158" customFormat="1" ht="16.5" x14ac:dyDescent="0.35">
      <c r="C32" s="269" t="s">
        <v>209</v>
      </c>
      <c r="D32" s="270" t="s">
        <v>212</v>
      </c>
      <c r="E32" s="270">
        <f>E9</f>
        <v>116529.96575342462</v>
      </c>
      <c r="F32" s="266" t="s">
        <v>267</v>
      </c>
      <c r="G32" s="267" t="s">
        <v>257</v>
      </c>
      <c r="H32" s="268">
        <f>H7/24</f>
        <v>4.8554152397260255</v>
      </c>
    </row>
    <row r="33" spans="1:916" s="158" customFormat="1" ht="17" thickBot="1" x14ac:dyDescent="0.4">
      <c r="C33" s="229" t="s">
        <v>236</v>
      </c>
      <c r="D33" s="230" t="s">
        <v>254</v>
      </c>
      <c r="E33" s="230">
        <v>4.5</v>
      </c>
      <c r="F33" s="273" t="s">
        <v>237</v>
      </c>
      <c r="G33" s="274" t="s">
        <v>198</v>
      </c>
      <c r="H33" s="275">
        <f>H32*E33*E27</f>
        <v>218.49368578767115</v>
      </c>
    </row>
    <row r="34" spans="1:916" s="158" customFormat="1" x14ac:dyDescent="0.35">
      <c r="F34" s="232"/>
      <c r="G34" s="154"/>
      <c r="H34" s="233"/>
    </row>
    <row r="35" spans="1:916" x14ac:dyDescent="0.35">
      <c r="F35" s="165" t="s">
        <v>35</v>
      </c>
      <c r="G35" s="5"/>
      <c r="H35" s="3"/>
    </row>
    <row r="36" spans="1:916" x14ac:dyDescent="0.35">
      <c r="F36" s="2" t="str">
        <f>'Block 2 (Bioestimulant)'!A29</f>
        <v>Enzymatic reactor</v>
      </c>
      <c r="G36" s="171" t="str">
        <f>'Block 2 (Bioestimulant)'!B29</f>
        <v>m3</v>
      </c>
      <c r="H36" s="208">
        <f>'Block 2 (Bioestimulant)'!C29</f>
        <v>14.566245719178077</v>
      </c>
    </row>
    <row r="37" spans="1:916" x14ac:dyDescent="0.35">
      <c r="F37" s="2" t="str">
        <f>'Block 2 (Bioestimulant)'!A30</f>
        <v>Centrifuge</v>
      </c>
      <c r="G37" s="171" t="str">
        <f>'Block 2 (Bioestimulant)'!B30</f>
        <v>m3/h</v>
      </c>
      <c r="H37" s="208">
        <f>'Block 2 (Bioestimulant)'!C30</f>
        <v>4.8729005222493473</v>
      </c>
    </row>
    <row r="38" spans="1:916" x14ac:dyDescent="0.35">
      <c r="F38" s="2" t="str">
        <f>'Block 2 (Bioestimulant)'!A31</f>
        <v>High Pressure Homogenization</v>
      </c>
      <c r="G38" s="171" t="str">
        <f>'Block 2 (Bioestimulant)'!B31</f>
        <v>m3/h</v>
      </c>
      <c r="H38" s="208">
        <f>'Block 2 (Bioestimulant)'!C31</f>
        <v>4.8554152397260255</v>
      </c>
    </row>
    <row r="39" spans="1:916" x14ac:dyDescent="0.35">
      <c r="F39" s="2" t="str">
        <f>'Block 2 (Bioestimulant)'!A32</f>
        <v>Final tank</v>
      </c>
      <c r="G39" s="171" t="str">
        <f>'Block 2 (Bioestimulant)'!B32</f>
        <v>m3</v>
      </c>
      <c r="H39" s="208">
        <f>'Block 2 (Bioestimulant)'!C32</f>
        <v>530.27030368019575</v>
      </c>
    </row>
    <row r="40" spans="1:916" x14ac:dyDescent="0.35">
      <c r="F40" s="2"/>
      <c r="G40" s="171"/>
      <c r="H40" s="208"/>
    </row>
    <row r="41" spans="1:916" x14ac:dyDescent="0.35">
      <c r="F41" s="2"/>
      <c r="G41" s="171"/>
      <c r="H41" s="208"/>
    </row>
    <row r="42" spans="1:916" x14ac:dyDescent="0.35">
      <c r="F42" s="2"/>
      <c r="G42" s="171"/>
      <c r="H42" s="208"/>
    </row>
    <row r="43" spans="1:916" x14ac:dyDescent="0.35">
      <c r="F43" s="2"/>
      <c r="G43" s="171"/>
      <c r="H43" s="152"/>
    </row>
    <row r="44" spans="1:916" x14ac:dyDescent="0.35">
      <c r="F44" s="2"/>
      <c r="G44" s="171"/>
      <c r="H44" s="152"/>
    </row>
    <row r="45" spans="1:916" x14ac:dyDescent="0.35">
      <c r="F45" s="2"/>
      <c r="G45" s="171"/>
      <c r="H45" s="173"/>
    </row>
    <row r="46" spans="1:916" s="174" customFormat="1" x14ac:dyDescent="0.35">
      <c r="A46"/>
      <c r="B46"/>
      <c r="C46"/>
      <c r="D46"/>
      <c r="E46"/>
      <c r="F46" s="165" t="s">
        <v>39</v>
      </c>
      <c r="G46" s="5"/>
      <c r="H46" s="153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  <c r="EF46"/>
      <c r="EG46"/>
      <c r="EH46"/>
      <c r="EI46"/>
      <c r="EJ46"/>
      <c r="EK46"/>
      <c r="EL46"/>
      <c r="EM46"/>
      <c r="EN46"/>
      <c r="EO46"/>
      <c r="EP46"/>
      <c r="EQ46"/>
      <c r="ER46"/>
      <c r="ES46"/>
      <c r="ET46"/>
      <c r="EU46"/>
      <c r="EV46"/>
      <c r="EW46"/>
      <c r="EX46"/>
      <c r="EY46"/>
      <c r="EZ46"/>
      <c r="FA46"/>
      <c r="FB46"/>
      <c r="FC46"/>
      <c r="FD46"/>
      <c r="FE46"/>
      <c r="FF46"/>
      <c r="FG46"/>
      <c r="FH46"/>
      <c r="FI46"/>
      <c r="FJ46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  <c r="GL46"/>
      <c r="GM46"/>
      <c r="GN46"/>
      <c r="GO46"/>
      <c r="GP46"/>
      <c r="GQ46"/>
      <c r="GR46"/>
      <c r="GS46"/>
      <c r="GT46"/>
      <c r="GU46"/>
      <c r="GV46"/>
      <c r="GW46"/>
      <c r="GX46"/>
      <c r="GY46"/>
      <c r="GZ46"/>
      <c r="HA46"/>
      <c r="HB46"/>
      <c r="HC46"/>
      <c r="HD46"/>
      <c r="HE46"/>
      <c r="HF46"/>
      <c r="HG46"/>
      <c r="HH46"/>
      <c r="HI46"/>
      <c r="HJ46"/>
      <c r="HK46"/>
      <c r="HL46"/>
      <c r="HM46"/>
      <c r="HN46"/>
      <c r="HO46"/>
      <c r="HP46"/>
      <c r="HQ46"/>
      <c r="HR46"/>
      <c r="HS46"/>
      <c r="HT46"/>
      <c r="HU46"/>
      <c r="HV46"/>
      <c r="HW46"/>
      <c r="HX46"/>
      <c r="HY46"/>
      <c r="HZ46"/>
      <c r="IA46"/>
      <c r="IB46"/>
      <c r="IC46"/>
      <c r="ID46"/>
      <c r="IE46"/>
      <c r="IF46"/>
      <c r="IG46"/>
      <c r="IH46"/>
      <c r="II46"/>
      <c r="IJ46"/>
      <c r="IK46"/>
      <c r="IL46"/>
      <c r="IM46"/>
      <c r="IN46"/>
      <c r="IO46"/>
      <c r="IP46"/>
      <c r="IQ46"/>
      <c r="IR46"/>
      <c r="IS46"/>
      <c r="IT46"/>
      <c r="IU46"/>
      <c r="IV46"/>
      <c r="IW46"/>
      <c r="IX46"/>
      <c r="IY46"/>
      <c r="IZ46"/>
      <c r="JA46"/>
      <c r="JB46"/>
      <c r="JC46"/>
      <c r="JD46"/>
      <c r="JE46"/>
      <c r="JF46"/>
      <c r="JG46"/>
      <c r="JH46"/>
      <c r="JI46"/>
      <c r="JJ46"/>
      <c r="JK46"/>
      <c r="JL46"/>
      <c r="JM46"/>
      <c r="JN46"/>
      <c r="JO46"/>
      <c r="JP46"/>
      <c r="JQ46"/>
      <c r="JR46"/>
      <c r="JS46"/>
      <c r="JT46"/>
      <c r="JU46"/>
      <c r="JV46"/>
      <c r="JW46"/>
      <c r="JX46"/>
      <c r="JY46"/>
      <c r="JZ46"/>
      <c r="KA46"/>
      <c r="KB46"/>
      <c r="KC46"/>
      <c r="KD46"/>
      <c r="KE46"/>
      <c r="KF46"/>
      <c r="KG46"/>
      <c r="KH46"/>
      <c r="KI46"/>
      <c r="KJ46"/>
      <c r="KK46"/>
      <c r="KL46"/>
      <c r="KM46"/>
      <c r="KN46"/>
      <c r="KO46"/>
      <c r="KP46"/>
      <c r="KQ46"/>
      <c r="KR46"/>
      <c r="KS46"/>
      <c r="KT46"/>
      <c r="KU46"/>
      <c r="KV46"/>
      <c r="KW46"/>
      <c r="KX46"/>
      <c r="KY46"/>
      <c r="KZ46"/>
      <c r="LA46"/>
      <c r="LB46"/>
      <c r="LC46"/>
      <c r="LD46"/>
      <c r="LE46"/>
      <c r="LF46"/>
      <c r="LG46"/>
      <c r="LH46"/>
      <c r="LI46"/>
      <c r="LJ46"/>
      <c r="LK46"/>
      <c r="LL46"/>
      <c r="LM46"/>
      <c r="LN46"/>
      <c r="LO46"/>
      <c r="LP46"/>
      <c r="LQ46"/>
      <c r="LR46"/>
      <c r="LS46"/>
      <c r="LT46"/>
      <c r="LU46"/>
      <c r="LV46"/>
      <c r="LW46"/>
      <c r="LX46"/>
      <c r="LY46"/>
      <c r="LZ46"/>
      <c r="MA46"/>
      <c r="MB46"/>
      <c r="MC46"/>
      <c r="MD46"/>
      <c r="ME46"/>
      <c r="MF46"/>
      <c r="MG46"/>
      <c r="MH46"/>
      <c r="MI46"/>
      <c r="MJ46"/>
      <c r="MK46"/>
      <c r="ML46"/>
      <c r="MM46"/>
      <c r="MN46"/>
      <c r="MO46"/>
      <c r="MP46"/>
      <c r="MQ46"/>
      <c r="MR46"/>
      <c r="MS46"/>
      <c r="MT46"/>
      <c r="MU46"/>
      <c r="MV46"/>
      <c r="MW46"/>
      <c r="MX46"/>
      <c r="MY46"/>
      <c r="MZ46"/>
      <c r="NA46"/>
      <c r="NB46"/>
      <c r="NC46"/>
      <c r="ND46"/>
      <c r="NE46"/>
      <c r="NF46"/>
      <c r="NG46"/>
      <c r="NH46"/>
      <c r="NI46"/>
      <c r="NJ46"/>
      <c r="NK46"/>
      <c r="NL46"/>
      <c r="NM46"/>
      <c r="NN46"/>
      <c r="NO46"/>
      <c r="NP46"/>
      <c r="NQ46"/>
      <c r="NR46"/>
      <c r="NS46"/>
      <c r="NT46"/>
      <c r="NU46"/>
      <c r="NV46"/>
      <c r="NW46"/>
      <c r="NX46"/>
      <c r="NY46"/>
      <c r="NZ46"/>
      <c r="OA46"/>
      <c r="OB46"/>
      <c r="OC46"/>
      <c r="OD46"/>
      <c r="OE46"/>
      <c r="OF46"/>
      <c r="OG46"/>
      <c r="OH46"/>
      <c r="OI46"/>
      <c r="OJ46"/>
      <c r="OK46"/>
      <c r="OL46"/>
      <c r="OM46"/>
      <c r="ON46"/>
      <c r="OO46"/>
      <c r="OP46"/>
      <c r="OQ46"/>
      <c r="OR46"/>
      <c r="OS46"/>
      <c r="OT46"/>
      <c r="OU46"/>
      <c r="OV46"/>
      <c r="OW46"/>
      <c r="OX46"/>
      <c r="OY46"/>
      <c r="OZ46"/>
      <c r="PA46"/>
      <c r="PB46"/>
      <c r="PC46"/>
      <c r="PD46"/>
      <c r="PE46"/>
      <c r="PF46"/>
      <c r="PG46"/>
      <c r="PH46"/>
      <c r="PI46"/>
      <c r="PJ46"/>
      <c r="PK46"/>
      <c r="PL46"/>
      <c r="PM46"/>
      <c r="PN46"/>
      <c r="PO46"/>
      <c r="PP46"/>
      <c r="PQ46"/>
      <c r="PR46"/>
      <c r="PS46"/>
      <c r="PT46"/>
      <c r="PU46"/>
      <c r="PV46"/>
      <c r="PW46"/>
      <c r="PX46"/>
      <c r="PY46"/>
      <c r="PZ46"/>
      <c r="QA46"/>
      <c r="QB46"/>
      <c r="QC46"/>
      <c r="QD46"/>
      <c r="QE46"/>
      <c r="QF46"/>
      <c r="QG46"/>
      <c r="QH46"/>
      <c r="QI46"/>
      <c r="QJ46"/>
      <c r="QK46"/>
      <c r="QL46"/>
      <c r="QM46"/>
      <c r="QN46"/>
      <c r="QO46"/>
      <c r="QP46"/>
      <c r="QQ46"/>
      <c r="QR46"/>
      <c r="QS46"/>
      <c r="QT46"/>
      <c r="QU46"/>
      <c r="QV46"/>
      <c r="QW46"/>
      <c r="QX46"/>
      <c r="QY46"/>
      <c r="QZ46"/>
      <c r="RA46"/>
      <c r="RB46"/>
      <c r="RC46"/>
      <c r="RD46"/>
      <c r="RE46"/>
      <c r="RF46"/>
      <c r="RG46"/>
      <c r="RH46"/>
      <c r="RI46"/>
      <c r="RJ46"/>
      <c r="RK46"/>
      <c r="RL46"/>
      <c r="RM46"/>
      <c r="RN46"/>
      <c r="RO46"/>
      <c r="RP46"/>
      <c r="RQ46"/>
      <c r="RR46"/>
      <c r="RS46"/>
      <c r="RT46"/>
      <c r="RU46"/>
      <c r="RV46"/>
      <c r="RW46"/>
      <c r="RX46"/>
      <c r="RY46"/>
      <c r="RZ46"/>
      <c r="SA46"/>
      <c r="SB46"/>
      <c r="SC46"/>
      <c r="SD46"/>
      <c r="SE46"/>
      <c r="SF46"/>
      <c r="SG46"/>
      <c r="SH46"/>
      <c r="SI46"/>
      <c r="SJ46"/>
      <c r="SK46"/>
      <c r="SL46"/>
      <c r="SM46"/>
      <c r="SN46"/>
      <c r="SO46"/>
      <c r="SP46"/>
      <c r="SQ46"/>
      <c r="SR46"/>
      <c r="SS46"/>
      <c r="ST46"/>
      <c r="SU46"/>
      <c r="SV46"/>
      <c r="SW46"/>
      <c r="SX46"/>
      <c r="SY46"/>
      <c r="SZ46"/>
      <c r="TA46"/>
      <c r="TB46"/>
      <c r="TC46"/>
      <c r="TD46"/>
      <c r="TE46"/>
      <c r="TF46"/>
      <c r="TG46"/>
      <c r="TH46"/>
      <c r="TI46"/>
      <c r="TJ46"/>
      <c r="TK46"/>
      <c r="TL46"/>
      <c r="TM46"/>
      <c r="TN46"/>
      <c r="TO46"/>
      <c r="TP46"/>
      <c r="TQ46"/>
      <c r="TR46"/>
      <c r="TS46"/>
      <c r="TT46"/>
      <c r="TU46"/>
      <c r="TV46"/>
      <c r="TW46"/>
      <c r="TX46"/>
      <c r="TY46"/>
      <c r="TZ46"/>
      <c r="UA46"/>
      <c r="UB46"/>
      <c r="UC46"/>
      <c r="UD46"/>
      <c r="UE46"/>
      <c r="UF46"/>
      <c r="UG46"/>
      <c r="UH46"/>
      <c r="UI46"/>
      <c r="UJ46"/>
      <c r="UK46"/>
      <c r="UL46"/>
      <c r="UM46"/>
      <c r="UN46"/>
      <c r="UO46"/>
      <c r="UP46"/>
      <c r="UQ46"/>
      <c r="UR46"/>
      <c r="US46"/>
      <c r="UT46"/>
      <c r="UU46"/>
      <c r="UV46"/>
      <c r="UW46"/>
      <c r="UX46"/>
      <c r="UY46"/>
      <c r="UZ46"/>
      <c r="VA46"/>
      <c r="VB46"/>
      <c r="VC46"/>
      <c r="VD46"/>
      <c r="VE46"/>
      <c r="VF46"/>
      <c r="VG46"/>
      <c r="VH46"/>
      <c r="VI46"/>
      <c r="VJ46"/>
      <c r="VK46"/>
      <c r="VL46"/>
      <c r="VM46"/>
      <c r="VN46"/>
      <c r="VO46"/>
      <c r="VP46"/>
      <c r="VQ46"/>
      <c r="VR46"/>
      <c r="VS46"/>
      <c r="VT46"/>
      <c r="VU46"/>
      <c r="VV46"/>
      <c r="VW46"/>
      <c r="VX46"/>
      <c r="VY46"/>
      <c r="VZ46"/>
      <c r="WA46"/>
      <c r="WB46"/>
      <c r="WC46"/>
      <c r="WD46"/>
      <c r="WE46"/>
      <c r="WF46"/>
      <c r="WG46"/>
      <c r="WH46"/>
      <c r="WI46"/>
      <c r="WJ46"/>
      <c r="WK46"/>
      <c r="WL46"/>
      <c r="WM46"/>
      <c r="WN46"/>
      <c r="WO46"/>
      <c r="WP46"/>
      <c r="WQ46"/>
      <c r="WR46"/>
      <c r="WS46"/>
      <c r="WT46"/>
      <c r="WU46"/>
      <c r="WV46"/>
      <c r="WW46"/>
      <c r="WX46"/>
      <c r="WY46"/>
      <c r="WZ46"/>
      <c r="XA46"/>
      <c r="XB46"/>
      <c r="XC46"/>
      <c r="XD46"/>
      <c r="XE46"/>
      <c r="XF46"/>
      <c r="XG46"/>
      <c r="XH46"/>
      <c r="XI46"/>
      <c r="XJ46"/>
      <c r="XK46"/>
      <c r="XL46"/>
      <c r="XM46"/>
      <c r="XN46"/>
      <c r="XO46"/>
      <c r="XP46"/>
      <c r="XQ46"/>
      <c r="XR46"/>
      <c r="XS46"/>
      <c r="XT46"/>
      <c r="XU46"/>
      <c r="XV46"/>
      <c r="XW46"/>
      <c r="XX46"/>
      <c r="XY46"/>
      <c r="XZ46"/>
      <c r="YA46"/>
      <c r="YB46"/>
      <c r="YC46"/>
      <c r="YD46"/>
      <c r="YE46"/>
      <c r="YF46"/>
      <c r="YG46"/>
      <c r="YH46"/>
      <c r="YI46"/>
      <c r="YJ46"/>
      <c r="YK46"/>
      <c r="YL46"/>
      <c r="YM46"/>
      <c r="YN46"/>
      <c r="YO46"/>
      <c r="YP46"/>
      <c r="YQ46"/>
      <c r="YR46"/>
      <c r="YS46"/>
      <c r="YT46"/>
      <c r="YU46"/>
      <c r="YV46"/>
      <c r="YW46"/>
      <c r="YX46"/>
      <c r="YY46"/>
      <c r="YZ46"/>
      <c r="ZA46"/>
      <c r="ZB46"/>
      <c r="ZC46"/>
      <c r="ZD46"/>
      <c r="ZE46"/>
      <c r="ZF46"/>
      <c r="ZG46"/>
      <c r="ZH46"/>
      <c r="ZI46"/>
      <c r="ZJ46"/>
      <c r="ZK46"/>
      <c r="ZL46"/>
      <c r="ZM46"/>
      <c r="ZN46"/>
      <c r="ZO46"/>
      <c r="ZP46"/>
      <c r="ZQ46"/>
      <c r="ZR46"/>
      <c r="ZS46"/>
      <c r="ZT46"/>
      <c r="ZU46"/>
      <c r="ZV46"/>
      <c r="ZW46"/>
      <c r="ZX46"/>
      <c r="ZY46"/>
      <c r="ZZ46"/>
      <c r="AAA46"/>
      <c r="AAB46"/>
      <c r="AAC46"/>
      <c r="AAD46"/>
      <c r="AAE46"/>
      <c r="AAF46"/>
      <c r="AAG46"/>
      <c r="AAH46"/>
      <c r="AAI46"/>
      <c r="AAJ46"/>
      <c r="AAK46"/>
      <c r="AAL46"/>
      <c r="AAM46"/>
      <c r="AAN46"/>
      <c r="AAO46"/>
      <c r="AAP46"/>
      <c r="AAQ46"/>
      <c r="AAR46"/>
      <c r="AAS46"/>
      <c r="AAT46"/>
      <c r="AAU46"/>
      <c r="AAV46"/>
      <c r="AAW46"/>
      <c r="AAX46"/>
      <c r="AAY46"/>
      <c r="AAZ46"/>
      <c r="ABA46"/>
      <c r="ABB46"/>
      <c r="ABC46"/>
      <c r="ABD46"/>
      <c r="ABE46"/>
      <c r="ABF46"/>
      <c r="ABG46"/>
      <c r="ABH46"/>
      <c r="ABI46"/>
      <c r="ABJ46"/>
      <c r="ABK46"/>
      <c r="ABL46"/>
      <c r="ABM46"/>
      <c r="ABN46"/>
      <c r="ABO46"/>
      <c r="ABP46"/>
      <c r="ABQ46"/>
      <c r="ABR46"/>
      <c r="ABS46"/>
      <c r="ABT46"/>
      <c r="ABU46"/>
      <c r="ABV46"/>
      <c r="ABW46"/>
      <c r="ABX46"/>
      <c r="ABY46"/>
      <c r="ABZ46"/>
      <c r="ACA46"/>
      <c r="ACB46"/>
      <c r="ACC46"/>
      <c r="ACD46"/>
      <c r="ACE46"/>
      <c r="ACF46"/>
      <c r="ACG46"/>
      <c r="ACH46"/>
      <c r="ACI46"/>
      <c r="ACJ46"/>
      <c r="ACK46"/>
      <c r="ACL46"/>
      <c r="ACM46"/>
      <c r="ACN46"/>
      <c r="ACO46"/>
      <c r="ACP46"/>
      <c r="ACQ46"/>
      <c r="ACR46"/>
      <c r="ACS46"/>
      <c r="ACT46"/>
      <c r="ACU46"/>
      <c r="ACV46"/>
      <c r="ACW46"/>
      <c r="ACX46"/>
      <c r="ACY46"/>
      <c r="ACZ46"/>
      <c r="ADA46"/>
      <c r="ADB46"/>
      <c r="ADC46"/>
      <c r="ADD46"/>
      <c r="ADE46"/>
      <c r="ADF46"/>
      <c r="ADG46"/>
      <c r="ADH46"/>
      <c r="ADI46"/>
      <c r="ADJ46"/>
      <c r="ADK46"/>
      <c r="ADL46"/>
      <c r="ADM46"/>
      <c r="ADN46"/>
      <c r="ADO46"/>
      <c r="ADP46"/>
      <c r="ADQ46"/>
      <c r="ADR46"/>
      <c r="ADS46"/>
      <c r="ADT46"/>
      <c r="ADU46"/>
      <c r="ADV46"/>
      <c r="ADW46"/>
      <c r="ADX46"/>
      <c r="ADY46"/>
      <c r="ADZ46"/>
      <c r="AEA46"/>
      <c r="AEB46"/>
      <c r="AEC46"/>
      <c r="AED46"/>
      <c r="AEE46"/>
      <c r="AEF46"/>
      <c r="AEG46"/>
      <c r="AEH46"/>
      <c r="AEI46"/>
      <c r="AEJ46"/>
      <c r="AEK46"/>
      <c r="AEL46"/>
      <c r="AEM46"/>
      <c r="AEN46"/>
      <c r="AEO46"/>
      <c r="AEP46"/>
      <c r="AEQ46"/>
      <c r="AER46"/>
      <c r="AES46"/>
      <c r="AET46"/>
      <c r="AEU46"/>
      <c r="AEV46"/>
      <c r="AEW46"/>
      <c r="AEX46"/>
      <c r="AEY46"/>
      <c r="AEZ46"/>
      <c r="AFA46"/>
      <c r="AFB46"/>
      <c r="AFC46"/>
      <c r="AFD46"/>
      <c r="AFE46"/>
      <c r="AFF46"/>
      <c r="AFG46"/>
      <c r="AFH46"/>
      <c r="AFI46"/>
      <c r="AFJ46"/>
      <c r="AFK46"/>
      <c r="AFL46"/>
      <c r="AFM46"/>
      <c r="AFN46"/>
      <c r="AFO46"/>
      <c r="AFP46"/>
      <c r="AFQ46"/>
      <c r="AFR46"/>
      <c r="AFS46"/>
      <c r="AFT46"/>
      <c r="AFU46"/>
      <c r="AFV46"/>
      <c r="AFW46"/>
      <c r="AFX46"/>
      <c r="AFY46"/>
      <c r="AFZ46"/>
      <c r="AGA46"/>
      <c r="AGB46"/>
      <c r="AGC46"/>
      <c r="AGD46"/>
      <c r="AGE46"/>
      <c r="AGF46"/>
      <c r="AGG46"/>
      <c r="AGH46"/>
      <c r="AGI46"/>
      <c r="AGJ46"/>
      <c r="AGK46"/>
      <c r="AGL46"/>
      <c r="AGM46"/>
      <c r="AGN46"/>
      <c r="AGO46"/>
      <c r="AGP46"/>
      <c r="AGQ46"/>
      <c r="AGR46"/>
      <c r="AGS46"/>
      <c r="AGT46"/>
      <c r="AGU46"/>
      <c r="AGV46"/>
      <c r="AGW46"/>
      <c r="AGX46"/>
      <c r="AGY46"/>
      <c r="AGZ46"/>
      <c r="AHA46"/>
      <c r="AHB46"/>
      <c r="AHC46"/>
      <c r="AHD46"/>
      <c r="AHE46"/>
      <c r="AHF46"/>
      <c r="AHG46"/>
      <c r="AHH46"/>
      <c r="AHI46"/>
      <c r="AHJ46"/>
      <c r="AHK46"/>
      <c r="AHL46"/>
      <c r="AHM46"/>
      <c r="AHN46"/>
      <c r="AHO46"/>
      <c r="AHP46"/>
      <c r="AHQ46"/>
      <c r="AHR46"/>
      <c r="AHS46"/>
      <c r="AHT46"/>
      <c r="AHU46"/>
      <c r="AHV46"/>
      <c r="AHW46"/>
      <c r="AHX46"/>
      <c r="AHY46"/>
      <c r="AHZ46"/>
      <c r="AIA46"/>
      <c r="AIB46"/>
      <c r="AIC46"/>
      <c r="AID46"/>
      <c r="AIE46"/>
      <c r="AIF46"/>
    </row>
    <row r="47" spans="1:916" x14ac:dyDescent="0.35">
      <c r="F47" s="2" t="str">
        <f>'Block 2 (Bioestimulant)'!A40</f>
        <v>Enzymatic reactor</v>
      </c>
      <c r="G47" s="171" t="str">
        <f>'Block 2 (Bioestimulant)'!B40</f>
        <v>€</v>
      </c>
      <c r="H47" s="152">
        <f>'Block 2 (Bioestimulant)'!C40</f>
        <v>64886.035046570716</v>
      </c>
    </row>
    <row r="48" spans="1:916" x14ac:dyDescent="0.35">
      <c r="F48" s="2" t="str">
        <f>'Block 2 (Bioestimulant)'!A41</f>
        <v>Centrifuge</v>
      </c>
      <c r="G48" s="171" t="str">
        <f>'Block 2 (Bioestimulant)'!B41</f>
        <v>€</v>
      </c>
      <c r="H48" s="152">
        <f>'Block 2 (Bioestimulant)'!C41</f>
        <v>12000</v>
      </c>
    </row>
    <row r="49" spans="1:916" x14ac:dyDescent="0.35">
      <c r="F49" s="2" t="str">
        <f>'Block 2 (Bioestimulant)'!A42</f>
        <v>High Pressure Homogenization</v>
      </c>
      <c r="G49" s="171" t="str">
        <f>'Block 2 (Bioestimulant)'!B42</f>
        <v>€</v>
      </c>
      <c r="H49" s="152">
        <f>'Block 2 (Bioestimulant)'!C42</f>
        <v>38308.259489038333</v>
      </c>
    </row>
    <row r="50" spans="1:916" x14ac:dyDescent="0.35">
      <c r="F50" s="2" t="str">
        <f>'Block 2 (Bioestimulant)'!A43</f>
        <v>Final tank</v>
      </c>
      <c r="G50" s="171" t="str">
        <f>'Block 2 (Bioestimulant)'!B43</f>
        <v>€</v>
      </c>
      <c r="H50" s="152">
        <f>'Block 2 (Bioestimulant)'!C43</f>
        <v>4128.7892032691943</v>
      </c>
    </row>
    <row r="51" spans="1:916" x14ac:dyDescent="0.35">
      <c r="F51" s="2"/>
      <c r="G51" s="171"/>
      <c r="H51" s="152"/>
    </row>
    <row r="52" spans="1:916" x14ac:dyDescent="0.35">
      <c r="F52" s="2"/>
      <c r="G52" s="171"/>
      <c r="H52" s="152"/>
    </row>
    <row r="53" spans="1:916" x14ac:dyDescent="0.35">
      <c r="F53" s="2"/>
      <c r="G53" s="171"/>
      <c r="H53" s="152"/>
    </row>
    <row r="54" spans="1:916" x14ac:dyDescent="0.35">
      <c r="F54" s="2"/>
      <c r="G54" s="171"/>
      <c r="H54" s="152"/>
    </row>
    <row r="55" spans="1:916" x14ac:dyDescent="0.35">
      <c r="F55" s="2"/>
      <c r="G55" s="171"/>
      <c r="H55" s="152"/>
    </row>
    <row r="56" spans="1:916" x14ac:dyDescent="0.35">
      <c r="G56" s="171"/>
      <c r="H56" s="152"/>
    </row>
    <row r="57" spans="1:916" s="174" customFormat="1" x14ac:dyDescent="0.35">
      <c r="A57"/>
      <c r="B57"/>
      <c r="C57"/>
      <c r="D57"/>
      <c r="E57"/>
      <c r="F57" s="165" t="s">
        <v>41</v>
      </c>
      <c r="G57" s="5"/>
      <c r="H57" s="153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/>
      <c r="FT57"/>
      <c r="FU57"/>
      <c r="FV57"/>
      <c r="FW57"/>
      <c r="FX57"/>
      <c r="FY57"/>
      <c r="FZ57"/>
      <c r="GA57"/>
      <c r="GB57"/>
      <c r="GC57"/>
      <c r="GD57"/>
      <c r="GE57"/>
      <c r="GF57"/>
      <c r="GG57"/>
      <c r="GH57"/>
      <c r="GI57"/>
      <c r="GJ57"/>
      <c r="GK57"/>
      <c r="GL57"/>
      <c r="GM57"/>
      <c r="GN57"/>
      <c r="GO57"/>
      <c r="GP57"/>
      <c r="GQ57"/>
      <c r="GR57"/>
      <c r="GS57"/>
      <c r="GT57"/>
      <c r="GU57"/>
      <c r="GV57"/>
      <c r="GW57"/>
      <c r="GX57"/>
      <c r="GY57"/>
      <c r="GZ57"/>
      <c r="HA57"/>
      <c r="HB57"/>
      <c r="HC57"/>
      <c r="HD57"/>
      <c r="HE57"/>
      <c r="HF57"/>
      <c r="HG57"/>
      <c r="HH57"/>
      <c r="HI57"/>
      <c r="HJ57"/>
      <c r="HK57"/>
      <c r="HL57"/>
      <c r="HM57"/>
      <c r="HN57"/>
      <c r="HO57"/>
      <c r="HP57"/>
      <c r="HQ57"/>
      <c r="HR57"/>
      <c r="HS57"/>
      <c r="HT57"/>
      <c r="HU57"/>
      <c r="HV57"/>
      <c r="HW57"/>
      <c r="HX57"/>
      <c r="HY57"/>
      <c r="HZ57"/>
      <c r="IA57"/>
      <c r="IB57"/>
      <c r="IC57"/>
      <c r="ID57"/>
      <c r="IE57"/>
      <c r="IF57"/>
      <c r="IG57"/>
      <c r="IH57"/>
      <c r="II57"/>
      <c r="IJ57"/>
      <c r="IK57"/>
      <c r="IL57"/>
      <c r="IM57"/>
      <c r="IN57"/>
      <c r="IO57"/>
      <c r="IP57"/>
      <c r="IQ57"/>
      <c r="IR57"/>
      <c r="IS57"/>
      <c r="IT57"/>
      <c r="IU57"/>
      <c r="IV57"/>
      <c r="IW57"/>
      <c r="IX57"/>
      <c r="IY57"/>
      <c r="IZ57"/>
      <c r="JA57"/>
      <c r="JB57"/>
      <c r="JC57"/>
      <c r="JD57"/>
      <c r="JE57"/>
      <c r="JF57"/>
      <c r="JG57"/>
      <c r="JH57"/>
      <c r="JI57"/>
      <c r="JJ57"/>
      <c r="JK57"/>
      <c r="JL57"/>
      <c r="JM57"/>
      <c r="JN57"/>
      <c r="JO57"/>
      <c r="JP57"/>
      <c r="JQ57"/>
      <c r="JR57"/>
      <c r="JS57"/>
      <c r="JT57"/>
      <c r="JU57"/>
      <c r="JV57"/>
      <c r="JW57"/>
      <c r="JX57"/>
      <c r="JY57"/>
      <c r="JZ57"/>
      <c r="KA57"/>
      <c r="KB57"/>
      <c r="KC57"/>
      <c r="KD57"/>
      <c r="KE57"/>
      <c r="KF57"/>
      <c r="KG57"/>
      <c r="KH57"/>
      <c r="KI57"/>
      <c r="KJ57"/>
      <c r="KK57"/>
      <c r="KL57"/>
      <c r="KM57"/>
      <c r="KN57"/>
      <c r="KO57"/>
      <c r="KP57"/>
      <c r="KQ57"/>
      <c r="KR57"/>
      <c r="KS57"/>
      <c r="KT57"/>
      <c r="KU57"/>
      <c r="KV57"/>
      <c r="KW57"/>
      <c r="KX57"/>
      <c r="KY57"/>
      <c r="KZ57"/>
      <c r="LA57"/>
      <c r="LB57"/>
      <c r="LC57"/>
      <c r="LD57"/>
      <c r="LE57"/>
      <c r="LF57"/>
      <c r="LG57"/>
      <c r="LH57"/>
      <c r="LI57"/>
      <c r="LJ57"/>
      <c r="LK57"/>
      <c r="LL57"/>
      <c r="LM57"/>
      <c r="LN57"/>
      <c r="LO57"/>
      <c r="LP57"/>
      <c r="LQ57"/>
      <c r="LR57"/>
      <c r="LS57"/>
      <c r="LT57"/>
      <c r="LU57"/>
      <c r="LV57"/>
      <c r="LW57"/>
      <c r="LX57"/>
      <c r="LY57"/>
      <c r="LZ57"/>
      <c r="MA57"/>
      <c r="MB57"/>
      <c r="MC57"/>
      <c r="MD57"/>
      <c r="ME57"/>
      <c r="MF57"/>
      <c r="MG57"/>
      <c r="MH57"/>
      <c r="MI57"/>
      <c r="MJ57"/>
      <c r="MK57"/>
      <c r="ML57"/>
      <c r="MM57"/>
      <c r="MN57"/>
      <c r="MO57"/>
      <c r="MP57"/>
      <c r="MQ57"/>
      <c r="MR57"/>
      <c r="MS57"/>
      <c r="MT57"/>
      <c r="MU57"/>
      <c r="MV57"/>
      <c r="MW57"/>
      <c r="MX57"/>
      <c r="MY57"/>
      <c r="MZ57"/>
      <c r="NA57"/>
      <c r="NB57"/>
      <c r="NC57"/>
      <c r="ND57"/>
      <c r="NE57"/>
      <c r="NF57"/>
      <c r="NG57"/>
      <c r="NH57"/>
      <c r="NI57"/>
      <c r="NJ57"/>
      <c r="NK57"/>
      <c r="NL57"/>
      <c r="NM57"/>
      <c r="NN57"/>
      <c r="NO57"/>
      <c r="NP57"/>
      <c r="NQ57"/>
      <c r="NR57"/>
      <c r="NS57"/>
      <c r="NT57"/>
      <c r="NU57"/>
      <c r="NV57"/>
      <c r="NW57"/>
      <c r="NX57"/>
      <c r="NY57"/>
      <c r="NZ57"/>
      <c r="OA57"/>
      <c r="OB57"/>
      <c r="OC57"/>
      <c r="OD57"/>
      <c r="OE57"/>
      <c r="OF57"/>
      <c r="OG57"/>
      <c r="OH57"/>
      <c r="OI57"/>
      <c r="OJ57"/>
      <c r="OK57"/>
      <c r="OL57"/>
      <c r="OM57"/>
      <c r="ON57"/>
      <c r="OO57"/>
      <c r="OP57"/>
      <c r="OQ57"/>
      <c r="OR57"/>
      <c r="OS57"/>
      <c r="OT57"/>
      <c r="OU57"/>
      <c r="OV57"/>
      <c r="OW57"/>
      <c r="OX57"/>
      <c r="OY57"/>
      <c r="OZ57"/>
      <c r="PA57"/>
      <c r="PB57"/>
      <c r="PC57"/>
      <c r="PD57"/>
      <c r="PE57"/>
      <c r="PF57"/>
      <c r="PG57"/>
      <c r="PH57"/>
      <c r="PI57"/>
      <c r="PJ57"/>
      <c r="PK57"/>
      <c r="PL57"/>
      <c r="PM57"/>
      <c r="PN57"/>
      <c r="PO57"/>
      <c r="PP57"/>
      <c r="PQ57"/>
      <c r="PR57"/>
      <c r="PS57"/>
      <c r="PT57"/>
      <c r="PU57"/>
      <c r="PV57"/>
      <c r="PW57"/>
      <c r="PX57"/>
      <c r="PY57"/>
      <c r="PZ57"/>
      <c r="QA57"/>
      <c r="QB57"/>
      <c r="QC57"/>
      <c r="QD57"/>
      <c r="QE57"/>
      <c r="QF57"/>
      <c r="QG57"/>
      <c r="QH57"/>
      <c r="QI57"/>
      <c r="QJ57"/>
      <c r="QK57"/>
      <c r="QL57"/>
      <c r="QM57"/>
      <c r="QN57"/>
      <c r="QO57"/>
      <c r="QP57"/>
      <c r="QQ57"/>
      <c r="QR57"/>
      <c r="QS57"/>
      <c r="QT57"/>
      <c r="QU57"/>
      <c r="QV57"/>
      <c r="QW57"/>
      <c r="QX57"/>
      <c r="QY57"/>
      <c r="QZ57"/>
      <c r="RA57"/>
      <c r="RB57"/>
      <c r="RC57"/>
      <c r="RD57"/>
      <c r="RE57"/>
      <c r="RF57"/>
      <c r="RG57"/>
      <c r="RH57"/>
      <c r="RI57"/>
      <c r="RJ57"/>
      <c r="RK57"/>
      <c r="RL57"/>
      <c r="RM57"/>
      <c r="RN57"/>
      <c r="RO57"/>
      <c r="RP57"/>
      <c r="RQ57"/>
      <c r="RR57"/>
      <c r="RS57"/>
      <c r="RT57"/>
      <c r="RU57"/>
      <c r="RV57"/>
      <c r="RW57"/>
      <c r="RX57"/>
      <c r="RY57"/>
      <c r="RZ57"/>
      <c r="SA57"/>
      <c r="SB57"/>
      <c r="SC57"/>
      <c r="SD57"/>
      <c r="SE57"/>
      <c r="SF57"/>
      <c r="SG57"/>
      <c r="SH57"/>
      <c r="SI57"/>
      <c r="SJ57"/>
      <c r="SK57"/>
      <c r="SL57"/>
      <c r="SM57"/>
      <c r="SN57"/>
      <c r="SO57"/>
      <c r="SP57"/>
      <c r="SQ57"/>
      <c r="SR57"/>
      <c r="SS57"/>
      <c r="ST57"/>
      <c r="SU57"/>
      <c r="SV57"/>
      <c r="SW57"/>
      <c r="SX57"/>
      <c r="SY57"/>
      <c r="SZ57"/>
      <c r="TA57"/>
      <c r="TB57"/>
      <c r="TC57"/>
      <c r="TD57"/>
      <c r="TE57"/>
      <c r="TF57"/>
      <c r="TG57"/>
      <c r="TH57"/>
      <c r="TI57"/>
      <c r="TJ57"/>
      <c r="TK57"/>
      <c r="TL57"/>
      <c r="TM57"/>
      <c r="TN57"/>
      <c r="TO57"/>
      <c r="TP57"/>
      <c r="TQ57"/>
      <c r="TR57"/>
      <c r="TS57"/>
      <c r="TT57"/>
      <c r="TU57"/>
      <c r="TV57"/>
      <c r="TW57"/>
      <c r="TX57"/>
      <c r="TY57"/>
      <c r="TZ57"/>
      <c r="UA57"/>
      <c r="UB57"/>
      <c r="UC57"/>
      <c r="UD57"/>
      <c r="UE57"/>
      <c r="UF57"/>
      <c r="UG57"/>
      <c r="UH57"/>
      <c r="UI57"/>
      <c r="UJ57"/>
      <c r="UK57"/>
      <c r="UL57"/>
      <c r="UM57"/>
      <c r="UN57"/>
      <c r="UO57"/>
      <c r="UP57"/>
      <c r="UQ57"/>
      <c r="UR57"/>
      <c r="US57"/>
      <c r="UT57"/>
      <c r="UU57"/>
      <c r="UV57"/>
      <c r="UW57"/>
      <c r="UX57"/>
      <c r="UY57"/>
      <c r="UZ57"/>
      <c r="VA57"/>
      <c r="VB57"/>
      <c r="VC57"/>
      <c r="VD57"/>
      <c r="VE57"/>
      <c r="VF57"/>
      <c r="VG57"/>
      <c r="VH57"/>
      <c r="VI57"/>
      <c r="VJ57"/>
      <c r="VK57"/>
      <c r="VL57"/>
      <c r="VM57"/>
      <c r="VN57"/>
      <c r="VO57"/>
      <c r="VP57"/>
      <c r="VQ57"/>
      <c r="VR57"/>
      <c r="VS57"/>
      <c r="VT57"/>
      <c r="VU57"/>
      <c r="VV57"/>
      <c r="VW57"/>
      <c r="VX57"/>
      <c r="VY57"/>
      <c r="VZ57"/>
      <c r="WA57"/>
      <c r="WB57"/>
      <c r="WC57"/>
      <c r="WD57"/>
      <c r="WE57"/>
      <c r="WF57"/>
      <c r="WG57"/>
      <c r="WH57"/>
      <c r="WI57"/>
      <c r="WJ57"/>
      <c r="WK57"/>
      <c r="WL57"/>
      <c r="WM57"/>
      <c r="WN57"/>
      <c r="WO57"/>
      <c r="WP57"/>
      <c r="WQ57"/>
      <c r="WR57"/>
      <c r="WS57"/>
      <c r="WT57"/>
      <c r="WU57"/>
      <c r="WV57"/>
      <c r="WW57"/>
      <c r="WX57"/>
      <c r="WY57"/>
      <c r="WZ57"/>
      <c r="XA57"/>
      <c r="XB57"/>
      <c r="XC57"/>
      <c r="XD57"/>
      <c r="XE57"/>
      <c r="XF57"/>
      <c r="XG57"/>
      <c r="XH57"/>
      <c r="XI57"/>
      <c r="XJ57"/>
      <c r="XK57"/>
      <c r="XL57"/>
      <c r="XM57"/>
      <c r="XN57"/>
      <c r="XO57"/>
      <c r="XP57"/>
      <c r="XQ57"/>
      <c r="XR57"/>
      <c r="XS57"/>
      <c r="XT57"/>
      <c r="XU57"/>
      <c r="XV57"/>
      <c r="XW57"/>
      <c r="XX57"/>
      <c r="XY57"/>
      <c r="XZ57"/>
      <c r="YA57"/>
      <c r="YB57"/>
      <c r="YC57"/>
      <c r="YD57"/>
      <c r="YE57"/>
      <c r="YF57"/>
      <c r="YG57"/>
      <c r="YH57"/>
      <c r="YI57"/>
      <c r="YJ57"/>
      <c r="YK57"/>
      <c r="YL57"/>
      <c r="YM57"/>
      <c r="YN57"/>
      <c r="YO57"/>
      <c r="YP57"/>
      <c r="YQ57"/>
      <c r="YR57"/>
      <c r="YS57"/>
      <c r="YT57"/>
      <c r="YU57"/>
      <c r="YV57"/>
      <c r="YW57"/>
      <c r="YX57"/>
      <c r="YY57"/>
      <c r="YZ57"/>
      <c r="ZA57"/>
      <c r="ZB57"/>
      <c r="ZC57"/>
      <c r="ZD57"/>
      <c r="ZE57"/>
      <c r="ZF57"/>
      <c r="ZG57"/>
      <c r="ZH57"/>
      <c r="ZI57"/>
      <c r="ZJ57"/>
      <c r="ZK57"/>
      <c r="ZL57"/>
      <c r="ZM57"/>
      <c r="ZN57"/>
      <c r="ZO57"/>
      <c r="ZP57"/>
      <c r="ZQ57"/>
      <c r="ZR57"/>
      <c r="ZS57"/>
      <c r="ZT57"/>
      <c r="ZU57"/>
      <c r="ZV57"/>
      <c r="ZW57"/>
      <c r="ZX57"/>
      <c r="ZY57"/>
      <c r="ZZ57"/>
      <c r="AAA57"/>
      <c r="AAB57"/>
      <c r="AAC57"/>
      <c r="AAD57"/>
      <c r="AAE57"/>
      <c r="AAF57"/>
      <c r="AAG57"/>
      <c r="AAH57"/>
      <c r="AAI57"/>
      <c r="AAJ57"/>
      <c r="AAK57"/>
      <c r="AAL57"/>
      <c r="AAM57"/>
      <c r="AAN57"/>
      <c r="AAO57"/>
      <c r="AAP57"/>
      <c r="AAQ57"/>
      <c r="AAR57"/>
      <c r="AAS57"/>
      <c r="AAT57"/>
      <c r="AAU57"/>
      <c r="AAV57"/>
      <c r="AAW57"/>
      <c r="AAX57"/>
      <c r="AAY57"/>
      <c r="AAZ57"/>
      <c r="ABA57"/>
      <c r="ABB57"/>
      <c r="ABC57"/>
      <c r="ABD57"/>
      <c r="ABE57"/>
      <c r="ABF57"/>
      <c r="ABG57"/>
      <c r="ABH57"/>
      <c r="ABI57"/>
      <c r="ABJ57"/>
      <c r="ABK57"/>
      <c r="ABL57"/>
      <c r="ABM57"/>
      <c r="ABN57"/>
      <c r="ABO57"/>
      <c r="ABP57"/>
      <c r="ABQ57"/>
      <c r="ABR57"/>
      <c r="ABS57"/>
      <c r="ABT57"/>
      <c r="ABU57"/>
      <c r="ABV57"/>
      <c r="ABW57"/>
      <c r="ABX57"/>
      <c r="ABY57"/>
      <c r="ABZ57"/>
      <c r="ACA57"/>
      <c r="ACB57"/>
      <c r="ACC57"/>
      <c r="ACD57"/>
      <c r="ACE57"/>
      <c r="ACF57"/>
      <c r="ACG57"/>
      <c r="ACH57"/>
      <c r="ACI57"/>
      <c r="ACJ57"/>
      <c r="ACK57"/>
      <c r="ACL57"/>
      <c r="ACM57"/>
      <c r="ACN57"/>
      <c r="ACO57"/>
      <c r="ACP57"/>
      <c r="ACQ57"/>
      <c r="ACR57"/>
      <c r="ACS57"/>
      <c r="ACT57"/>
      <c r="ACU57"/>
      <c r="ACV57"/>
      <c r="ACW57"/>
      <c r="ACX57"/>
      <c r="ACY57"/>
      <c r="ACZ57"/>
      <c r="ADA57"/>
      <c r="ADB57"/>
      <c r="ADC57"/>
      <c r="ADD57"/>
      <c r="ADE57"/>
      <c r="ADF57"/>
      <c r="ADG57"/>
      <c r="ADH57"/>
      <c r="ADI57"/>
      <c r="ADJ57"/>
      <c r="ADK57"/>
      <c r="ADL57"/>
      <c r="ADM57"/>
      <c r="ADN57"/>
      <c r="ADO57"/>
      <c r="ADP57"/>
      <c r="ADQ57"/>
      <c r="ADR57"/>
      <c r="ADS57"/>
      <c r="ADT57"/>
      <c r="ADU57"/>
      <c r="ADV57"/>
      <c r="ADW57"/>
      <c r="ADX57"/>
      <c r="ADY57"/>
      <c r="ADZ57"/>
      <c r="AEA57"/>
      <c r="AEB57"/>
      <c r="AEC57"/>
      <c r="AED57"/>
      <c r="AEE57"/>
      <c r="AEF57"/>
      <c r="AEG57"/>
      <c r="AEH57"/>
      <c r="AEI57"/>
      <c r="AEJ57"/>
      <c r="AEK57"/>
      <c r="AEL57"/>
      <c r="AEM57"/>
      <c r="AEN57"/>
      <c r="AEO57"/>
      <c r="AEP57"/>
      <c r="AEQ57"/>
      <c r="AER57"/>
      <c r="AES57"/>
      <c r="AET57"/>
      <c r="AEU57"/>
      <c r="AEV57"/>
      <c r="AEW57"/>
      <c r="AEX57"/>
      <c r="AEY57"/>
      <c r="AEZ57"/>
      <c r="AFA57"/>
      <c r="AFB57"/>
      <c r="AFC57"/>
      <c r="AFD57"/>
      <c r="AFE57"/>
      <c r="AFF57"/>
      <c r="AFG57"/>
      <c r="AFH57"/>
      <c r="AFI57"/>
      <c r="AFJ57"/>
      <c r="AFK57"/>
      <c r="AFL57"/>
      <c r="AFM57"/>
      <c r="AFN57"/>
      <c r="AFO57"/>
      <c r="AFP57"/>
      <c r="AFQ57"/>
      <c r="AFR57"/>
      <c r="AFS57"/>
      <c r="AFT57"/>
      <c r="AFU57"/>
      <c r="AFV57"/>
      <c r="AFW57"/>
      <c r="AFX57"/>
      <c r="AFY57"/>
      <c r="AFZ57"/>
      <c r="AGA57"/>
      <c r="AGB57"/>
      <c r="AGC57"/>
      <c r="AGD57"/>
      <c r="AGE57"/>
      <c r="AGF57"/>
      <c r="AGG57"/>
      <c r="AGH57"/>
      <c r="AGI57"/>
      <c r="AGJ57"/>
      <c r="AGK57"/>
      <c r="AGL57"/>
      <c r="AGM57"/>
      <c r="AGN57"/>
      <c r="AGO57"/>
      <c r="AGP57"/>
      <c r="AGQ57"/>
      <c r="AGR57"/>
      <c r="AGS57"/>
      <c r="AGT57"/>
      <c r="AGU57"/>
      <c r="AGV57"/>
      <c r="AGW57"/>
      <c r="AGX57"/>
      <c r="AGY57"/>
      <c r="AGZ57"/>
      <c r="AHA57"/>
      <c r="AHB57"/>
      <c r="AHC57"/>
      <c r="AHD57"/>
      <c r="AHE57"/>
      <c r="AHF57"/>
      <c r="AHG57"/>
      <c r="AHH57"/>
      <c r="AHI57"/>
      <c r="AHJ57"/>
      <c r="AHK57"/>
      <c r="AHL57"/>
      <c r="AHM57"/>
      <c r="AHN57"/>
      <c r="AHO57"/>
      <c r="AHP57"/>
      <c r="AHQ57"/>
      <c r="AHR57"/>
      <c r="AHS57"/>
      <c r="AHT57"/>
      <c r="AHU57"/>
      <c r="AHV57"/>
      <c r="AHW57"/>
      <c r="AHX57"/>
      <c r="AHY57"/>
      <c r="AHZ57"/>
      <c r="AIA57"/>
      <c r="AIB57"/>
      <c r="AIC57"/>
      <c r="AID57"/>
      <c r="AIE57"/>
      <c r="AIF57"/>
    </row>
    <row r="58" spans="1:916" x14ac:dyDescent="0.35">
      <c r="F58" s="2" t="str">
        <f>'Block 2 (Bioestimulant)'!A51</f>
        <v>Major purchased equipment</v>
      </c>
      <c r="G58" s="171" t="str">
        <f>'Block 2 (Bioestimulant)'!B51</f>
        <v>€</v>
      </c>
      <c r="H58" s="152">
        <f>'Block 2 (Bioestimulant)'!C51</f>
        <v>119323.08373887824</v>
      </c>
    </row>
    <row r="59" spans="1:916" x14ac:dyDescent="0.35">
      <c r="F59" s="2" t="str">
        <f>'Block 2 (Bioestimulant)'!A52</f>
        <v>Installation costs</v>
      </c>
      <c r="G59" s="171" t="str">
        <f>'Block 2 (Bioestimulant)'!B52</f>
        <v>€</v>
      </c>
      <c r="H59" s="152">
        <f>'Block 2 (Bioestimulant)'!C52</f>
        <v>23864.61674777565</v>
      </c>
    </row>
    <row r="60" spans="1:916" x14ac:dyDescent="0.35">
      <c r="F60" s="2" t="str">
        <f>'Block 2 (Bioestimulant)'!A53</f>
        <v>Instrumentation and control</v>
      </c>
      <c r="G60" s="171" t="str">
        <f>'Block 2 (Bioestimulant)'!B53</f>
        <v>€</v>
      </c>
      <c r="H60" s="152">
        <f>'Block 2 (Bioestimulant)'!C53</f>
        <v>23864.61674777565</v>
      </c>
    </row>
    <row r="61" spans="1:916" x14ac:dyDescent="0.35">
      <c r="F61" s="2" t="str">
        <f>'Block 2 (Bioestimulant)'!A54</f>
        <v>Piping</v>
      </c>
      <c r="G61" s="171" t="str">
        <f>'Block 2 (Bioestimulant)'!B54</f>
        <v>€</v>
      </c>
      <c r="H61" s="152">
        <f>'Block 2 (Bioestimulant)'!C54</f>
        <v>35796.925121663473</v>
      </c>
    </row>
    <row r="62" spans="1:916" x14ac:dyDescent="0.35">
      <c r="F62" s="2" t="str">
        <f>'Block 2 (Bioestimulant)'!A55</f>
        <v>Electrical</v>
      </c>
      <c r="G62" s="171" t="str">
        <f>'Block 2 (Bioestimulant)'!B55</f>
        <v>€</v>
      </c>
      <c r="H62" s="152">
        <f>'Block 2 (Bioestimulant)'!C55</f>
        <v>11932.308373887825</v>
      </c>
    </row>
    <row r="63" spans="1:916" x14ac:dyDescent="0.35">
      <c r="F63" s="2" t="str">
        <f>'Block 2 (Bioestimulant)'!A56</f>
        <v>Buildings</v>
      </c>
      <c r="G63" s="171" t="str">
        <f>'Block 2 (Bioestimulant)'!B56</f>
        <v>€</v>
      </c>
      <c r="H63" s="152">
        <f>'Block 2 (Bioestimulant)'!C56</f>
        <v>11932.308373887825</v>
      </c>
    </row>
    <row r="64" spans="1:916" x14ac:dyDescent="0.35">
      <c r="F64" s="2" t="str">
        <f>'Block 2 (Bioestimulant)'!A57</f>
        <v>Yard improvements</v>
      </c>
      <c r="G64" s="171" t="str">
        <f>'Block 2 (Bioestimulant)'!B57</f>
        <v>€</v>
      </c>
      <c r="H64" s="152">
        <f>'Block 2 (Bioestimulant)'!C57</f>
        <v>5966.1541869439125</v>
      </c>
    </row>
    <row r="65" spans="1:916" x14ac:dyDescent="0.35">
      <c r="F65" s="2" t="str">
        <f>'Block 2 (Bioestimulant)'!A58</f>
        <v>Service facilities</v>
      </c>
      <c r="G65" s="171" t="str">
        <f>'Block 2 (Bioestimulant)'!B58</f>
        <v>€</v>
      </c>
      <c r="H65" s="152">
        <f>'Block 2 (Bioestimulant)'!C58</f>
        <v>23864.61674777565</v>
      </c>
    </row>
    <row r="66" spans="1:916" x14ac:dyDescent="0.35">
      <c r="F66" s="2" t="str">
        <f>'Block 2 (Bioestimulant)'!A59</f>
        <v>Land</v>
      </c>
      <c r="G66" s="171" t="str">
        <f>'Block 2 (Bioestimulant)'!B59</f>
        <v>€</v>
      </c>
      <c r="H66" s="152">
        <f>'Block 2 (Bioestimulant)'!C59</f>
        <v>0</v>
      </c>
    </row>
    <row r="67" spans="1:916" x14ac:dyDescent="0.35">
      <c r="F67" s="2" t="str">
        <f>'Block 2 (Bioestimulant)'!A60</f>
        <v>Engineering and supervision</v>
      </c>
      <c r="G67" s="171" t="str">
        <f>'Block 2 (Bioestimulant)'!B60</f>
        <v>€</v>
      </c>
      <c r="H67" s="152">
        <f>'Block 2 (Bioestimulant)'!C60</f>
        <v>23864.61674777565</v>
      </c>
    </row>
    <row r="68" spans="1:916" x14ac:dyDescent="0.35">
      <c r="F68" s="2" t="str">
        <f>'Block 2 (Bioestimulant)'!A61</f>
        <v>Construction expenses</v>
      </c>
      <c r="G68" s="171" t="str">
        <f>'Block 2 (Bioestimulant)'!B61</f>
        <v>€</v>
      </c>
      <c r="H68" s="152">
        <f>'Block 2 (Bioestimulant)'!C61</f>
        <v>76963.389011576466</v>
      </c>
    </row>
    <row r="69" spans="1:916" x14ac:dyDescent="0.35">
      <c r="F69" s="2" t="str">
        <f>'Block 2 (Bioestimulant)'!A62</f>
        <v>Contractor's fee</v>
      </c>
      <c r="G69" s="171" t="str">
        <f>'Block 2 (Bioestimulant)'!B62</f>
        <v>€</v>
      </c>
      <c r="H69" s="152">
        <f>'Block 2 (Bioestimulant)'!C62</f>
        <v>7696.3389011576464</v>
      </c>
    </row>
    <row r="70" spans="1:916" x14ac:dyDescent="0.35">
      <c r="F70" s="2" t="str">
        <f>'Block 2 (Bioestimulant)'!A63</f>
        <v>Contingency</v>
      </c>
      <c r="G70" s="171" t="str">
        <f>'Block 2 (Bioestimulant)'!B63</f>
        <v>€</v>
      </c>
      <c r="H70" s="152">
        <f>'Block 2 (Bioestimulant)'!C63</f>
        <v>25554.828228936865</v>
      </c>
    </row>
    <row r="71" spans="1:916" s="2" customFormat="1" x14ac:dyDescent="0.35">
      <c r="F71" s="2" t="str">
        <f>'Block 2 (Bioestimulant)'!A64</f>
        <v>Total fix capital</v>
      </c>
      <c r="G71" s="171" t="str">
        <f>'Block 2 (Bioestimulant)'!B64</f>
        <v>€</v>
      </c>
      <c r="H71" s="152">
        <f>'Block 2 (Bioestimulant)'!C64</f>
        <v>390623.80292803491</v>
      </c>
    </row>
    <row r="72" spans="1:916" x14ac:dyDescent="0.35">
      <c r="F72" s="2"/>
      <c r="G72" s="171"/>
      <c r="H72" s="152"/>
    </row>
    <row r="73" spans="1:916" s="174" customFormat="1" x14ac:dyDescent="0.35">
      <c r="A73"/>
      <c r="B73"/>
      <c r="C73"/>
      <c r="D73"/>
      <c r="E73"/>
      <c r="F73" s="165" t="s">
        <v>60</v>
      </c>
      <c r="G73" s="175"/>
      <c r="H73" s="15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  <c r="EO73"/>
      <c r="EP73"/>
      <c r="EQ73"/>
      <c r="ER73"/>
      <c r="ES73"/>
      <c r="ET73"/>
      <c r="EU73"/>
      <c r="EV73"/>
      <c r="EW73"/>
      <c r="EX73"/>
      <c r="EY73"/>
      <c r="EZ73"/>
      <c r="FA73"/>
      <c r="FB73"/>
      <c r="FC73"/>
      <c r="FD73"/>
      <c r="FE73"/>
      <c r="FF73"/>
      <c r="FG73"/>
      <c r="FH73"/>
      <c r="FI73"/>
      <c r="FJ73"/>
      <c r="FK73"/>
      <c r="FL73"/>
      <c r="FM73"/>
      <c r="FN73"/>
      <c r="FO73"/>
      <c r="FP73"/>
      <c r="FQ73"/>
      <c r="FR73"/>
      <c r="FS73"/>
      <c r="FT73"/>
      <c r="FU73"/>
      <c r="FV73"/>
      <c r="FW73"/>
      <c r="FX73"/>
      <c r="FY73"/>
      <c r="FZ73"/>
      <c r="GA73"/>
      <c r="GB73"/>
      <c r="GC73"/>
      <c r="GD73"/>
      <c r="GE73"/>
      <c r="GF73"/>
      <c r="GG73"/>
      <c r="GH73"/>
      <c r="GI73"/>
      <c r="GJ73"/>
      <c r="GK73"/>
      <c r="GL73"/>
      <c r="GM73"/>
      <c r="GN73"/>
      <c r="GO73"/>
      <c r="GP73"/>
      <c r="GQ73"/>
      <c r="GR73"/>
      <c r="GS73"/>
      <c r="GT73"/>
      <c r="GU73"/>
      <c r="GV73"/>
      <c r="GW73"/>
      <c r="GX73"/>
      <c r="GY73"/>
      <c r="GZ73"/>
      <c r="HA73"/>
      <c r="HB73"/>
      <c r="HC73"/>
      <c r="HD73"/>
      <c r="HE73"/>
      <c r="HF73"/>
      <c r="HG73"/>
      <c r="HH73"/>
      <c r="HI73"/>
      <c r="HJ73"/>
      <c r="HK73"/>
      <c r="HL73"/>
      <c r="HM73"/>
      <c r="HN73"/>
      <c r="HO73"/>
      <c r="HP73"/>
      <c r="HQ73"/>
      <c r="HR73"/>
      <c r="HS73"/>
      <c r="HT73"/>
      <c r="HU73"/>
      <c r="HV73"/>
      <c r="HW73"/>
      <c r="HX73"/>
      <c r="HY73"/>
      <c r="HZ73"/>
      <c r="IA73"/>
      <c r="IB73"/>
      <c r="IC73"/>
      <c r="ID73"/>
      <c r="IE73"/>
      <c r="IF73"/>
      <c r="IG73"/>
      <c r="IH73"/>
      <c r="II73"/>
      <c r="IJ73"/>
      <c r="IK73"/>
      <c r="IL73"/>
      <c r="IM73"/>
      <c r="IN73"/>
      <c r="IO73"/>
      <c r="IP73"/>
      <c r="IQ73"/>
      <c r="IR73"/>
      <c r="IS73"/>
      <c r="IT73"/>
      <c r="IU73"/>
      <c r="IV73"/>
      <c r="IW73"/>
      <c r="IX73"/>
      <c r="IY73"/>
      <c r="IZ73"/>
      <c r="JA73"/>
      <c r="JB73"/>
      <c r="JC73"/>
      <c r="JD73"/>
      <c r="JE73"/>
      <c r="JF73"/>
      <c r="JG73"/>
      <c r="JH73"/>
      <c r="JI73"/>
      <c r="JJ73"/>
      <c r="JK73"/>
      <c r="JL73"/>
      <c r="JM73"/>
      <c r="JN73"/>
      <c r="JO73"/>
      <c r="JP73"/>
      <c r="JQ73"/>
      <c r="JR73"/>
      <c r="JS73"/>
      <c r="JT73"/>
      <c r="JU73"/>
      <c r="JV73"/>
      <c r="JW73"/>
      <c r="JX73"/>
      <c r="JY73"/>
      <c r="JZ73"/>
      <c r="KA73"/>
      <c r="KB73"/>
      <c r="KC73"/>
      <c r="KD73"/>
      <c r="KE73"/>
      <c r="KF73"/>
      <c r="KG73"/>
      <c r="KH73"/>
      <c r="KI73"/>
      <c r="KJ73"/>
      <c r="KK73"/>
      <c r="KL73"/>
      <c r="KM73"/>
      <c r="KN73"/>
      <c r="KO73"/>
      <c r="KP73"/>
      <c r="KQ73"/>
      <c r="KR73"/>
      <c r="KS73"/>
      <c r="KT73"/>
      <c r="KU73"/>
      <c r="KV73"/>
      <c r="KW73"/>
      <c r="KX73"/>
      <c r="KY73"/>
      <c r="KZ73"/>
      <c r="LA73"/>
      <c r="LB73"/>
      <c r="LC73"/>
      <c r="LD73"/>
      <c r="LE73"/>
      <c r="LF73"/>
      <c r="LG73"/>
      <c r="LH73"/>
      <c r="LI73"/>
      <c r="LJ73"/>
      <c r="LK73"/>
      <c r="LL73"/>
      <c r="LM73"/>
      <c r="LN73"/>
      <c r="LO73"/>
      <c r="LP73"/>
      <c r="LQ73"/>
      <c r="LR73"/>
      <c r="LS73"/>
      <c r="LT73"/>
      <c r="LU73"/>
      <c r="LV73"/>
      <c r="LW73"/>
      <c r="LX73"/>
      <c r="LY73"/>
      <c r="LZ73"/>
      <c r="MA73"/>
      <c r="MB73"/>
      <c r="MC73"/>
      <c r="MD73"/>
      <c r="ME73"/>
      <c r="MF73"/>
      <c r="MG73"/>
      <c r="MH73"/>
      <c r="MI73"/>
      <c r="MJ73"/>
      <c r="MK73"/>
      <c r="ML73"/>
      <c r="MM73"/>
      <c r="MN73"/>
      <c r="MO73"/>
      <c r="MP73"/>
      <c r="MQ73"/>
      <c r="MR73"/>
      <c r="MS73"/>
      <c r="MT73"/>
      <c r="MU73"/>
      <c r="MV73"/>
      <c r="MW73"/>
      <c r="MX73"/>
      <c r="MY73"/>
      <c r="MZ73"/>
      <c r="NA73"/>
      <c r="NB73"/>
      <c r="NC73"/>
      <c r="ND73"/>
      <c r="NE73"/>
      <c r="NF73"/>
      <c r="NG73"/>
      <c r="NH73"/>
      <c r="NI73"/>
      <c r="NJ73"/>
      <c r="NK73"/>
      <c r="NL73"/>
      <c r="NM73"/>
      <c r="NN73"/>
      <c r="NO73"/>
      <c r="NP73"/>
      <c r="NQ73"/>
      <c r="NR73"/>
      <c r="NS73"/>
      <c r="NT73"/>
      <c r="NU73"/>
      <c r="NV73"/>
      <c r="NW73"/>
      <c r="NX73"/>
      <c r="NY73"/>
      <c r="NZ73"/>
      <c r="OA73"/>
      <c r="OB73"/>
      <c r="OC73"/>
      <c r="OD73"/>
      <c r="OE73"/>
      <c r="OF73"/>
      <c r="OG73"/>
      <c r="OH73"/>
      <c r="OI73"/>
      <c r="OJ73"/>
      <c r="OK73"/>
      <c r="OL73"/>
      <c r="OM73"/>
      <c r="ON73"/>
      <c r="OO73"/>
      <c r="OP73"/>
      <c r="OQ73"/>
      <c r="OR73"/>
      <c r="OS73"/>
      <c r="OT73"/>
      <c r="OU73"/>
      <c r="OV73"/>
      <c r="OW73"/>
      <c r="OX73"/>
      <c r="OY73"/>
      <c r="OZ73"/>
      <c r="PA73"/>
      <c r="PB73"/>
      <c r="PC73"/>
      <c r="PD73"/>
      <c r="PE73"/>
      <c r="PF73"/>
      <c r="PG73"/>
      <c r="PH73"/>
      <c r="PI73"/>
      <c r="PJ73"/>
      <c r="PK73"/>
      <c r="PL73"/>
      <c r="PM73"/>
      <c r="PN73"/>
      <c r="PO73"/>
      <c r="PP73"/>
      <c r="PQ73"/>
      <c r="PR73"/>
      <c r="PS73"/>
      <c r="PT73"/>
      <c r="PU73"/>
      <c r="PV73"/>
      <c r="PW73"/>
      <c r="PX73"/>
      <c r="PY73"/>
      <c r="PZ73"/>
      <c r="QA73"/>
      <c r="QB73"/>
      <c r="QC73"/>
      <c r="QD73"/>
      <c r="QE73"/>
      <c r="QF73"/>
      <c r="QG73"/>
      <c r="QH73"/>
      <c r="QI73"/>
      <c r="QJ73"/>
      <c r="QK73"/>
      <c r="QL73"/>
      <c r="QM73"/>
      <c r="QN73"/>
      <c r="QO73"/>
      <c r="QP73"/>
      <c r="QQ73"/>
      <c r="QR73"/>
      <c r="QS73"/>
      <c r="QT73"/>
      <c r="QU73"/>
      <c r="QV73"/>
      <c r="QW73"/>
      <c r="QX73"/>
      <c r="QY73"/>
      <c r="QZ73"/>
      <c r="RA73"/>
      <c r="RB73"/>
      <c r="RC73"/>
      <c r="RD73"/>
      <c r="RE73"/>
      <c r="RF73"/>
      <c r="RG73"/>
      <c r="RH73"/>
      <c r="RI73"/>
      <c r="RJ73"/>
      <c r="RK73"/>
      <c r="RL73"/>
      <c r="RM73"/>
      <c r="RN73"/>
      <c r="RO73"/>
      <c r="RP73"/>
      <c r="RQ73"/>
      <c r="RR73"/>
      <c r="RS73"/>
      <c r="RT73"/>
      <c r="RU73"/>
      <c r="RV73"/>
      <c r="RW73"/>
      <c r="RX73"/>
      <c r="RY73"/>
      <c r="RZ73"/>
      <c r="SA73"/>
      <c r="SB73"/>
      <c r="SC73"/>
      <c r="SD73"/>
      <c r="SE73"/>
      <c r="SF73"/>
      <c r="SG73"/>
      <c r="SH73"/>
      <c r="SI73"/>
      <c r="SJ73"/>
      <c r="SK73"/>
      <c r="SL73"/>
      <c r="SM73"/>
      <c r="SN73"/>
      <c r="SO73"/>
      <c r="SP73"/>
      <c r="SQ73"/>
      <c r="SR73"/>
      <c r="SS73"/>
      <c r="ST73"/>
      <c r="SU73"/>
      <c r="SV73"/>
      <c r="SW73"/>
      <c r="SX73"/>
      <c r="SY73"/>
      <c r="SZ73"/>
      <c r="TA73"/>
      <c r="TB73"/>
      <c r="TC73"/>
      <c r="TD73"/>
      <c r="TE73"/>
      <c r="TF73"/>
      <c r="TG73"/>
      <c r="TH73"/>
      <c r="TI73"/>
      <c r="TJ73"/>
      <c r="TK73"/>
      <c r="TL73"/>
      <c r="TM73"/>
      <c r="TN73"/>
      <c r="TO73"/>
      <c r="TP73"/>
      <c r="TQ73"/>
      <c r="TR73"/>
      <c r="TS73"/>
      <c r="TT73"/>
      <c r="TU73"/>
      <c r="TV73"/>
      <c r="TW73"/>
      <c r="TX73"/>
      <c r="TY73"/>
      <c r="TZ73"/>
      <c r="UA73"/>
      <c r="UB73"/>
      <c r="UC73"/>
      <c r="UD73"/>
      <c r="UE73"/>
      <c r="UF73"/>
      <c r="UG73"/>
      <c r="UH73"/>
      <c r="UI73"/>
      <c r="UJ73"/>
      <c r="UK73"/>
      <c r="UL73"/>
      <c r="UM73"/>
      <c r="UN73"/>
      <c r="UO73"/>
      <c r="UP73"/>
      <c r="UQ73"/>
      <c r="UR73"/>
      <c r="US73"/>
      <c r="UT73"/>
      <c r="UU73"/>
      <c r="UV73"/>
      <c r="UW73"/>
      <c r="UX73"/>
      <c r="UY73"/>
      <c r="UZ73"/>
      <c r="VA73"/>
      <c r="VB73"/>
      <c r="VC73"/>
      <c r="VD73"/>
      <c r="VE73"/>
      <c r="VF73"/>
      <c r="VG73"/>
      <c r="VH73"/>
      <c r="VI73"/>
      <c r="VJ73"/>
      <c r="VK73"/>
      <c r="VL73"/>
      <c r="VM73"/>
      <c r="VN73"/>
      <c r="VO73"/>
      <c r="VP73"/>
      <c r="VQ73"/>
      <c r="VR73"/>
      <c r="VS73"/>
      <c r="VT73"/>
      <c r="VU73"/>
      <c r="VV73"/>
      <c r="VW73"/>
      <c r="VX73"/>
      <c r="VY73"/>
      <c r="VZ73"/>
      <c r="WA73"/>
      <c r="WB73"/>
      <c r="WC73"/>
      <c r="WD73"/>
      <c r="WE73"/>
      <c r="WF73"/>
      <c r="WG73"/>
      <c r="WH73"/>
      <c r="WI73"/>
      <c r="WJ73"/>
      <c r="WK73"/>
      <c r="WL73"/>
      <c r="WM73"/>
      <c r="WN73"/>
      <c r="WO73"/>
      <c r="WP73"/>
      <c r="WQ73"/>
      <c r="WR73"/>
      <c r="WS73"/>
      <c r="WT73"/>
      <c r="WU73"/>
      <c r="WV73"/>
      <c r="WW73"/>
      <c r="WX73"/>
      <c r="WY73"/>
      <c r="WZ73"/>
      <c r="XA73"/>
      <c r="XB73"/>
      <c r="XC73"/>
      <c r="XD73"/>
      <c r="XE73"/>
      <c r="XF73"/>
      <c r="XG73"/>
      <c r="XH73"/>
      <c r="XI73"/>
      <c r="XJ73"/>
      <c r="XK73"/>
      <c r="XL73"/>
      <c r="XM73"/>
      <c r="XN73"/>
      <c r="XO73"/>
      <c r="XP73"/>
      <c r="XQ73"/>
      <c r="XR73"/>
      <c r="XS73"/>
      <c r="XT73"/>
      <c r="XU73"/>
      <c r="XV73"/>
      <c r="XW73"/>
      <c r="XX73"/>
      <c r="XY73"/>
      <c r="XZ73"/>
      <c r="YA73"/>
      <c r="YB73"/>
      <c r="YC73"/>
      <c r="YD73"/>
      <c r="YE73"/>
      <c r="YF73"/>
      <c r="YG73"/>
      <c r="YH73"/>
      <c r="YI73"/>
      <c r="YJ73"/>
      <c r="YK73"/>
      <c r="YL73"/>
      <c r="YM73"/>
      <c r="YN73"/>
      <c r="YO73"/>
      <c r="YP73"/>
      <c r="YQ73"/>
      <c r="YR73"/>
      <c r="YS73"/>
      <c r="YT73"/>
      <c r="YU73"/>
      <c r="YV73"/>
      <c r="YW73"/>
      <c r="YX73"/>
      <c r="YY73"/>
      <c r="YZ73"/>
      <c r="ZA73"/>
      <c r="ZB73"/>
      <c r="ZC73"/>
      <c r="ZD73"/>
      <c r="ZE73"/>
      <c r="ZF73"/>
      <c r="ZG73"/>
      <c r="ZH73"/>
      <c r="ZI73"/>
      <c r="ZJ73"/>
      <c r="ZK73"/>
      <c r="ZL73"/>
      <c r="ZM73"/>
      <c r="ZN73"/>
      <c r="ZO73"/>
      <c r="ZP73"/>
      <c r="ZQ73"/>
      <c r="ZR73"/>
      <c r="ZS73"/>
      <c r="ZT73"/>
      <c r="ZU73"/>
      <c r="ZV73"/>
      <c r="ZW73"/>
      <c r="ZX73"/>
      <c r="ZY73"/>
      <c r="ZZ73"/>
      <c r="AAA73"/>
      <c r="AAB73"/>
      <c r="AAC73"/>
      <c r="AAD73"/>
      <c r="AAE73"/>
      <c r="AAF73"/>
      <c r="AAG73"/>
      <c r="AAH73"/>
      <c r="AAI73"/>
      <c r="AAJ73"/>
      <c r="AAK73"/>
      <c r="AAL73"/>
      <c r="AAM73"/>
      <c r="AAN73"/>
      <c r="AAO73"/>
      <c r="AAP73"/>
      <c r="AAQ73"/>
      <c r="AAR73"/>
      <c r="AAS73"/>
      <c r="AAT73"/>
      <c r="AAU73"/>
      <c r="AAV73"/>
      <c r="AAW73"/>
      <c r="AAX73"/>
      <c r="AAY73"/>
      <c r="AAZ73"/>
      <c r="ABA73"/>
      <c r="ABB73"/>
      <c r="ABC73"/>
      <c r="ABD73"/>
      <c r="ABE73"/>
      <c r="ABF73"/>
      <c r="ABG73"/>
      <c r="ABH73"/>
      <c r="ABI73"/>
      <c r="ABJ73"/>
      <c r="ABK73"/>
      <c r="ABL73"/>
      <c r="ABM73"/>
      <c r="ABN73"/>
      <c r="ABO73"/>
      <c r="ABP73"/>
      <c r="ABQ73"/>
      <c r="ABR73"/>
      <c r="ABS73"/>
      <c r="ABT73"/>
      <c r="ABU73"/>
      <c r="ABV73"/>
      <c r="ABW73"/>
      <c r="ABX73"/>
      <c r="ABY73"/>
      <c r="ABZ73"/>
      <c r="ACA73"/>
      <c r="ACB73"/>
      <c r="ACC73"/>
      <c r="ACD73"/>
      <c r="ACE73"/>
      <c r="ACF73"/>
      <c r="ACG73"/>
      <c r="ACH73"/>
      <c r="ACI73"/>
      <c r="ACJ73"/>
      <c r="ACK73"/>
      <c r="ACL73"/>
      <c r="ACM73"/>
      <c r="ACN73"/>
      <c r="ACO73"/>
      <c r="ACP73"/>
      <c r="ACQ73"/>
      <c r="ACR73"/>
      <c r="ACS73"/>
      <c r="ACT73"/>
      <c r="ACU73"/>
      <c r="ACV73"/>
      <c r="ACW73"/>
      <c r="ACX73"/>
      <c r="ACY73"/>
      <c r="ACZ73"/>
      <c r="ADA73"/>
      <c r="ADB73"/>
      <c r="ADC73"/>
      <c r="ADD73"/>
      <c r="ADE73"/>
      <c r="ADF73"/>
      <c r="ADG73"/>
      <c r="ADH73"/>
      <c r="ADI73"/>
      <c r="ADJ73"/>
      <c r="ADK73"/>
      <c r="ADL73"/>
      <c r="ADM73"/>
      <c r="ADN73"/>
      <c r="ADO73"/>
      <c r="ADP73"/>
      <c r="ADQ73"/>
      <c r="ADR73"/>
      <c r="ADS73"/>
      <c r="ADT73"/>
      <c r="ADU73"/>
      <c r="ADV73"/>
      <c r="ADW73"/>
      <c r="ADX73"/>
      <c r="ADY73"/>
      <c r="ADZ73"/>
      <c r="AEA73"/>
      <c r="AEB73"/>
      <c r="AEC73"/>
      <c r="AED73"/>
      <c r="AEE73"/>
      <c r="AEF73"/>
      <c r="AEG73"/>
      <c r="AEH73"/>
      <c r="AEI73"/>
      <c r="AEJ73"/>
      <c r="AEK73"/>
      <c r="AEL73"/>
      <c r="AEM73"/>
      <c r="AEN73"/>
      <c r="AEO73"/>
      <c r="AEP73"/>
      <c r="AEQ73"/>
      <c r="AER73"/>
      <c r="AES73"/>
      <c r="AET73"/>
      <c r="AEU73"/>
      <c r="AEV73"/>
      <c r="AEW73"/>
      <c r="AEX73"/>
      <c r="AEY73"/>
      <c r="AEZ73"/>
      <c r="AFA73"/>
      <c r="AFB73"/>
      <c r="AFC73"/>
      <c r="AFD73"/>
      <c r="AFE73"/>
      <c r="AFF73"/>
      <c r="AFG73"/>
      <c r="AFH73"/>
      <c r="AFI73"/>
      <c r="AFJ73"/>
      <c r="AFK73"/>
      <c r="AFL73"/>
      <c r="AFM73"/>
      <c r="AFN73"/>
      <c r="AFO73"/>
      <c r="AFP73"/>
      <c r="AFQ73"/>
      <c r="AFR73"/>
      <c r="AFS73"/>
      <c r="AFT73"/>
      <c r="AFU73"/>
      <c r="AFV73"/>
      <c r="AFW73"/>
      <c r="AFX73"/>
      <c r="AFY73"/>
      <c r="AFZ73"/>
      <c r="AGA73"/>
      <c r="AGB73"/>
      <c r="AGC73"/>
      <c r="AGD73"/>
      <c r="AGE73"/>
      <c r="AGF73"/>
      <c r="AGG73"/>
      <c r="AGH73"/>
      <c r="AGI73"/>
      <c r="AGJ73"/>
      <c r="AGK73"/>
      <c r="AGL73"/>
      <c r="AGM73"/>
      <c r="AGN73"/>
      <c r="AGO73"/>
      <c r="AGP73"/>
      <c r="AGQ73"/>
      <c r="AGR73"/>
      <c r="AGS73"/>
      <c r="AGT73"/>
      <c r="AGU73"/>
      <c r="AGV73"/>
      <c r="AGW73"/>
      <c r="AGX73"/>
      <c r="AGY73"/>
      <c r="AGZ73"/>
      <c r="AHA73"/>
      <c r="AHB73"/>
      <c r="AHC73"/>
      <c r="AHD73"/>
      <c r="AHE73"/>
      <c r="AHF73"/>
      <c r="AHG73"/>
      <c r="AHH73"/>
      <c r="AHI73"/>
      <c r="AHJ73"/>
      <c r="AHK73"/>
      <c r="AHL73"/>
      <c r="AHM73"/>
      <c r="AHN73"/>
      <c r="AHO73"/>
      <c r="AHP73"/>
      <c r="AHQ73"/>
      <c r="AHR73"/>
      <c r="AHS73"/>
      <c r="AHT73"/>
      <c r="AHU73"/>
      <c r="AHV73"/>
      <c r="AHW73"/>
      <c r="AHX73"/>
      <c r="AHY73"/>
      <c r="AHZ73"/>
      <c r="AIA73"/>
      <c r="AIB73"/>
      <c r="AIC73"/>
      <c r="AID73"/>
      <c r="AIE73"/>
      <c r="AIF73"/>
    </row>
    <row r="74" spans="1:916" x14ac:dyDescent="0.35">
      <c r="F74" s="2" t="str">
        <f>'Block 2 (Bioestimulant)'!A67</f>
        <v>Lifetime</v>
      </c>
      <c r="G74" s="171"/>
      <c r="H74" s="152">
        <f>'Block 2 (Bioestimulant)'!C67</f>
        <v>10</v>
      </c>
    </row>
    <row r="75" spans="1:916" x14ac:dyDescent="0.35">
      <c r="F75" s="2" t="str">
        <f>'Block 2 (Bioestimulant)'!A68</f>
        <v>Depreciation</v>
      </c>
      <c r="G75" s="171" t="str">
        <f>'Block 2 (Bioestimulant)'!B68</f>
        <v>€</v>
      </c>
      <c r="H75" s="152">
        <f>'Block 2 (Bioestimulant)'!C68</f>
        <v>38465.764874109103</v>
      </c>
    </row>
    <row r="76" spans="1:916" x14ac:dyDescent="0.35">
      <c r="F76" s="2" t="str">
        <f>'Block 2 (Bioestimulant)'!A69</f>
        <v>Property tax (@ 0.01 depreciation)</v>
      </c>
      <c r="G76" s="171" t="str">
        <f>'Block 2 (Bioestimulant)'!B69</f>
        <v>€</v>
      </c>
      <c r="H76" s="152">
        <f>'Block 2 (Bioestimulant)'!C69</f>
        <v>384.65764874109107</v>
      </c>
    </row>
    <row r="77" spans="1:916" x14ac:dyDescent="0.35">
      <c r="F77" s="2" t="str">
        <f>'Block 2 (Bioestimulant)'!A70</f>
        <v>Insurance (@ 0.006 depreciation)</v>
      </c>
      <c r="G77" s="171" t="str">
        <f>'Block 2 (Bioestimulant)'!B70</f>
        <v>€</v>
      </c>
      <c r="H77" s="152">
        <f>'Block 2 (Bioestimulant)'!C70</f>
        <v>230.79458924465462</v>
      </c>
    </row>
    <row r="78" spans="1:916" x14ac:dyDescent="0.35">
      <c r="F78" s="2" t="str">
        <f>'Block 2 (Bioestimulant)'!A71</f>
        <v>Purchase tax (@ 0.16 of items 1-12/10)</v>
      </c>
      <c r="G78" s="171" t="str">
        <f>'Block 2 (Bioestimulant)'!B71</f>
        <v>€</v>
      </c>
      <c r="H78" s="152">
        <f>'Block 2 (Bioestimulant)'!C71</f>
        <v>6249.9808468485589</v>
      </c>
    </row>
    <row r="79" spans="1:916" x14ac:dyDescent="0.35">
      <c r="G79" s="171"/>
      <c r="H79" s="152"/>
    </row>
    <row r="80" spans="1:916" s="174" customFormat="1" x14ac:dyDescent="0.35">
      <c r="A80"/>
      <c r="B80"/>
      <c r="C80"/>
      <c r="D80"/>
      <c r="E80"/>
      <c r="F80" s="165" t="s">
        <v>61</v>
      </c>
      <c r="G80" s="175"/>
      <c r="H80" s="153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  <c r="EE80"/>
      <c r="EF80"/>
      <c r="EG80"/>
      <c r="EH80"/>
      <c r="EI80"/>
      <c r="EJ80"/>
      <c r="EK80"/>
      <c r="EL80"/>
      <c r="EM80"/>
      <c r="EN80"/>
      <c r="EO80"/>
      <c r="EP80"/>
      <c r="EQ80"/>
      <c r="ER80"/>
      <c r="ES80"/>
      <c r="ET80"/>
      <c r="EU80"/>
      <c r="EV80"/>
      <c r="EW80"/>
      <c r="EX80"/>
      <c r="EY80"/>
      <c r="EZ80"/>
      <c r="FA80"/>
      <c r="FB80"/>
      <c r="FC80"/>
      <c r="FD80"/>
      <c r="FE80"/>
      <c r="FF80"/>
      <c r="FG80"/>
      <c r="FH80"/>
      <c r="FI80"/>
      <c r="FJ80"/>
      <c r="FK80"/>
      <c r="FL80"/>
      <c r="FM80"/>
      <c r="FN80"/>
      <c r="FO80"/>
      <c r="FP80"/>
      <c r="FQ80"/>
      <c r="FR80"/>
      <c r="FS80"/>
      <c r="FT80"/>
      <c r="FU80"/>
      <c r="FV80"/>
      <c r="FW80"/>
      <c r="FX80"/>
      <c r="FY80"/>
      <c r="FZ80"/>
      <c r="GA80"/>
      <c r="GB80"/>
      <c r="GC80"/>
      <c r="GD80"/>
      <c r="GE80"/>
      <c r="GF80"/>
      <c r="GG80"/>
      <c r="GH80"/>
      <c r="GI80"/>
      <c r="GJ80"/>
      <c r="GK80"/>
      <c r="GL80"/>
      <c r="GM80"/>
      <c r="GN80"/>
      <c r="GO80"/>
      <c r="GP80"/>
      <c r="GQ80"/>
      <c r="GR80"/>
      <c r="GS80"/>
      <c r="GT80"/>
      <c r="GU80"/>
      <c r="GV80"/>
      <c r="GW80"/>
      <c r="GX80"/>
      <c r="GY80"/>
      <c r="GZ80"/>
      <c r="HA80"/>
      <c r="HB80"/>
      <c r="HC80"/>
      <c r="HD80"/>
      <c r="HE80"/>
      <c r="HF80"/>
      <c r="HG80"/>
      <c r="HH80"/>
      <c r="HI80"/>
      <c r="HJ80"/>
      <c r="HK80"/>
      <c r="HL80"/>
      <c r="HM80"/>
      <c r="HN80"/>
      <c r="HO80"/>
      <c r="HP80"/>
      <c r="HQ80"/>
      <c r="HR80"/>
      <c r="HS80"/>
      <c r="HT80"/>
      <c r="HU80"/>
      <c r="HV80"/>
      <c r="HW80"/>
      <c r="HX80"/>
      <c r="HY80"/>
      <c r="HZ80"/>
      <c r="IA80"/>
      <c r="IB80"/>
      <c r="IC80"/>
      <c r="ID80"/>
      <c r="IE80"/>
      <c r="IF80"/>
      <c r="IG80"/>
      <c r="IH80"/>
      <c r="II80"/>
      <c r="IJ80"/>
      <c r="IK80"/>
      <c r="IL80"/>
      <c r="IM80"/>
      <c r="IN80"/>
      <c r="IO80"/>
      <c r="IP80"/>
      <c r="IQ80"/>
      <c r="IR80"/>
      <c r="IS80"/>
      <c r="IT80"/>
      <c r="IU80"/>
      <c r="IV80"/>
      <c r="IW80"/>
      <c r="IX80"/>
      <c r="IY80"/>
      <c r="IZ80"/>
      <c r="JA80"/>
      <c r="JB80"/>
      <c r="JC80"/>
      <c r="JD80"/>
      <c r="JE80"/>
      <c r="JF80"/>
      <c r="JG80"/>
      <c r="JH80"/>
      <c r="JI80"/>
      <c r="JJ80"/>
      <c r="JK80"/>
      <c r="JL80"/>
      <c r="JM80"/>
      <c r="JN80"/>
      <c r="JO80"/>
      <c r="JP80"/>
      <c r="JQ80"/>
      <c r="JR80"/>
      <c r="JS80"/>
      <c r="JT80"/>
      <c r="JU80"/>
      <c r="JV80"/>
      <c r="JW80"/>
      <c r="JX80"/>
      <c r="JY80"/>
      <c r="JZ80"/>
      <c r="KA80"/>
      <c r="KB80"/>
      <c r="KC80"/>
      <c r="KD80"/>
      <c r="KE80"/>
      <c r="KF80"/>
      <c r="KG80"/>
      <c r="KH80"/>
      <c r="KI80"/>
      <c r="KJ80"/>
      <c r="KK80"/>
      <c r="KL80"/>
      <c r="KM80"/>
      <c r="KN80"/>
      <c r="KO80"/>
      <c r="KP80"/>
      <c r="KQ80"/>
      <c r="KR80"/>
      <c r="KS80"/>
      <c r="KT80"/>
      <c r="KU80"/>
      <c r="KV80"/>
      <c r="KW80"/>
      <c r="KX80"/>
      <c r="KY80"/>
      <c r="KZ80"/>
      <c r="LA80"/>
      <c r="LB80"/>
      <c r="LC80"/>
      <c r="LD80"/>
      <c r="LE80"/>
      <c r="LF80"/>
      <c r="LG80"/>
      <c r="LH80"/>
      <c r="LI80"/>
      <c r="LJ80"/>
      <c r="LK80"/>
      <c r="LL80"/>
      <c r="LM80"/>
      <c r="LN80"/>
      <c r="LO80"/>
      <c r="LP80"/>
      <c r="LQ80"/>
      <c r="LR80"/>
      <c r="LS80"/>
      <c r="LT80"/>
      <c r="LU80"/>
      <c r="LV80"/>
      <c r="LW80"/>
      <c r="LX80"/>
      <c r="LY80"/>
      <c r="LZ80"/>
      <c r="MA80"/>
      <c r="MB80"/>
      <c r="MC80"/>
      <c r="MD80"/>
      <c r="ME80"/>
      <c r="MF80"/>
      <c r="MG80"/>
      <c r="MH80"/>
      <c r="MI80"/>
      <c r="MJ80"/>
      <c r="MK80"/>
      <c r="ML80"/>
      <c r="MM80"/>
      <c r="MN80"/>
      <c r="MO80"/>
      <c r="MP80"/>
      <c r="MQ80"/>
      <c r="MR80"/>
      <c r="MS80"/>
      <c r="MT80"/>
      <c r="MU80"/>
      <c r="MV80"/>
      <c r="MW80"/>
      <c r="MX80"/>
      <c r="MY80"/>
      <c r="MZ80"/>
      <c r="NA80"/>
      <c r="NB80"/>
      <c r="NC80"/>
      <c r="ND80"/>
      <c r="NE80"/>
      <c r="NF80"/>
      <c r="NG80"/>
      <c r="NH80"/>
      <c r="NI80"/>
      <c r="NJ80"/>
      <c r="NK80"/>
      <c r="NL80"/>
      <c r="NM80"/>
      <c r="NN80"/>
      <c r="NO80"/>
      <c r="NP80"/>
      <c r="NQ80"/>
      <c r="NR80"/>
      <c r="NS80"/>
      <c r="NT80"/>
      <c r="NU80"/>
      <c r="NV80"/>
      <c r="NW80"/>
      <c r="NX80"/>
      <c r="NY80"/>
      <c r="NZ80"/>
      <c r="OA80"/>
      <c r="OB80"/>
      <c r="OC80"/>
      <c r="OD80"/>
      <c r="OE80"/>
      <c r="OF80"/>
      <c r="OG80"/>
      <c r="OH80"/>
      <c r="OI80"/>
      <c r="OJ80"/>
      <c r="OK80"/>
      <c r="OL80"/>
      <c r="OM80"/>
      <c r="ON80"/>
      <c r="OO80"/>
      <c r="OP80"/>
      <c r="OQ80"/>
      <c r="OR80"/>
      <c r="OS80"/>
      <c r="OT80"/>
      <c r="OU80"/>
      <c r="OV80"/>
      <c r="OW80"/>
      <c r="OX80"/>
      <c r="OY80"/>
      <c r="OZ80"/>
      <c r="PA80"/>
      <c r="PB80"/>
      <c r="PC80"/>
      <c r="PD80"/>
      <c r="PE80"/>
      <c r="PF80"/>
      <c r="PG80"/>
      <c r="PH80"/>
      <c r="PI80"/>
      <c r="PJ80"/>
      <c r="PK80"/>
      <c r="PL80"/>
      <c r="PM80"/>
      <c r="PN80"/>
      <c r="PO80"/>
      <c r="PP80"/>
      <c r="PQ80"/>
      <c r="PR80"/>
      <c r="PS80"/>
      <c r="PT80"/>
      <c r="PU80"/>
      <c r="PV80"/>
      <c r="PW80"/>
      <c r="PX80"/>
      <c r="PY80"/>
      <c r="PZ80"/>
      <c r="QA80"/>
      <c r="QB80"/>
      <c r="QC80"/>
      <c r="QD80"/>
      <c r="QE80"/>
      <c r="QF80"/>
      <c r="QG80"/>
      <c r="QH80"/>
      <c r="QI80"/>
      <c r="QJ80"/>
      <c r="QK80"/>
      <c r="QL80"/>
      <c r="QM80"/>
      <c r="QN80"/>
      <c r="QO80"/>
      <c r="QP80"/>
      <c r="QQ80"/>
      <c r="QR80"/>
      <c r="QS80"/>
      <c r="QT80"/>
      <c r="QU80"/>
      <c r="QV80"/>
      <c r="QW80"/>
      <c r="QX80"/>
      <c r="QY80"/>
      <c r="QZ80"/>
      <c r="RA80"/>
      <c r="RB80"/>
      <c r="RC80"/>
      <c r="RD80"/>
      <c r="RE80"/>
      <c r="RF80"/>
      <c r="RG80"/>
      <c r="RH80"/>
      <c r="RI80"/>
      <c r="RJ80"/>
      <c r="RK80"/>
      <c r="RL80"/>
      <c r="RM80"/>
      <c r="RN80"/>
      <c r="RO80"/>
      <c r="RP80"/>
      <c r="RQ80"/>
      <c r="RR80"/>
      <c r="RS80"/>
      <c r="RT80"/>
      <c r="RU80"/>
      <c r="RV80"/>
      <c r="RW80"/>
      <c r="RX80"/>
      <c r="RY80"/>
      <c r="RZ80"/>
      <c r="SA80"/>
      <c r="SB80"/>
      <c r="SC80"/>
      <c r="SD80"/>
      <c r="SE80"/>
      <c r="SF80"/>
      <c r="SG80"/>
      <c r="SH80"/>
      <c r="SI80"/>
      <c r="SJ80"/>
      <c r="SK80"/>
      <c r="SL80"/>
      <c r="SM80"/>
      <c r="SN80"/>
      <c r="SO80"/>
      <c r="SP80"/>
      <c r="SQ80"/>
      <c r="SR80"/>
      <c r="SS80"/>
      <c r="ST80"/>
      <c r="SU80"/>
      <c r="SV80"/>
      <c r="SW80"/>
      <c r="SX80"/>
      <c r="SY80"/>
      <c r="SZ80"/>
      <c r="TA80"/>
      <c r="TB80"/>
      <c r="TC80"/>
      <c r="TD80"/>
      <c r="TE80"/>
      <c r="TF80"/>
      <c r="TG80"/>
      <c r="TH80"/>
      <c r="TI80"/>
      <c r="TJ80"/>
      <c r="TK80"/>
      <c r="TL80"/>
      <c r="TM80"/>
      <c r="TN80"/>
      <c r="TO80"/>
      <c r="TP80"/>
      <c r="TQ80"/>
      <c r="TR80"/>
      <c r="TS80"/>
      <c r="TT80"/>
      <c r="TU80"/>
      <c r="TV80"/>
      <c r="TW80"/>
      <c r="TX80"/>
      <c r="TY80"/>
      <c r="TZ80"/>
      <c r="UA80"/>
      <c r="UB80"/>
      <c r="UC80"/>
      <c r="UD80"/>
      <c r="UE80"/>
      <c r="UF80"/>
      <c r="UG80"/>
      <c r="UH80"/>
      <c r="UI80"/>
      <c r="UJ80"/>
      <c r="UK80"/>
      <c r="UL80"/>
      <c r="UM80"/>
      <c r="UN80"/>
      <c r="UO80"/>
      <c r="UP80"/>
      <c r="UQ80"/>
      <c r="UR80"/>
      <c r="US80"/>
      <c r="UT80"/>
      <c r="UU80"/>
      <c r="UV80"/>
      <c r="UW80"/>
      <c r="UX80"/>
      <c r="UY80"/>
      <c r="UZ80"/>
      <c r="VA80"/>
      <c r="VB80"/>
      <c r="VC80"/>
      <c r="VD80"/>
      <c r="VE80"/>
      <c r="VF80"/>
      <c r="VG80"/>
      <c r="VH80"/>
      <c r="VI80"/>
      <c r="VJ80"/>
      <c r="VK80"/>
      <c r="VL80"/>
      <c r="VM80"/>
      <c r="VN80"/>
      <c r="VO80"/>
      <c r="VP80"/>
      <c r="VQ80"/>
      <c r="VR80"/>
      <c r="VS80"/>
      <c r="VT80"/>
      <c r="VU80"/>
      <c r="VV80"/>
      <c r="VW80"/>
      <c r="VX80"/>
      <c r="VY80"/>
      <c r="VZ80"/>
      <c r="WA80"/>
      <c r="WB80"/>
      <c r="WC80"/>
      <c r="WD80"/>
      <c r="WE80"/>
      <c r="WF80"/>
      <c r="WG80"/>
      <c r="WH80"/>
      <c r="WI80"/>
      <c r="WJ80"/>
      <c r="WK80"/>
      <c r="WL80"/>
      <c r="WM80"/>
      <c r="WN80"/>
      <c r="WO80"/>
      <c r="WP80"/>
      <c r="WQ80"/>
      <c r="WR80"/>
      <c r="WS80"/>
      <c r="WT80"/>
      <c r="WU80"/>
      <c r="WV80"/>
      <c r="WW80"/>
      <c r="WX80"/>
      <c r="WY80"/>
      <c r="WZ80"/>
      <c r="XA80"/>
      <c r="XB80"/>
      <c r="XC80"/>
      <c r="XD80"/>
      <c r="XE80"/>
      <c r="XF80"/>
      <c r="XG80"/>
      <c r="XH80"/>
      <c r="XI80"/>
      <c r="XJ80"/>
      <c r="XK80"/>
      <c r="XL80"/>
      <c r="XM80"/>
      <c r="XN80"/>
      <c r="XO80"/>
      <c r="XP80"/>
      <c r="XQ80"/>
      <c r="XR80"/>
      <c r="XS80"/>
      <c r="XT80"/>
      <c r="XU80"/>
      <c r="XV80"/>
      <c r="XW80"/>
      <c r="XX80"/>
      <c r="XY80"/>
      <c r="XZ80"/>
      <c r="YA80"/>
      <c r="YB80"/>
      <c r="YC80"/>
      <c r="YD80"/>
      <c r="YE80"/>
      <c r="YF80"/>
      <c r="YG80"/>
      <c r="YH80"/>
      <c r="YI80"/>
      <c r="YJ80"/>
      <c r="YK80"/>
      <c r="YL80"/>
      <c r="YM80"/>
      <c r="YN80"/>
      <c r="YO80"/>
      <c r="YP80"/>
      <c r="YQ80"/>
      <c r="YR80"/>
      <c r="YS80"/>
      <c r="YT80"/>
      <c r="YU80"/>
      <c r="YV80"/>
      <c r="YW80"/>
      <c r="YX80"/>
      <c r="YY80"/>
      <c r="YZ80"/>
      <c r="ZA80"/>
      <c r="ZB80"/>
      <c r="ZC80"/>
      <c r="ZD80"/>
      <c r="ZE80"/>
      <c r="ZF80"/>
      <c r="ZG80"/>
      <c r="ZH80"/>
      <c r="ZI80"/>
      <c r="ZJ80"/>
      <c r="ZK80"/>
      <c r="ZL80"/>
      <c r="ZM80"/>
      <c r="ZN80"/>
      <c r="ZO80"/>
      <c r="ZP80"/>
      <c r="ZQ80"/>
      <c r="ZR80"/>
      <c r="ZS80"/>
      <c r="ZT80"/>
      <c r="ZU80"/>
      <c r="ZV80"/>
      <c r="ZW80"/>
      <c r="ZX80"/>
      <c r="ZY80"/>
      <c r="ZZ80"/>
      <c r="AAA80"/>
      <c r="AAB80"/>
      <c r="AAC80"/>
      <c r="AAD80"/>
      <c r="AAE80"/>
      <c r="AAF80"/>
      <c r="AAG80"/>
      <c r="AAH80"/>
      <c r="AAI80"/>
      <c r="AAJ80"/>
      <c r="AAK80"/>
      <c r="AAL80"/>
      <c r="AAM80"/>
      <c r="AAN80"/>
      <c r="AAO80"/>
      <c r="AAP80"/>
      <c r="AAQ80"/>
      <c r="AAR80"/>
      <c r="AAS80"/>
      <c r="AAT80"/>
      <c r="AAU80"/>
      <c r="AAV80"/>
      <c r="AAW80"/>
      <c r="AAX80"/>
      <c r="AAY80"/>
      <c r="AAZ80"/>
      <c r="ABA80"/>
      <c r="ABB80"/>
      <c r="ABC80"/>
      <c r="ABD80"/>
      <c r="ABE80"/>
      <c r="ABF80"/>
      <c r="ABG80"/>
      <c r="ABH80"/>
      <c r="ABI80"/>
      <c r="ABJ80"/>
      <c r="ABK80"/>
      <c r="ABL80"/>
      <c r="ABM80"/>
      <c r="ABN80"/>
      <c r="ABO80"/>
      <c r="ABP80"/>
      <c r="ABQ80"/>
      <c r="ABR80"/>
      <c r="ABS80"/>
      <c r="ABT80"/>
      <c r="ABU80"/>
      <c r="ABV80"/>
      <c r="ABW80"/>
      <c r="ABX80"/>
      <c r="ABY80"/>
      <c r="ABZ80"/>
      <c r="ACA80"/>
      <c r="ACB80"/>
      <c r="ACC80"/>
      <c r="ACD80"/>
      <c r="ACE80"/>
      <c r="ACF80"/>
      <c r="ACG80"/>
      <c r="ACH80"/>
      <c r="ACI80"/>
      <c r="ACJ80"/>
      <c r="ACK80"/>
      <c r="ACL80"/>
      <c r="ACM80"/>
      <c r="ACN80"/>
      <c r="ACO80"/>
      <c r="ACP80"/>
      <c r="ACQ80"/>
      <c r="ACR80"/>
      <c r="ACS80"/>
      <c r="ACT80"/>
      <c r="ACU80"/>
      <c r="ACV80"/>
      <c r="ACW80"/>
      <c r="ACX80"/>
      <c r="ACY80"/>
      <c r="ACZ80"/>
      <c r="ADA80"/>
      <c r="ADB80"/>
      <c r="ADC80"/>
      <c r="ADD80"/>
      <c r="ADE80"/>
      <c r="ADF80"/>
      <c r="ADG80"/>
      <c r="ADH80"/>
      <c r="ADI80"/>
      <c r="ADJ80"/>
      <c r="ADK80"/>
      <c r="ADL80"/>
      <c r="ADM80"/>
      <c r="ADN80"/>
      <c r="ADO80"/>
      <c r="ADP80"/>
      <c r="ADQ80"/>
      <c r="ADR80"/>
      <c r="ADS80"/>
      <c r="ADT80"/>
      <c r="ADU80"/>
      <c r="ADV80"/>
      <c r="ADW80"/>
      <c r="ADX80"/>
      <c r="ADY80"/>
      <c r="ADZ80"/>
      <c r="AEA80"/>
      <c r="AEB80"/>
      <c r="AEC80"/>
      <c r="AED80"/>
      <c r="AEE80"/>
      <c r="AEF80"/>
      <c r="AEG80"/>
      <c r="AEH80"/>
      <c r="AEI80"/>
      <c r="AEJ80"/>
      <c r="AEK80"/>
      <c r="AEL80"/>
      <c r="AEM80"/>
      <c r="AEN80"/>
      <c r="AEO80"/>
      <c r="AEP80"/>
      <c r="AEQ80"/>
      <c r="AER80"/>
      <c r="AES80"/>
      <c r="AET80"/>
      <c r="AEU80"/>
      <c r="AEV80"/>
      <c r="AEW80"/>
      <c r="AEX80"/>
      <c r="AEY80"/>
      <c r="AEZ80"/>
      <c r="AFA80"/>
      <c r="AFB80"/>
      <c r="AFC80"/>
      <c r="AFD80"/>
      <c r="AFE80"/>
      <c r="AFF80"/>
      <c r="AFG80"/>
      <c r="AFH80"/>
      <c r="AFI80"/>
      <c r="AFJ80"/>
      <c r="AFK80"/>
      <c r="AFL80"/>
      <c r="AFM80"/>
      <c r="AFN80"/>
      <c r="AFO80"/>
      <c r="AFP80"/>
      <c r="AFQ80"/>
      <c r="AFR80"/>
      <c r="AFS80"/>
      <c r="AFT80"/>
      <c r="AFU80"/>
      <c r="AFV80"/>
      <c r="AFW80"/>
      <c r="AFX80"/>
      <c r="AFY80"/>
      <c r="AFZ80"/>
      <c r="AGA80"/>
      <c r="AGB80"/>
      <c r="AGC80"/>
      <c r="AGD80"/>
      <c r="AGE80"/>
      <c r="AGF80"/>
      <c r="AGG80"/>
      <c r="AGH80"/>
      <c r="AGI80"/>
      <c r="AGJ80"/>
      <c r="AGK80"/>
      <c r="AGL80"/>
      <c r="AGM80"/>
      <c r="AGN80"/>
      <c r="AGO80"/>
      <c r="AGP80"/>
      <c r="AGQ80"/>
      <c r="AGR80"/>
      <c r="AGS80"/>
      <c r="AGT80"/>
      <c r="AGU80"/>
      <c r="AGV80"/>
      <c r="AGW80"/>
      <c r="AGX80"/>
      <c r="AGY80"/>
      <c r="AGZ80"/>
      <c r="AHA80"/>
      <c r="AHB80"/>
      <c r="AHC80"/>
      <c r="AHD80"/>
      <c r="AHE80"/>
      <c r="AHF80"/>
      <c r="AHG80"/>
      <c r="AHH80"/>
      <c r="AHI80"/>
      <c r="AHJ80"/>
      <c r="AHK80"/>
      <c r="AHL80"/>
      <c r="AHM80"/>
      <c r="AHN80"/>
      <c r="AHO80"/>
      <c r="AHP80"/>
      <c r="AHQ80"/>
      <c r="AHR80"/>
      <c r="AHS80"/>
      <c r="AHT80"/>
      <c r="AHU80"/>
      <c r="AHV80"/>
      <c r="AHW80"/>
      <c r="AHX80"/>
      <c r="AHY80"/>
      <c r="AHZ80"/>
      <c r="AIA80"/>
      <c r="AIB80"/>
      <c r="AIC80"/>
      <c r="AID80"/>
      <c r="AIE80"/>
      <c r="AIF80"/>
    </row>
    <row r="81" spans="6:8" x14ac:dyDescent="0.35">
      <c r="F81" s="206" t="s">
        <v>62</v>
      </c>
      <c r="G81" s="171"/>
      <c r="H81" s="152"/>
    </row>
    <row r="82" spans="6:8" s="155" customFormat="1" x14ac:dyDescent="0.35">
      <c r="F82" s="181" t="str">
        <f>'Block 2 (Bioestimulant)'!A75</f>
        <v>Alcalase (kg)</v>
      </c>
      <c r="G82" s="154" t="str">
        <f>'Block 2 (Bioestimulant)'!B75</f>
        <v>€</v>
      </c>
      <c r="H82" s="180">
        <f>'Block 2 (Bioestimulant)'!C75</f>
        <v>1356986.7899999998</v>
      </c>
    </row>
    <row r="83" spans="6:8" s="155" customFormat="1" x14ac:dyDescent="0.35">
      <c r="F83" s="181" t="str">
        <f>'Block 2 (Bioestimulant)'!A76</f>
        <v>Flavourzyme (kg)</v>
      </c>
      <c r="G83" s="154" t="str">
        <f>'Block 2 (Bioestimulant)'!B76</f>
        <v>€</v>
      </c>
      <c r="H83" s="180">
        <f>'Block 2 (Bioestimulant)'!C76</f>
        <v>3044543.4562499993</v>
      </c>
    </row>
    <row r="84" spans="6:8" s="155" customFormat="1" x14ac:dyDescent="0.35">
      <c r="F84" s="181" t="str">
        <f>'Block 2 (Bioestimulant)'!A77</f>
        <v>Microalgae (kg)</v>
      </c>
      <c r="G84" s="154" t="str">
        <f>'Block 2 (Bioestimulant)'!B77</f>
        <v>€</v>
      </c>
      <c r="H84" s="180" t="e">
        <f>'Block 2 (Bioestimulant)'!C77</f>
        <v>#REF!</v>
      </c>
    </row>
    <row r="85" spans="6:8" s="155" customFormat="1" x14ac:dyDescent="0.35">
      <c r="F85" s="207" t="s">
        <v>64</v>
      </c>
      <c r="G85" s="154"/>
      <c r="H85" s="180"/>
    </row>
    <row r="86" spans="6:8" s="155" customFormat="1" x14ac:dyDescent="0.35">
      <c r="F86" s="181" t="str">
        <f>'Block 2 (Bioestimulant)'!A79</f>
        <v>Power consumption mixing (kWh)</v>
      </c>
      <c r="G86" s="154" t="str">
        <f>'Block 2 (Bioestimulant)'!B79</f>
        <v>€</v>
      </c>
      <c r="H86" s="180">
        <f>'Block 2 (Bioestimulant)'!C79</f>
        <v>33770.48920780651</v>
      </c>
    </row>
    <row r="87" spans="6:8" s="155" customFormat="1" x14ac:dyDescent="0.35">
      <c r="F87" s="181" t="str">
        <f>'Block 2 (Bioestimulant)'!A80</f>
        <v>Power consumption heating (kWh)</v>
      </c>
      <c r="G87" s="154" t="str">
        <f>'Block 2 (Bioestimulant)'!B80</f>
        <v>€</v>
      </c>
      <c r="H87" s="180">
        <f>'Block 2 (Bioestimulant)'!C80</f>
        <v>74079.070312499985</v>
      </c>
    </row>
    <row r="88" spans="6:8" s="155" customFormat="1" x14ac:dyDescent="0.35">
      <c r="F88" s="181"/>
      <c r="G88" s="154"/>
      <c r="H88" s="180"/>
    </row>
    <row r="89" spans="6:8" x14ac:dyDescent="0.35">
      <c r="F89" s="206" t="s">
        <v>66</v>
      </c>
      <c r="G89" s="171"/>
      <c r="H89" s="152"/>
    </row>
    <row r="90" spans="6:8" x14ac:dyDescent="0.35">
      <c r="F90" s="2" t="str">
        <f>'Block 2 (Bioestimulant)'!A83</f>
        <v>Labor</v>
      </c>
      <c r="G90" s="171" t="str">
        <f>'Block 2 (Bioestimulant)'!B83</f>
        <v>€</v>
      </c>
      <c r="H90" s="152">
        <f>'Block 2 (Bioestimulant)'!C83</f>
        <v>30000</v>
      </c>
    </row>
    <row r="91" spans="6:8" x14ac:dyDescent="0.35">
      <c r="F91" s="2" t="str">
        <f>'Block 2 (Bioestimulant)'!A84</f>
        <v>Supervision (@ 0.2 labor)</v>
      </c>
      <c r="G91" s="171" t="str">
        <f>'Block 2 (Bioestimulant)'!B84</f>
        <v>€</v>
      </c>
      <c r="H91" s="152">
        <f>'Block 2 (Bioestimulant)'!C84</f>
        <v>6000</v>
      </c>
    </row>
    <row r="92" spans="6:8" x14ac:dyDescent="0.35">
      <c r="F92" s="2" t="str">
        <f>'Block 2 (Bioestimulant)'!A85</f>
        <v>Payroll charges (@ 0.25 (labor + supervision))</v>
      </c>
      <c r="G92" s="171" t="str">
        <f>'Block 2 (Bioestimulant)'!B85</f>
        <v>€</v>
      </c>
      <c r="H92" s="152">
        <f>'Block 2 (Bioestimulant)'!C85</f>
        <v>15000</v>
      </c>
    </row>
    <row r="93" spans="6:8" x14ac:dyDescent="0.35">
      <c r="F93" s="2" t="str">
        <f>'Block 2 (Bioestimulant)'!A86</f>
        <v>Maintenance (@ 0.04 MEC)</v>
      </c>
      <c r="G93" s="171" t="str">
        <f>'Block 2 (Bioestimulant)'!B86</f>
        <v>€</v>
      </c>
      <c r="H93" s="152">
        <f>'Block 2 (Bioestimulant)'!C86</f>
        <v>4772.9233495551298</v>
      </c>
    </row>
    <row r="94" spans="6:8" x14ac:dyDescent="0.35">
      <c r="F94" s="2" t="str">
        <f>'Block 2 (Bioestimulant)'!A87</f>
        <v>Operating supplies (@ 0.004 items raw material)</v>
      </c>
      <c r="G94" s="171" t="str">
        <f>'Block 2 (Bioestimulant)'!B87</f>
        <v>€</v>
      </c>
      <c r="H94" s="152" t="e">
        <f>'Block 2 (Bioestimulant)'!C87</f>
        <v>#REF!</v>
      </c>
    </row>
    <row r="95" spans="6:8" x14ac:dyDescent="0.35">
      <c r="F95" s="2" t="str">
        <f>'Block 2 (Bioestimulant)'!A88</f>
        <v>General plant overheads (@ 0.55 (labor + supervision + maintenance))</v>
      </c>
      <c r="G95" s="171" t="str">
        <f>'Block 2 (Bioestimulant)'!B88</f>
        <v>€</v>
      </c>
      <c r="H95" s="152">
        <f>'Block 2 (Bioestimulant)'!C88</f>
        <v>98627.696056383051</v>
      </c>
    </row>
    <row r="96" spans="6:8" x14ac:dyDescent="0.35">
      <c r="F96" s="2" t="str">
        <f>'Block 2 (Bioestimulant)'!A89</f>
        <v>Tax (@ 0.16 items raw material + utilities + maintance + operating supply)</v>
      </c>
      <c r="G96" s="171" t="str">
        <f>'Block 2 (Bioestimulant)'!B89</f>
        <v>€</v>
      </c>
      <c r="H96" s="152" t="e">
        <f>'Block 2 (Bioestimulant)'!C89</f>
        <v>#REF!</v>
      </c>
    </row>
    <row r="97" spans="1:916" x14ac:dyDescent="0.35">
      <c r="F97" s="2" t="str">
        <f>'Block 2 (Bioestimulant)'!A90</f>
        <v>Contingency (@ 0.05 items raw material + utilities)</v>
      </c>
      <c r="G97" s="171" t="str">
        <f>'Block 2 (Bioestimulant)'!B90</f>
        <v>€</v>
      </c>
      <c r="H97" s="152" t="e">
        <f>'Block 2 (Bioestimulant)'!C90</f>
        <v>#REF!</v>
      </c>
    </row>
    <row r="98" spans="1:916" ht="15" thickBot="1" x14ac:dyDescent="0.4">
      <c r="F98" s="2" t="str">
        <f>'Block 2 (Bioestimulant)'!A91</f>
        <v>Marketing (@ 0.05 items raw material + utilities + supervision + payroll + maintance + operating + general overheads)</v>
      </c>
      <c r="G98" s="171" t="str">
        <f>'Block 2 (Bioestimulant)'!B91</f>
        <v>€</v>
      </c>
      <c r="H98" s="152" t="e">
        <f>'Block 2 (Bioestimulant)'!C91</f>
        <v>#REF!</v>
      </c>
    </row>
    <row r="99" spans="1:916" s="160" customFormat="1" x14ac:dyDescent="0.35">
      <c r="A99" s="155"/>
      <c r="B99" s="155"/>
      <c r="C99" s="155"/>
      <c r="D99" s="155"/>
      <c r="E99" s="155"/>
      <c r="F99" s="169" t="str">
        <f>'Block 2 (Bioestimulant)'!A92</f>
        <v>Total raw materials</v>
      </c>
      <c r="G99" s="177" t="str">
        <f>'Block 2 (Bioestimulant)'!B92</f>
        <v>€</v>
      </c>
      <c r="H99" s="159" t="e">
        <f>'Block 2 (Bioestimulant)'!C92</f>
        <v>#REF!</v>
      </c>
      <c r="I99" s="155"/>
      <c r="J99" s="155"/>
      <c r="K99" s="155"/>
      <c r="L99" s="155"/>
      <c r="M99" s="155"/>
      <c r="N99" s="155"/>
      <c r="O99" s="155"/>
      <c r="P99" s="155"/>
      <c r="Q99" s="155"/>
      <c r="R99" s="155"/>
      <c r="S99" s="155"/>
      <c r="T99" s="155"/>
      <c r="U99" s="155"/>
      <c r="V99" s="155"/>
      <c r="W99" s="155"/>
      <c r="X99" s="155"/>
      <c r="Y99" s="155"/>
      <c r="Z99" s="155"/>
      <c r="AA99" s="155"/>
      <c r="AB99" s="155"/>
      <c r="AC99" s="155"/>
      <c r="AD99" s="155"/>
      <c r="AE99" s="155"/>
      <c r="AF99" s="155"/>
      <c r="AG99" s="155"/>
      <c r="AH99" s="155"/>
      <c r="AI99" s="155"/>
      <c r="AJ99" s="155"/>
      <c r="AK99" s="155"/>
      <c r="AL99" s="155"/>
      <c r="AM99" s="155"/>
      <c r="AN99" s="155"/>
      <c r="AO99" s="155"/>
      <c r="AP99" s="155"/>
      <c r="AQ99" s="155"/>
      <c r="AR99" s="155"/>
      <c r="AS99" s="155"/>
      <c r="AT99" s="155"/>
      <c r="AU99" s="155"/>
      <c r="AV99" s="155"/>
      <c r="AW99" s="155"/>
      <c r="AX99" s="155"/>
      <c r="AY99" s="155"/>
      <c r="AZ99" s="155"/>
      <c r="BA99" s="155"/>
      <c r="BB99" s="155"/>
      <c r="BC99" s="155"/>
      <c r="BD99" s="155"/>
      <c r="BE99" s="155"/>
      <c r="BF99" s="155"/>
      <c r="BG99" s="155"/>
      <c r="BH99" s="155"/>
      <c r="BI99" s="155"/>
      <c r="BJ99" s="155"/>
      <c r="BK99" s="155"/>
      <c r="BL99" s="155"/>
      <c r="BM99" s="155"/>
      <c r="BN99" s="155"/>
      <c r="BO99" s="155"/>
      <c r="BP99" s="155"/>
      <c r="BQ99" s="155"/>
      <c r="BR99" s="155"/>
      <c r="BS99" s="155"/>
      <c r="BT99" s="155"/>
      <c r="BU99" s="155"/>
      <c r="BV99" s="155"/>
      <c r="BW99" s="155"/>
      <c r="BX99" s="155"/>
      <c r="BY99" s="155"/>
      <c r="BZ99" s="155"/>
      <c r="CA99" s="155"/>
      <c r="CB99" s="155"/>
      <c r="CC99" s="155"/>
      <c r="CD99" s="155"/>
      <c r="CE99" s="155"/>
      <c r="CF99" s="155"/>
      <c r="CG99" s="155"/>
      <c r="CH99" s="155"/>
      <c r="CI99" s="155"/>
      <c r="CJ99" s="155"/>
      <c r="CK99" s="155"/>
      <c r="CL99" s="155"/>
      <c r="CM99" s="155"/>
      <c r="CN99" s="155"/>
      <c r="CO99" s="155"/>
      <c r="CP99" s="155"/>
      <c r="CQ99" s="155"/>
      <c r="CR99" s="155"/>
      <c r="CS99" s="155"/>
      <c r="CT99" s="155"/>
      <c r="CU99" s="155"/>
      <c r="CV99" s="155"/>
      <c r="CW99" s="155"/>
      <c r="CX99" s="155"/>
      <c r="CY99" s="155"/>
      <c r="CZ99" s="155"/>
      <c r="DA99" s="155"/>
      <c r="DB99" s="155"/>
      <c r="DC99" s="155"/>
      <c r="DD99" s="155"/>
      <c r="DE99" s="155"/>
      <c r="DF99" s="155"/>
      <c r="DG99" s="155"/>
      <c r="DH99" s="155"/>
      <c r="DI99" s="155"/>
      <c r="DJ99" s="155"/>
      <c r="DK99" s="155"/>
      <c r="DL99" s="155"/>
      <c r="DM99" s="155"/>
      <c r="DN99" s="155"/>
      <c r="DO99" s="155"/>
      <c r="DP99" s="155"/>
      <c r="DQ99" s="155"/>
      <c r="DR99" s="155"/>
      <c r="DS99" s="155"/>
      <c r="DT99" s="155"/>
      <c r="DU99" s="155"/>
      <c r="DV99" s="155"/>
      <c r="DW99" s="155"/>
      <c r="DX99" s="155"/>
      <c r="DY99" s="155"/>
      <c r="DZ99" s="155"/>
      <c r="EA99" s="155"/>
      <c r="EB99" s="155"/>
      <c r="EC99" s="155"/>
      <c r="ED99" s="155"/>
      <c r="EE99" s="155"/>
      <c r="EF99" s="155"/>
      <c r="EG99" s="155"/>
      <c r="EH99" s="155"/>
      <c r="EI99" s="155"/>
      <c r="EJ99" s="155"/>
      <c r="EK99" s="155"/>
      <c r="EL99" s="155"/>
      <c r="EM99" s="155"/>
      <c r="EN99" s="155"/>
      <c r="EO99" s="155"/>
      <c r="EP99" s="155"/>
      <c r="EQ99" s="155"/>
      <c r="ER99" s="155"/>
      <c r="ES99" s="155"/>
      <c r="ET99" s="155"/>
      <c r="EU99" s="155"/>
      <c r="EV99" s="155"/>
      <c r="EW99" s="155"/>
      <c r="EX99" s="155"/>
      <c r="EY99" s="155"/>
      <c r="EZ99" s="155"/>
      <c r="FA99" s="155"/>
      <c r="FB99" s="155"/>
      <c r="FC99" s="155"/>
      <c r="FD99" s="155"/>
      <c r="FE99" s="155"/>
      <c r="FF99" s="155"/>
      <c r="FG99" s="155"/>
      <c r="FH99" s="155"/>
      <c r="FI99" s="155"/>
      <c r="FJ99" s="155"/>
      <c r="FK99" s="155"/>
      <c r="FL99" s="155"/>
      <c r="FM99" s="155"/>
      <c r="FN99" s="155"/>
      <c r="FO99" s="155"/>
      <c r="FP99" s="155"/>
      <c r="FQ99" s="155"/>
      <c r="FR99" s="155"/>
      <c r="FS99" s="155"/>
      <c r="FT99" s="155"/>
      <c r="FU99" s="155"/>
      <c r="FV99" s="155"/>
      <c r="FW99" s="155"/>
      <c r="FX99" s="155"/>
      <c r="FY99" s="155"/>
      <c r="FZ99" s="155"/>
      <c r="GA99" s="155"/>
      <c r="GB99" s="155"/>
      <c r="GC99" s="155"/>
      <c r="GD99" s="155"/>
      <c r="GE99" s="155"/>
      <c r="GF99" s="155"/>
      <c r="GG99" s="155"/>
      <c r="GH99" s="155"/>
      <c r="GI99" s="155"/>
      <c r="GJ99" s="155"/>
      <c r="GK99" s="155"/>
      <c r="GL99" s="155"/>
      <c r="GM99" s="155"/>
      <c r="GN99" s="155"/>
      <c r="GO99" s="155"/>
      <c r="GP99" s="155"/>
      <c r="GQ99" s="155"/>
      <c r="GR99" s="155"/>
      <c r="GS99" s="155"/>
      <c r="GT99" s="155"/>
      <c r="GU99" s="155"/>
      <c r="GV99" s="155"/>
      <c r="GW99" s="155"/>
      <c r="GX99" s="155"/>
      <c r="GY99" s="155"/>
      <c r="GZ99" s="155"/>
      <c r="HA99" s="155"/>
      <c r="HB99" s="155"/>
      <c r="HC99" s="155"/>
      <c r="HD99" s="155"/>
      <c r="HE99" s="155"/>
      <c r="HF99" s="155"/>
      <c r="HG99" s="155"/>
      <c r="HH99" s="155"/>
      <c r="HI99" s="155"/>
      <c r="HJ99" s="155"/>
      <c r="HK99" s="155"/>
      <c r="HL99" s="155"/>
      <c r="HM99" s="155"/>
      <c r="HN99" s="155"/>
      <c r="HO99" s="155"/>
      <c r="HP99" s="155"/>
      <c r="HQ99" s="155"/>
      <c r="HR99" s="155"/>
      <c r="HS99" s="155"/>
      <c r="HT99" s="155"/>
      <c r="HU99" s="155"/>
      <c r="HV99" s="155"/>
      <c r="HW99" s="155"/>
      <c r="HX99" s="155"/>
      <c r="HY99" s="155"/>
      <c r="HZ99" s="155"/>
      <c r="IA99" s="155"/>
      <c r="IB99" s="155"/>
      <c r="IC99" s="155"/>
      <c r="ID99" s="155"/>
      <c r="IE99" s="155"/>
      <c r="IF99" s="155"/>
      <c r="IG99" s="155"/>
      <c r="IH99" s="155"/>
      <c r="II99" s="155"/>
      <c r="IJ99" s="155"/>
      <c r="IK99" s="155"/>
      <c r="IL99" s="155"/>
      <c r="IM99" s="155"/>
      <c r="IN99" s="155"/>
      <c r="IO99" s="155"/>
      <c r="IP99" s="155"/>
      <c r="IQ99" s="155"/>
      <c r="IR99" s="155"/>
      <c r="IS99" s="155"/>
      <c r="IT99" s="155"/>
      <c r="IU99" s="155"/>
      <c r="IV99" s="155"/>
      <c r="IW99" s="155"/>
      <c r="IX99" s="155"/>
      <c r="IY99" s="155"/>
      <c r="IZ99" s="155"/>
      <c r="JA99" s="155"/>
      <c r="JB99" s="155"/>
      <c r="JC99" s="155"/>
      <c r="JD99" s="155"/>
      <c r="JE99" s="155"/>
      <c r="JF99" s="155"/>
      <c r="JG99" s="155"/>
      <c r="JH99" s="155"/>
      <c r="JI99" s="155"/>
      <c r="JJ99" s="155"/>
      <c r="JK99" s="155"/>
      <c r="JL99" s="155"/>
      <c r="JM99" s="155"/>
      <c r="JN99" s="155"/>
      <c r="JO99" s="155"/>
      <c r="JP99" s="155"/>
      <c r="JQ99" s="155"/>
      <c r="JR99" s="155"/>
      <c r="JS99" s="155"/>
      <c r="JT99" s="155"/>
      <c r="JU99" s="155"/>
      <c r="JV99" s="155"/>
      <c r="JW99" s="155"/>
      <c r="JX99" s="155"/>
      <c r="JY99" s="155"/>
      <c r="JZ99" s="155"/>
      <c r="KA99" s="155"/>
      <c r="KB99" s="155"/>
      <c r="KC99" s="155"/>
      <c r="KD99" s="155"/>
      <c r="KE99" s="155"/>
      <c r="KF99" s="155"/>
      <c r="KG99" s="155"/>
      <c r="KH99" s="155"/>
      <c r="KI99" s="155"/>
      <c r="KJ99" s="155"/>
      <c r="KK99" s="155"/>
      <c r="KL99" s="155"/>
      <c r="KM99" s="155"/>
      <c r="KN99" s="155"/>
      <c r="KO99" s="155"/>
      <c r="KP99" s="155"/>
      <c r="KQ99" s="155"/>
      <c r="KR99" s="155"/>
      <c r="KS99" s="155"/>
      <c r="KT99" s="155"/>
      <c r="KU99" s="155"/>
      <c r="KV99" s="155"/>
      <c r="KW99" s="155"/>
      <c r="KX99" s="155"/>
      <c r="KY99" s="155"/>
      <c r="KZ99" s="155"/>
      <c r="LA99" s="155"/>
      <c r="LB99" s="155"/>
      <c r="LC99" s="155"/>
      <c r="LD99" s="155"/>
      <c r="LE99" s="155"/>
      <c r="LF99" s="155"/>
      <c r="LG99" s="155"/>
      <c r="LH99" s="155"/>
      <c r="LI99" s="155"/>
      <c r="LJ99" s="155"/>
      <c r="LK99" s="155"/>
      <c r="LL99" s="155"/>
      <c r="LM99" s="155"/>
      <c r="LN99" s="155"/>
      <c r="LO99" s="155"/>
      <c r="LP99" s="155"/>
      <c r="LQ99" s="155"/>
      <c r="LR99" s="155"/>
      <c r="LS99" s="155"/>
      <c r="LT99" s="155"/>
      <c r="LU99" s="155"/>
      <c r="LV99" s="155"/>
      <c r="LW99" s="155"/>
      <c r="LX99" s="155"/>
      <c r="LY99" s="155"/>
      <c r="LZ99" s="155"/>
      <c r="MA99" s="155"/>
      <c r="MB99" s="155"/>
      <c r="MC99" s="155"/>
      <c r="MD99" s="155"/>
      <c r="ME99" s="155"/>
      <c r="MF99" s="155"/>
      <c r="MG99" s="155"/>
      <c r="MH99" s="155"/>
      <c r="MI99" s="155"/>
      <c r="MJ99" s="155"/>
      <c r="MK99" s="155"/>
      <c r="ML99" s="155"/>
      <c r="MM99" s="155"/>
      <c r="MN99" s="155"/>
      <c r="MO99" s="155"/>
      <c r="MP99" s="155"/>
      <c r="MQ99" s="155"/>
      <c r="MR99" s="155"/>
      <c r="MS99" s="155"/>
      <c r="MT99" s="155"/>
      <c r="MU99" s="155"/>
      <c r="MV99" s="155"/>
      <c r="MW99" s="155"/>
      <c r="MX99" s="155"/>
      <c r="MY99" s="155"/>
      <c r="MZ99" s="155"/>
      <c r="NA99" s="155"/>
      <c r="NB99" s="155"/>
      <c r="NC99" s="155"/>
      <c r="ND99" s="155"/>
      <c r="NE99" s="155"/>
      <c r="NF99" s="155"/>
      <c r="NG99" s="155"/>
      <c r="NH99" s="155"/>
      <c r="NI99" s="155"/>
      <c r="NJ99" s="155"/>
      <c r="NK99" s="155"/>
      <c r="NL99" s="155"/>
      <c r="NM99" s="155"/>
      <c r="NN99" s="155"/>
      <c r="NO99" s="155"/>
      <c r="NP99" s="155"/>
      <c r="NQ99" s="155"/>
      <c r="NR99" s="155"/>
      <c r="NS99" s="155"/>
      <c r="NT99" s="155"/>
      <c r="NU99" s="155"/>
      <c r="NV99" s="155"/>
      <c r="NW99" s="155"/>
      <c r="NX99" s="155"/>
      <c r="NY99" s="155"/>
      <c r="NZ99" s="155"/>
      <c r="OA99" s="155"/>
      <c r="OB99" s="155"/>
      <c r="OC99" s="155"/>
      <c r="OD99" s="155"/>
      <c r="OE99" s="155"/>
      <c r="OF99" s="155"/>
      <c r="OG99" s="155"/>
      <c r="OH99" s="155"/>
      <c r="OI99" s="155"/>
      <c r="OJ99" s="155"/>
      <c r="OK99" s="155"/>
      <c r="OL99" s="155"/>
      <c r="OM99" s="155"/>
      <c r="ON99" s="155"/>
      <c r="OO99" s="155"/>
      <c r="OP99" s="155"/>
      <c r="OQ99" s="155"/>
      <c r="OR99" s="155"/>
      <c r="OS99" s="155"/>
      <c r="OT99" s="155"/>
      <c r="OU99" s="155"/>
      <c r="OV99" s="155"/>
      <c r="OW99" s="155"/>
      <c r="OX99" s="155"/>
      <c r="OY99" s="155"/>
      <c r="OZ99" s="155"/>
      <c r="PA99" s="155"/>
      <c r="PB99" s="155"/>
      <c r="PC99" s="155"/>
      <c r="PD99" s="155"/>
      <c r="PE99" s="155"/>
      <c r="PF99" s="155"/>
      <c r="PG99" s="155"/>
      <c r="PH99" s="155"/>
      <c r="PI99" s="155"/>
      <c r="PJ99" s="155"/>
      <c r="PK99" s="155"/>
      <c r="PL99" s="155"/>
      <c r="PM99" s="155"/>
      <c r="PN99" s="155"/>
      <c r="PO99" s="155"/>
      <c r="PP99" s="155"/>
      <c r="PQ99" s="155"/>
      <c r="PR99" s="155"/>
      <c r="PS99" s="155"/>
      <c r="PT99" s="155"/>
      <c r="PU99" s="155"/>
      <c r="PV99" s="155"/>
      <c r="PW99" s="155"/>
      <c r="PX99" s="155"/>
      <c r="PY99" s="155"/>
      <c r="PZ99" s="155"/>
      <c r="QA99" s="155"/>
      <c r="QB99" s="155"/>
      <c r="QC99" s="155"/>
      <c r="QD99" s="155"/>
      <c r="QE99" s="155"/>
      <c r="QF99" s="155"/>
      <c r="QG99" s="155"/>
      <c r="QH99" s="155"/>
      <c r="QI99" s="155"/>
      <c r="QJ99" s="155"/>
      <c r="QK99" s="155"/>
      <c r="QL99" s="155"/>
      <c r="QM99" s="155"/>
      <c r="QN99" s="155"/>
      <c r="QO99" s="155"/>
      <c r="QP99" s="155"/>
      <c r="QQ99" s="155"/>
      <c r="QR99" s="155"/>
      <c r="QS99" s="155"/>
      <c r="QT99" s="155"/>
      <c r="QU99" s="155"/>
      <c r="QV99" s="155"/>
      <c r="QW99" s="155"/>
      <c r="QX99" s="155"/>
      <c r="QY99" s="155"/>
      <c r="QZ99" s="155"/>
      <c r="RA99" s="155"/>
      <c r="RB99" s="155"/>
      <c r="RC99" s="155"/>
      <c r="RD99" s="155"/>
      <c r="RE99" s="155"/>
      <c r="RF99" s="155"/>
      <c r="RG99" s="155"/>
      <c r="RH99" s="155"/>
      <c r="RI99" s="155"/>
      <c r="RJ99" s="155"/>
      <c r="RK99" s="155"/>
      <c r="RL99" s="155"/>
      <c r="RM99" s="155"/>
      <c r="RN99" s="155"/>
      <c r="RO99" s="155"/>
      <c r="RP99" s="155"/>
      <c r="RQ99" s="155"/>
      <c r="RR99" s="155"/>
      <c r="RS99" s="155"/>
      <c r="RT99" s="155"/>
      <c r="RU99" s="155"/>
      <c r="RV99" s="155"/>
      <c r="RW99" s="155"/>
      <c r="RX99" s="155"/>
      <c r="RY99" s="155"/>
      <c r="RZ99" s="155"/>
      <c r="SA99" s="155"/>
      <c r="SB99" s="155"/>
      <c r="SC99" s="155"/>
      <c r="SD99" s="155"/>
      <c r="SE99" s="155"/>
      <c r="SF99" s="155"/>
      <c r="SG99" s="155"/>
      <c r="SH99" s="155"/>
      <c r="SI99" s="155"/>
      <c r="SJ99" s="155"/>
      <c r="SK99" s="155"/>
      <c r="SL99" s="155"/>
      <c r="SM99" s="155"/>
      <c r="SN99" s="155"/>
      <c r="SO99" s="155"/>
      <c r="SP99" s="155"/>
      <c r="SQ99" s="155"/>
      <c r="SR99" s="155"/>
      <c r="SS99" s="155"/>
      <c r="ST99" s="155"/>
      <c r="SU99" s="155"/>
      <c r="SV99" s="155"/>
      <c r="SW99" s="155"/>
      <c r="SX99" s="155"/>
      <c r="SY99" s="155"/>
      <c r="SZ99" s="155"/>
      <c r="TA99" s="155"/>
      <c r="TB99" s="155"/>
      <c r="TC99" s="155"/>
      <c r="TD99" s="155"/>
      <c r="TE99" s="155"/>
      <c r="TF99" s="155"/>
      <c r="TG99" s="155"/>
      <c r="TH99" s="155"/>
      <c r="TI99" s="155"/>
      <c r="TJ99" s="155"/>
      <c r="TK99" s="155"/>
      <c r="TL99" s="155"/>
      <c r="TM99" s="155"/>
      <c r="TN99" s="155"/>
      <c r="TO99" s="155"/>
      <c r="TP99" s="155"/>
      <c r="TQ99" s="155"/>
      <c r="TR99" s="155"/>
      <c r="TS99" s="155"/>
      <c r="TT99" s="155"/>
      <c r="TU99" s="155"/>
      <c r="TV99" s="155"/>
      <c r="TW99" s="155"/>
      <c r="TX99" s="155"/>
      <c r="TY99" s="155"/>
      <c r="TZ99" s="155"/>
      <c r="UA99" s="155"/>
      <c r="UB99" s="155"/>
      <c r="UC99" s="155"/>
      <c r="UD99" s="155"/>
      <c r="UE99" s="155"/>
      <c r="UF99" s="155"/>
      <c r="UG99" s="155"/>
      <c r="UH99" s="155"/>
      <c r="UI99" s="155"/>
      <c r="UJ99" s="155"/>
      <c r="UK99" s="155"/>
      <c r="UL99" s="155"/>
      <c r="UM99" s="155"/>
      <c r="UN99" s="155"/>
      <c r="UO99" s="155"/>
      <c r="UP99" s="155"/>
      <c r="UQ99" s="155"/>
      <c r="UR99" s="155"/>
      <c r="US99" s="155"/>
      <c r="UT99" s="155"/>
      <c r="UU99" s="155"/>
      <c r="UV99" s="155"/>
      <c r="UW99" s="155"/>
      <c r="UX99" s="155"/>
      <c r="UY99" s="155"/>
      <c r="UZ99" s="155"/>
      <c r="VA99" s="155"/>
      <c r="VB99" s="155"/>
      <c r="VC99" s="155"/>
      <c r="VD99" s="155"/>
      <c r="VE99" s="155"/>
      <c r="VF99" s="155"/>
      <c r="VG99" s="155"/>
      <c r="VH99" s="155"/>
      <c r="VI99" s="155"/>
      <c r="VJ99" s="155"/>
      <c r="VK99" s="155"/>
      <c r="VL99" s="155"/>
      <c r="VM99" s="155"/>
      <c r="VN99" s="155"/>
      <c r="VO99" s="155"/>
      <c r="VP99" s="155"/>
      <c r="VQ99" s="155"/>
      <c r="VR99" s="155"/>
      <c r="VS99" s="155"/>
      <c r="VT99" s="155"/>
      <c r="VU99" s="155"/>
      <c r="VV99" s="155"/>
      <c r="VW99" s="155"/>
      <c r="VX99" s="155"/>
      <c r="VY99" s="155"/>
      <c r="VZ99" s="155"/>
      <c r="WA99" s="155"/>
      <c r="WB99" s="155"/>
      <c r="WC99" s="155"/>
      <c r="WD99" s="155"/>
      <c r="WE99" s="155"/>
      <c r="WF99" s="155"/>
      <c r="WG99" s="155"/>
      <c r="WH99" s="155"/>
      <c r="WI99" s="155"/>
      <c r="WJ99" s="155"/>
      <c r="WK99" s="155"/>
      <c r="WL99" s="155"/>
      <c r="WM99" s="155"/>
      <c r="WN99" s="155"/>
      <c r="WO99" s="155"/>
      <c r="WP99" s="155"/>
      <c r="WQ99" s="155"/>
      <c r="WR99" s="155"/>
      <c r="WS99" s="155"/>
      <c r="WT99" s="155"/>
      <c r="WU99" s="155"/>
      <c r="WV99" s="155"/>
      <c r="WW99" s="155"/>
      <c r="WX99" s="155"/>
      <c r="WY99" s="155"/>
      <c r="WZ99" s="155"/>
      <c r="XA99" s="155"/>
      <c r="XB99" s="155"/>
      <c r="XC99" s="155"/>
      <c r="XD99" s="155"/>
      <c r="XE99" s="155"/>
      <c r="XF99" s="155"/>
      <c r="XG99" s="155"/>
      <c r="XH99" s="155"/>
      <c r="XI99" s="155"/>
      <c r="XJ99" s="155"/>
      <c r="XK99" s="155"/>
      <c r="XL99" s="155"/>
      <c r="XM99" s="155"/>
      <c r="XN99" s="155"/>
      <c r="XO99" s="155"/>
      <c r="XP99" s="155"/>
      <c r="XQ99" s="155"/>
      <c r="XR99" s="155"/>
      <c r="XS99" s="155"/>
      <c r="XT99" s="155"/>
      <c r="XU99" s="155"/>
      <c r="XV99" s="155"/>
      <c r="XW99" s="155"/>
      <c r="XX99" s="155"/>
      <c r="XY99" s="155"/>
      <c r="XZ99" s="155"/>
      <c r="YA99" s="155"/>
      <c r="YB99" s="155"/>
      <c r="YC99" s="155"/>
      <c r="YD99" s="155"/>
      <c r="YE99" s="155"/>
      <c r="YF99" s="155"/>
      <c r="YG99" s="155"/>
      <c r="YH99" s="155"/>
      <c r="YI99" s="155"/>
      <c r="YJ99" s="155"/>
      <c r="YK99" s="155"/>
      <c r="YL99" s="155"/>
      <c r="YM99" s="155"/>
      <c r="YN99" s="155"/>
      <c r="YO99" s="155"/>
      <c r="YP99" s="155"/>
      <c r="YQ99" s="155"/>
      <c r="YR99" s="155"/>
      <c r="YS99" s="155"/>
      <c r="YT99" s="155"/>
      <c r="YU99" s="155"/>
      <c r="YV99" s="155"/>
      <c r="YW99" s="155"/>
      <c r="YX99" s="155"/>
      <c r="YY99" s="155"/>
      <c r="YZ99" s="155"/>
      <c r="ZA99" s="155"/>
      <c r="ZB99" s="155"/>
      <c r="ZC99" s="155"/>
      <c r="ZD99" s="155"/>
      <c r="ZE99" s="155"/>
      <c r="ZF99" s="155"/>
      <c r="ZG99" s="155"/>
      <c r="ZH99" s="155"/>
      <c r="ZI99" s="155"/>
      <c r="ZJ99" s="155"/>
      <c r="ZK99" s="155"/>
      <c r="ZL99" s="155"/>
      <c r="ZM99" s="155"/>
      <c r="ZN99" s="155"/>
      <c r="ZO99" s="155"/>
      <c r="ZP99" s="155"/>
      <c r="ZQ99" s="155"/>
      <c r="ZR99" s="155"/>
      <c r="ZS99" s="155"/>
      <c r="ZT99" s="155"/>
      <c r="ZU99" s="155"/>
      <c r="ZV99" s="155"/>
      <c r="ZW99" s="155"/>
      <c r="ZX99" s="155"/>
      <c r="ZY99" s="155"/>
      <c r="ZZ99" s="155"/>
      <c r="AAA99" s="155"/>
      <c r="AAB99" s="155"/>
      <c r="AAC99" s="155"/>
      <c r="AAD99" s="155"/>
      <c r="AAE99" s="155"/>
      <c r="AAF99" s="155"/>
      <c r="AAG99" s="155"/>
      <c r="AAH99" s="155"/>
      <c r="AAI99" s="155"/>
      <c r="AAJ99" s="155"/>
      <c r="AAK99" s="155"/>
      <c r="AAL99" s="155"/>
      <c r="AAM99" s="155"/>
      <c r="AAN99" s="155"/>
      <c r="AAO99" s="155"/>
      <c r="AAP99" s="155"/>
      <c r="AAQ99" s="155"/>
      <c r="AAR99" s="155"/>
      <c r="AAS99" s="155"/>
      <c r="AAT99" s="155"/>
      <c r="AAU99" s="155"/>
      <c r="AAV99" s="155"/>
      <c r="AAW99" s="155"/>
      <c r="AAX99" s="155"/>
      <c r="AAY99" s="155"/>
      <c r="AAZ99" s="155"/>
      <c r="ABA99" s="155"/>
      <c r="ABB99" s="155"/>
      <c r="ABC99" s="155"/>
      <c r="ABD99" s="155"/>
      <c r="ABE99" s="155"/>
      <c r="ABF99" s="155"/>
      <c r="ABG99" s="155"/>
      <c r="ABH99" s="155"/>
      <c r="ABI99" s="155"/>
      <c r="ABJ99" s="155"/>
      <c r="ABK99" s="155"/>
      <c r="ABL99" s="155"/>
      <c r="ABM99" s="155"/>
      <c r="ABN99" s="155"/>
      <c r="ABO99" s="155"/>
      <c r="ABP99" s="155"/>
      <c r="ABQ99" s="155"/>
      <c r="ABR99" s="155"/>
      <c r="ABS99" s="155"/>
      <c r="ABT99" s="155"/>
      <c r="ABU99" s="155"/>
      <c r="ABV99" s="155"/>
      <c r="ABW99" s="155"/>
      <c r="ABX99" s="155"/>
      <c r="ABY99" s="155"/>
      <c r="ABZ99" s="155"/>
      <c r="ACA99" s="155"/>
      <c r="ACB99" s="155"/>
      <c r="ACC99" s="155"/>
      <c r="ACD99" s="155"/>
      <c r="ACE99" s="155"/>
      <c r="ACF99" s="155"/>
      <c r="ACG99" s="155"/>
      <c r="ACH99" s="155"/>
      <c r="ACI99" s="155"/>
      <c r="ACJ99" s="155"/>
      <c r="ACK99" s="155"/>
      <c r="ACL99" s="155"/>
      <c r="ACM99" s="155"/>
      <c r="ACN99" s="155"/>
      <c r="ACO99" s="155"/>
      <c r="ACP99" s="155"/>
      <c r="ACQ99" s="155"/>
      <c r="ACR99" s="155"/>
      <c r="ACS99" s="155"/>
      <c r="ACT99" s="155"/>
      <c r="ACU99" s="155"/>
      <c r="ACV99" s="155"/>
      <c r="ACW99" s="155"/>
      <c r="ACX99" s="155"/>
      <c r="ACY99" s="155"/>
      <c r="ACZ99" s="155"/>
      <c r="ADA99" s="155"/>
      <c r="ADB99" s="155"/>
      <c r="ADC99" s="155"/>
      <c r="ADD99" s="155"/>
      <c r="ADE99" s="155"/>
      <c r="ADF99" s="155"/>
      <c r="ADG99" s="155"/>
      <c r="ADH99" s="155"/>
      <c r="ADI99" s="155"/>
      <c r="ADJ99" s="155"/>
      <c r="ADK99" s="155"/>
      <c r="ADL99" s="155"/>
      <c r="ADM99" s="155"/>
      <c r="ADN99" s="155"/>
      <c r="ADO99" s="155"/>
      <c r="ADP99" s="155"/>
      <c r="ADQ99" s="155"/>
      <c r="ADR99" s="155"/>
      <c r="ADS99" s="155"/>
      <c r="ADT99" s="155"/>
      <c r="ADU99" s="155"/>
      <c r="ADV99" s="155"/>
      <c r="ADW99" s="155"/>
      <c r="ADX99" s="155"/>
      <c r="ADY99" s="155"/>
      <c r="ADZ99" s="155"/>
      <c r="AEA99" s="155"/>
      <c r="AEB99" s="155"/>
      <c r="AEC99" s="155"/>
      <c r="AED99" s="155"/>
      <c r="AEE99" s="155"/>
      <c r="AEF99" s="155"/>
      <c r="AEG99" s="155"/>
      <c r="AEH99" s="155"/>
      <c r="AEI99" s="155"/>
      <c r="AEJ99" s="155"/>
      <c r="AEK99" s="155"/>
      <c r="AEL99" s="155"/>
      <c r="AEM99" s="155"/>
      <c r="AEN99" s="155"/>
      <c r="AEO99" s="155"/>
      <c r="AEP99" s="155"/>
      <c r="AEQ99" s="155"/>
      <c r="AER99" s="155"/>
      <c r="AES99" s="155"/>
      <c r="AET99" s="155"/>
      <c r="AEU99" s="155"/>
      <c r="AEV99" s="155"/>
      <c r="AEW99" s="155"/>
      <c r="AEX99" s="155"/>
      <c r="AEY99" s="155"/>
      <c r="AEZ99" s="155"/>
      <c r="AFA99" s="155"/>
      <c r="AFB99" s="155"/>
      <c r="AFC99" s="155"/>
      <c r="AFD99" s="155"/>
      <c r="AFE99" s="155"/>
      <c r="AFF99" s="155"/>
      <c r="AFG99" s="155"/>
      <c r="AFH99" s="155"/>
      <c r="AFI99" s="155"/>
      <c r="AFJ99" s="155"/>
      <c r="AFK99" s="155"/>
      <c r="AFL99" s="155"/>
      <c r="AFM99" s="155"/>
      <c r="AFN99" s="155"/>
      <c r="AFO99" s="155"/>
      <c r="AFP99" s="155"/>
      <c r="AFQ99" s="155"/>
      <c r="AFR99" s="155"/>
      <c r="AFS99" s="155"/>
      <c r="AFT99" s="155"/>
      <c r="AFU99" s="155"/>
      <c r="AFV99" s="155"/>
      <c r="AFW99" s="155"/>
      <c r="AFX99" s="155"/>
      <c r="AFY99" s="155"/>
      <c r="AFZ99" s="155"/>
      <c r="AGA99" s="155"/>
      <c r="AGB99" s="155"/>
      <c r="AGC99" s="155"/>
      <c r="AGD99" s="155"/>
      <c r="AGE99" s="155"/>
      <c r="AGF99" s="155"/>
      <c r="AGG99" s="155"/>
      <c r="AGH99" s="155"/>
      <c r="AGI99" s="155"/>
      <c r="AGJ99" s="155"/>
      <c r="AGK99" s="155"/>
      <c r="AGL99" s="155"/>
      <c r="AGM99" s="155"/>
      <c r="AGN99" s="155"/>
      <c r="AGO99" s="155"/>
      <c r="AGP99" s="155"/>
      <c r="AGQ99" s="155"/>
      <c r="AGR99" s="155"/>
      <c r="AGS99" s="155"/>
      <c r="AGT99" s="155"/>
      <c r="AGU99" s="155"/>
      <c r="AGV99" s="155"/>
      <c r="AGW99" s="155"/>
      <c r="AGX99" s="155"/>
      <c r="AGY99" s="155"/>
      <c r="AGZ99" s="155"/>
      <c r="AHA99" s="155"/>
      <c r="AHB99" s="155"/>
      <c r="AHC99" s="155"/>
      <c r="AHD99" s="155"/>
      <c r="AHE99" s="155"/>
      <c r="AHF99" s="155"/>
      <c r="AHG99" s="155"/>
      <c r="AHH99" s="155"/>
      <c r="AHI99" s="155"/>
      <c r="AHJ99" s="155"/>
      <c r="AHK99" s="155"/>
      <c r="AHL99" s="155"/>
      <c r="AHM99" s="155"/>
      <c r="AHN99" s="155"/>
      <c r="AHO99" s="155"/>
      <c r="AHP99" s="155"/>
      <c r="AHQ99" s="155"/>
      <c r="AHR99" s="155"/>
      <c r="AHS99" s="155"/>
      <c r="AHT99" s="155"/>
      <c r="AHU99" s="155"/>
      <c r="AHV99" s="155"/>
      <c r="AHW99" s="155"/>
      <c r="AHX99" s="155"/>
      <c r="AHY99" s="155"/>
      <c r="AHZ99" s="155"/>
      <c r="AIA99" s="155"/>
      <c r="AIB99" s="155"/>
      <c r="AIC99" s="155"/>
      <c r="AID99" s="155"/>
      <c r="AIE99" s="155"/>
      <c r="AIF99" s="155"/>
    </row>
    <row r="100" spans="1:916" s="160" customFormat="1" x14ac:dyDescent="0.35">
      <c r="A100" s="155"/>
      <c r="B100" s="155"/>
      <c r="C100" s="155"/>
      <c r="D100" s="155"/>
      <c r="E100" s="155"/>
      <c r="F100" s="170" t="str">
        <f>'Block 2 (Bioestimulant)'!A93</f>
        <v>Total utilities</v>
      </c>
      <c r="G100" s="178" t="str">
        <f>'Block 2 (Bioestimulant)'!B93</f>
        <v>€</v>
      </c>
      <c r="H100" s="161">
        <f>'Block 2 (Bioestimulant)'!C93</f>
        <v>107849.5595203065</v>
      </c>
      <c r="I100" s="155"/>
      <c r="J100" s="155"/>
      <c r="K100" s="155"/>
      <c r="L100" s="155"/>
      <c r="M100" s="155"/>
      <c r="N100" s="155"/>
      <c r="O100" s="155"/>
      <c r="P100" s="155"/>
      <c r="Q100" s="155"/>
      <c r="R100" s="155"/>
      <c r="S100" s="155"/>
      <c r="T100" s="155"/>
      <c r="U100" s="155"/>
      <c r="V100" s="155"/>
      <c r="W100" s="155"/>
      <c r="X100" s="155"/>
      <c r="Y100" s="155"/>
      <c r="Z100" s="155"/>
      <c r="AA100" s="155"/>
      <c r="AB100" s="155"/>
      <c r="AC100" s="155"/>
      <c r="AD100" s="155"/>
      <c r="AE100" s="155"/>
      <c r="AF100" s="155"/>
      <c r="AG100" s="155"/>
      <c r="AH100" s="155"/>
      <c r="AI100" s="155"/>
      <c r="AJ100" s="155"/>
      <c r="AK100" s="155"/>
      <c r="AL100" s="155"/>
      <c r="AM100" s="155"/>
      <c r="AN100" s="155"/>
      <c r="AO100" s="155"/>
      <c r="AP100" s="155"/>
      <c r="AQ100" s="155"/>
      <c r="AR100" s="155"/>
      <c r="AS100" s="155"/>
      <c r="AT100" s="155"/>
      <c r="AU100" s="155"/>
      <c r="AV100" s="155"/>
      <c r="AW100" s="155"/>
      <c r="AX100" s="155"/>
      <c r="AY100" s="155"/>
      <c r="AZ100" s="155"/>
      <c r="BA100" s="155"/>
      <c r="BB100" s="155"/>
      <c r="BC100" s="155"/>
      <c r="BD100" s="155"/>
      <c r="BE100" s="155"/>
      <c r="BF100" s="155"/>
      <c r="BG100" s="155"/>
      <c r="BH100" s="155"/>
      <c r="BI100" s="155"/>
      <c r="BJ100" s="155"/>
      <c r="BK100" s="155"/>
      <c r="BL100" s="155"/>
      <c r="BM100" s="155"/>
      <c r="BN100" s="155"/>
      <c r="BO100" s="155"/>
      <c r="BP100" s="155"/>
      <c r="BQ100" s="155"/>
      <c r="BR100" s="155"/>
      <c r="BS100" s="155"/>
      <c r="BT100" s="155"/>
      <c r="BU100" s="155"/>
      <c r="BV100" s="155"/>
      <c r="BW100" s="155"/>
      <c r="BX100" s="155"/>
      <c r="BY100" s="155"/>
      <c r="BZ100" s="155"/>
      <c r="CA100" s="155"/>
      <c r="CB100" s="155"/>
      <c r="CC100" s="155"/>
      <c r="CD100" s="155"/>
      <c r="CE100" s="155"/>
      <c r="CF100" s="155"/>
      <c r="CG100" s="155"/>
      <c r="CH100" s="155"/>
      <c r="CI100" s="155"/>
      <c r="CJ100" s="155"/>
      <c r="CK100" s="155"/>
      <c r="CL100" s="155"/>
      <c r="CM100" s="155"/>
      <c r="CN100" s="155"/>
      <c r="CO100" s="155"/>
      <c r="CP100" s="155"/>
      <c r="CQ100" s="155"/>
      <c r="CR100" s="155"/>
      <c r="CS100" s="155"/>
      <c r="CT100" s="155"/>
      <c r="CU100" s="155"/>
      <c r="CV100" s="155"/>
      <c r="CW100" s="155"/>
      <c r="CX100" s="155"/>
      <c r="CY100" s="155"/>
      <c r="CZ100" s="155"/>
      <c r="DA100" s="155"/>
      <c r="DB100" s="155"/>
      <c r="DC100" s="155"/>
      <c r="DD100" s="155"/>
      <c r="DE100" s="155"/>
      <c r="DF100" s="155"/>
      <c r="DG100" s="155"/>
      <c r="DH100" s="155"/>
      <c r="DI100" s="155"/>
      <c r="DJ100" s="155"/>
      <c r="DK100" s="155"/>
      <c r="DL100" s="155"/>
      <c r="DM100" s="155"/>
      <c r="DN100" s="155"/>
      <c r="DO100" s="155"/>
      <c r="DP100" s="155"/>
      <c r="DQ100" s="155"/>
      <c r="DR100" s="155"/>
      <c r="DS100" s="155"/>
      <c r="DT100" s="155"/>
      <c r="DU100" s="155"/>
      <c r="DV100" s="155"/>
      <c r="DW100" s="155"/>
      <c r="DX100" s="155"/>
      <c r="DY100" s="155"/>
      <c r="DZ100" s="155"/>
      <c r="EA100" s="155"/>
      <c r="EB100" s="155"/>
      <c r="EC100" s="155"/>
      <c r="ED100" s="155"/>
      <c r="EE100" s="155"/>
      <c r="EF100" s="155"/>
      <c r="EG100" s="155"/>
      <c r="EH100" s="155"/>
      <c r="EI100" s="155"/>
      <c r="EJ100" s="155"/>
      <c r="EK100" s="155"/>
      <c r="EL100" s="155"/>
      <c r="EM100" s="155"/>
      <c r="EN100" s="155"/>
      <c r="EO100" s="155"/>
      <c r="EP100" s="155"/>
      <c r="EQ100" s="155"/>
      <c r="ER100" s="155"/>
      <c r="ES100" s="155"/>
      <c r="ET100" s="155"/>
      <c r="EU100" s="155"/>
      <c r="EV100" s="155"/>
      <c r="EW100" s="155"/>
      <c r="EX100" s="155"/>
      <c r="EY100" s="155"/>
      <c r="EZ100" s="155"/>
      <c r="FA100" s="155"/>
      <c r="FB100" s="155"/>
      <c r="FC100" s="155"/>
      <c r="FD100" s="155"/>
      <c r="FE100" s="155"/>
      <c r="FF100" s="155"/>
      <c r="FG100" s="155"/>
      <c r="FH100" s="155"/>
      <c r="FI100" s="155"/>
      <c r="FJ100" s="155"/>
      <c r="FK100" s="155"/>
      <c r="FL100" s="155"/>
      <c r="FM100" s="155"/>
      <c r="FN100" s="155"/>
      <c r="FO100" s="155"/>
      <c r="FP100" s="155"/>
      <c r="FQ100" s="155"/>
      <c r="FR100" s="155"/>
      <c r="FS100" s="155"/>
      <c r="FT100" s="155"/>
      <c r="FU100" s="155"/>
      <c r="FV100" s="155"/>
      <c r="FW100" s="155"/>
      <c r="FX100" s="155"/>
      <c r="FY100" s="155"/>
      <c r="FZ100" s="155"/>
      <c r="GA100" s="155"/>
      <c r="GB100" s="155"/>
      <c r="GC100" s="155"/>
      <c r="GD100" s="155"/>
      <c r="GE100" s="155"/>
      <c r="GF100" s="155"/>
      <c r="GG100" s="155"/>
      <c r="GH100" s="155"/>
      <c r="GI100" s="155"/>
      <c r="GJ100" s="155"/>
      <c r="GK100" s="155"/>
      <c r="GL100" s="155"/>
      <c r="GM100" s="155"/>
      <c r="GN100" s="155"/>
      <c r="GO100" s="155"/>
      <c r="GP100" s="155"/>
      <c r="GQ100" s="155"/>
      <c r="GR100" s="155"/>
      <c r="GS100" s="155"/>
      <c r="GT100" s="155"/>
      <c r="GU100" s="155"/>
      <c r="GV100" s="155"/>
      <c r="GW100" s="155"/>
      <c r="GX100" s="155"/>
      <c r="GY100" s="155"/>
      <c r="GZ100" s="155"/>
      <c r="HA100" s="155"/>
      <c r="HB100" s="155"/>
      <c r="HC100" s="155"/>
      <c r="HD100" s="155"/>
      <c r="HE100" s="155"/>
      <c r="HF100" s="155"/>
      <c r="HG100" s="155"/>
      <c r="HH100" s="155"/>
      <c r="HI100" s="155"/>
      <c r="HJ100" s="155"/>
      <c r="HK100" s="155"/>
      <c r="HL100" s="155"/>
      <c r="HM100" s="155"/>
      <c r="HN100" s="155"/>
      <c r="HO100" s="155"/>
      <c r="HP100" s="155"/>
      <c r="HQ100" s="155"/>
      <c r="HR100" s="155"/>
      <c r="HS100" s="155"/>
      <c r="HT100" s="155"/>
      <c r="HU100" s="155"/>
      <c r="HV100" s="155"/>
      <c r="HW100" s="155"/>
      <c r="HX100" s="155"/>
      <c r="HY100" s="155"/>
      <c r="HZ100" s="155"/>
      <c r="IA100" s="155"/>
      <c r="IB100" s="155"/>
      <c r="IC100" s="155"/>
      <c r="ID100" s="155"/>
      <c r="IE100" s="155"/>
      <c r="IF100" s="155"/>
      <c r="IG100" s="155"/>
      <c r="IH100" s="155"/>
      <c r="II100" s="155"/>
      <c r="IJ100" s="155"/>
      <c r="IK100" s="155"/>
      <c r="IL100" s="155"/>
      <c r="IM100" s="155"/>
      <c r="IN100" s="155"/>
      <c r="IO100" s="155"/>
      <c r="IP100" s="155"/>
      <c r="IQ100" s="155"/>
      <c r="IR100" s="155"/>
      <c r="IS100" s="155"/>
      <c r="IT100" s="155"/>
      <c r="IU100" s="155"/>
      <c r="IV100" s="155"/>
      <c r="IW100" s="155"/>
      <c r="IX100" s="155"/>
      <c r="IY100" s="155"/>
      <c r="IZ100" s="155"/>
      <c r="JA100" s="155"/>
      <c r="JB100" s="155"/>
      <c r="JC100" s="155"/>
      <c r="JD100" s="155"/>
      <c r="JE100" s="155"/>
      <c r="JF100" s="155"/>
      <c r="JG100" s="155"/>
      <c r="JH100" s="155"/>
      <c r="JI100" s="155"/>
      <c r="JJ100" s="155"/>
      <c r="JK100" s="155"/>
      <c r="JL100" s="155"/>
      <c r="JM100" s="155"/>
      <c r="JN100" s="155"/>
      <c r="JO100" s="155"/>
      <c r="JP100" s="155"/>
      <c r="JQ100" s="155"/>
      <c r="JR100" s="155"/>
      <c r="JS100" s="155"/>
      <c r="JT100" s="155"/>
      <c r="JU100" s="155"/>
      <c r="JV100" s="155"/>
      <c r="JW100" s="155"/>
      <c r="JX100" s="155"/>
      <c r="JY100" s="155"/>
      <c r="JZ100" s="155"/>
      <c r="KA100" s="155"/>
      <c r="KB100" s="155"/>
      <c r="KC100" s="155"/>
      <c r="KD100" s="155"/>
      <c r="KE100" s="155"/>
      <c r="KF100" s="155"/>
      <c r="KG100" s="155"/>
      <c r="KH100" s="155"/>
      <c r="KI100" s="155"/>
      <c r="KJ100" s="155"/>
      <c r="KK100" s="155"/>
      <c r="KL100" s="155"/>
      <c r="KM100" s="155"/>
      <c r="KN100" s="155"/>
      <c r="KO100" s="155"/>
      <c r="KP100" s="155"/>
      <c r="KQ100" s="155"/>
      <c r="KR100" s="155"/>
      <c r="KS100" s="155"/>
      <c r="KT100" s="155"/>
      <c r="KU100" s="155"/>
      <c r="KV100" s="155"/>
      <c r="KW100" s="155"/>
      <c r="KX100" s="155"/>
      <c r="KY100" s="155"/>
      <c r="KZ100" s="155"/>
      <c r="LA100" s="155"/>
      <c r="LB100" s="155"/>
      <c r="LC100" s="155"/>
      <c r="LD100" s="155"/>
      <c r="LE100" s="155"/>
      <c r="LF100" s="155"/>
      <c r="LG100" s="155"/>
      <c r="LH100" s="155"/>
      <c r="LI100" s="155"/>
      <c r="LJ100" s="155"/>
      <c r="LK100" s="155"/>
      <c r="LL100" s="155"/>
      <c r="LM100" s="155"/>
      <c r="LN100" s="155"/>
      <c r="LO100" s="155"/>
      <c r="LP100" s="155"/>
      <c r="LQ100" s="155"/>
      <c r="LR100" s="155"/>
      <c r="LS100" s="155"/>
      <c r="LT100" s="155"/>
      <c r="LU100" s="155"/>
      <c r="LV100" s="155"/>
      <c r="LW100" s="155"/>
      <c r="LX100" s="155"/>
      <c r="LY100" s="155"/>
      <c r="LZ100" s="155"/>
      <c r="MA100" s="155"/>
      <c r="MB100" s="155"/>
      <c r="MC100" s="155"/>
      <c r="MD100" s="155"/>
      <c r="ME100" s="155"/>
      <c r="MF100" s="155"/>
      <c r="MG100" s="155"/>
      <c r="MH100" s="155"/>
      <c r="MI100" s="155"/>
      <c r="MJ100" s="155"/>
      <c r="MK100" s="155"/>
      <c r="ML100" s="155"/>
      <c r="MM100" s="155"/>
      <c r="MN100" s="155"/>
      <c r="MO100" s="155"/>
      <c r="MP100" s="155"/>
      <c r="MQ100" s="155"/>
      <c r="MR100" s="155"/>
      <c r="MS100" s="155"/>
      <c r="MT100" s="155"/>
      <c r="MU100" s="155"/>
      <c r="MV100" s="155"/>
      <c r="MW100" s="155"/>
      <c r="MX100" s="155"/>
      <c r="MY100" s="155"/>
      <c r="MZ100" s="155"/>
      <c r="NA100" s="155"/>
      <c r="NB100" s="155"/>
      <c r="NC100" s="155"/>
      <c r="ND100" s="155"/>
      <c r="NE100" s="155"/>
      <c r="NF100" s="155"/>
      <c r="NG100" s="155"/>
      <c r="NH100" s="155"/>
      <c r="NI100" s="155"/>
      <c r="NJ100" s="155"/>
      <c r="NK100" s="155"/>
      <c r="NL100" s="155"/>
      <c r="NM100" s="155"/>
      <c r="NN100" s="155"/>
      <c r="NO100" s="155"/>
      <c r="NP100" s="155"/>
      <c r="NQ100" s="155"/>
      <c r="NR100" s="155"/>
      <c r="NS100" s="155"/>
      <c r="NT100" s="155"/>
      <c r="NU100" s="155"/>
      <c r="NV100" s="155"/>
      <c r="NW100" s="155"/>
      <c r="NX100" s="155"/>
      <c r="NY100" s="155"/>
      <c r="NZ100" s="155"/>
      <c r="OA100" s="155"/>
      <c r="OB100" s="155"/>
      <c r="OC100" s="155"/>
      <c r="OD100" s="155"/>
      <c r="OE100" s="155"/>
      <c r="OF100" s="155"/>
      <c r="OG100" s="155"/>
      <c r="OH100" s="155"/>
      <c r="OI100" s="155"/>
      <c r="OJ100" s="155"/>
      <c r="OK100" s="155"/>
      <c r="OL100" s="155"/>
      <c r="OM100" s="155"/>
      <c r="ON100" s="155"/>
      <c r="OO100" s="155"/>
      <c r="OP100" s="155"/>
      <c r="OQ100" s="155"/>
      <c r="OR100" s="155"/>
      <c r="OS100" s="155"/>
      <c r="OT100" s="155"/>
      <c r="OU100" s="155"/>
      <c r="OV100" s="155"/>
      <c r="OW100" s="155"/>
      <c r="OX100" s="155"/>
      <c r="OY100" s="155"/>
      <c r="OZ100" s="155"/>
      <c r="PA100" s="155"/>
      <c r="PB100" s="155"/>
      <c r="PC100" s="155"/>
      <c r="PD100" s="155"/>
      <c r="PE100" s="155"/>
      <c r="PF100" s="155"/>
      <c r="PG100" s="155"/>
      <c r="PH100" s="155"/>
      <c r="PI100" s="155"/>
      <c r="PJ100" s="155"/>
      <c r="PK100" s="155"/>
      <c r="PL100" s="155"/>
      <c r="PM100" s="155"/>
      <c r="PN100" s="155"/>
      <c r="PO100" s="155"/>
      <c r="PP100" s="155"/>
      <c r="PQ100" s="155"/>
      <c r="PR100" s="155"/>
      <c r="PS100" s="155"/>
      <c r="PT100" s="155"/>
      <c r="PU100" s="155"/>
      <c r="PV100" s="155"/>
      <c r="PW100" s="155"/>
      <c r="PX100" s="155"/>
      <c r="PY100" s="155"/>
      <c r="PZ100" s="155"/>
      <c r="QA100" s="155"/>
      <c r="QB100" s="155"/>
      <c r="QC100" s="155"/>
      <c r="QD100" s="155"/>
      <c r="QE100" s="155"/>
      <c r="QF100" s="155"/>
      <c r="QG100" s="155"/>
      <c r="QH100" s="155"/>
      <c r="QI100" s="155"/>
      <c r="QJ100" s="155"/>
      <c r="QK100" s="155"/>
      <c r="QL100" s="155"/>
      <c r="QM100" s="155"/>
      <c r="QN100" s="155"/>
      <c r="QO100" s="155"/>
      <c r="QP100" s="155"/>
      <c r="QQ100" s="155"/>
      <c r="QR100" s="155"/>
      <c r="QS100" s="155"/>
      <c r="QT100" s="155"/>
      <c r="QU100" s="155"/>
      <c r="QV100" s="155"/>
      <c r="QW100" s="155"/>
      <c r="QX100" s="155"/>
      <c r="QY100" s="155"/>
      <c r="QZ100" s="155"/>
      <c r="RA100" s="155"/>
      <c r="RB100" s="155"/>
      <c r="RC100" s="155"/>
      <c r="RD100" s="155"/>
      <c r="RE100" s="155"/>
      <c r="RF100" s="155"/>
      <c r="RG100" s="155"/>
      <c r="RH100" s="155"/>
      <c r="RI100" s="155"/>
      <c r="RJ100" s="155"/>
      <c r="RK100" s="155"/>
      <c r="RL100" s="155"/>
      <c r="RM100" s="155"/>
      <c r="RN100" s="155"/>
      <c r="RO100" s="155"/>
      <c r="RP100" s="155"/>
      <c r="RQ100" s="155"/>
      <c r="RR100" s="155"/>
      <c r="RS100" s="155"/>
      <c r="RT100" s="155"/>
      <c r="RU100" s="155"/>
      <c r="RV100" s="155"/>
      <c r="RW100" s="155"/>
      <c r="RX100" s="155"/>
      <c r="RY100" s="155"/>
      <c r="RZ100" s="155"/>
      <c r="SA100" s="155"/>
      <c r="SB100" s="155"/>
      <c r="SC100" s="155"/>
      <c r="SD100" s="155"/>
      <c r="SE100" s="155"/>
      <c r="SF100" s="155"/>
      <c r="SG100" s="155"/>
      <c r="SH100" s="155"/>
      <c r="SI100" s="155"/>
      <c r="SJ100" s="155"/>
      <c r="SK100" s="155"/>
      <c r="SL100" s="155"/>
      <c r="SM100" s="155"/>
      <c r="SN100" s="155"/>
      <c r="SO100" s="155"/>
      <c r="SP100" s="155"/>
      <c r="SQ100" s="155"/>
      <c r="SR100" s="155"/>
      <c r="SS100" s="155"/>
      <c r="ST100" s="155"/>
      <c r="SU100" s="155"/>
      <c r="SV100" s="155"/>
      <c r="SW100" s="155"/>
      <c r="SX100" s="155"/>
      <c r="SY100" s="155"/>
      <c r="SZ100" s="155"/>
      <c r="TA100" s="155"/>
      <c r="TB100" s="155"/>
      <c r="TC100" s="155"/>
      <c r="TD100" s="155"/>
      <c r="TE100" s="155"/>
      <c r="TF100" s="155"/>
      <c r="TG100" s="155"/>
      <c r="TH100" s="155"/>
      <c r="TI100" s="155"/>
      <c r="TJ100" s="155"/>
      <c r="TK100" s="155"/>
      <c r="TL100" s="155"/>
      <c r="TM100" s="155"/>
      <c r="TN100" s="155"/>
      <c r="TO100" s="155"/>
      <c r="TP100" s="155"/>
      <c r="TQ100" s="155"/>
      <c r="TR100" s="155"/>
      <c r="TS100" s="155"/>
      <c r="TT100" s="155"/>
      <c r="TU100" s="155"/>
      <c r="TV100" s="155"/>
      <c r="TW100" s="155"/>
      <c r="TX100" s="155"/>
      <c r="TY100" s="155"/>
      <c r="TZ100" s="155"/>
      <c r="UA100" s="155"/>
      <c r="UB100" s="155"/>
      <c r="UC100" s="155"/>
      <c r="UD100" s="155"/>
      <c r="UE100" s="155"/>
      <c r="UF100" s="155"/>
      <c r="UG100" s="155"/>
      <c r="UH100" s="155"/>
      <c r="UI100" s="155"/>
      <c r="UJ100" s="155"/>
      <c r="UK100" s="155"/>
      <c r="UL100" s="155"/>
      <c r="UM100" s="155"/>
      <c r="UN100" s="155"/>
      <c r="UO100" s="155"/>
      <c r="UP100" s="155"/>
      <c r="UQ100" s="155"/>
      <c r="UR100" s="155"/>
      <c r="US100" s="155"/>
      <c r="UT100" s="155"/>
      <c r="UU100" s="155"/>
      <c r="UV100" s="155"/>
      <c r="UW100" s="155"/>
      <c r="UX100" s="155"/>
      <c r="UY100" s="155"/>
      <c r="UZ100" s="155"/>
      <c r="VA100" s="155"/>
      <c r="VB100" s="155"/>
      <c r="VC100" s="155"/>
      <c r="VD100" s="155"/>
      <c r="VE100" s="155"/>
      <c r="VF100" s="155"/>
      <c r="VG100" s="155"/>
      <c r="VH100" s="155"/>
      <c r="VI100" s="155"/>
      <c r="VJ100" s="155"/>
      <c r="VK100" s="155"/>
      <c r="VL100" s="155"/>
      <c r="VM100" s="155"/>
      <c r="VN100" s="155"/>
      <c r="VO100" s="155"/>
      <c r="VP100" s="155"/>
      <c r="VQ100" s="155"/>
      <c r="VR100" s="155"/>
      <c r="VS100" s="155"/>
      <c r="VT100" s="155"/>
      <c r="VU100" s="155"/>
      <c r="VV100" s="155"/>
      <c r="VW100" s="155"/>
      <c r="VX100" s="155"/>
      <c r="VY100" s="155"/>
      <c r="VZ100" s="155"/>
      <c r="WA100" s="155"/>
      <c r="WB100" s="155"/>
      <c r="WC100" s="155"/>
      <c r="WD100" s="155"/>
      <c r="WE100" s="155"/>
      <c r="WF100" s="155"/>
      <c r="WG100" s="155"/>
      <c r="WH100" s="155"/>
      <c r="WI100" s="155"/>
      <c r="WJ100" s="155"/>
      <c r="WK100" s="155"/>
      <c r="WL100" s="155"/>
      <c r="WM100" s="155"/>
      <c r="WN100" s="155"/>
      <c r="WO100" s="155"/>
      <c r="WP100" s="155"/>
      <c r="WQ100" s="155"/>
      <c r="WR100" s="155"/>
      <c r="WS100" s="155"/>
      <c r="WT100" s="155"/>
      <c r="WU100" s="155"/>
      <c r="WV100" s="155"/>
      <c r="WW100" s="155"/>
      <c r="WX100" s="155"/>
      <c r="WY100" s="155"/>
      <c r="WZ100" s="155"/>
      <c r="XA100" s="155"/>
      <c r="XB100" s="155"/>
      <c r="XC100" s="155"/>
      <c r="XD100" s="155"/>
      <c r="XE100" s="155"/>
      <c r="XF100" s="155"/>
      <c r="XG100" s="155"/>
      <c r="XH100" s="155"/>
      <c r="XI100" s="155"/>
      <c r="XJ100" s="155"/>
      <c r="XK100" s="155"/>
      <c r="XL100" s="155"/>
      <c r="XM100" s="155"/>
      <c r="XN100" s="155"/>
      <c r="XO100" s="155"/>
      <c r="XP100" s="155"/>
      <c r="XQ100" s="155"/>
      <c r="XR100" s="155"/>
      <c r="XS100" s="155"/>
      <c r="XT100" s="155"/>
      <c r="XU100" s="155"/>
      <c r="XV100" s="155"/>
      <c r="XW100" s="155"/>
      <c r="XX100" s="155"/>
      <c r="XY100" s="155"/>
      <c r="XZ100" s="155"/>
      <c r="YA100" s="155"/>
      <c r="YB100" s="155"/>
      <c r="YC100" s="155"/>
      <c r="YD100" s="155"/>
      <c r="YE100" s="155"/>
      <c r="YF100" s="155"/>
      <c r="YG100" s="155"/>
      <c r="YH100" s="155"/>
      <c r="YI100" s="155"/>
      <c r="YJ100" s="155"/>
      <c r="YK100" s="155"/>
      <c r="YL100" s="155"/>
      <c r="YM100" s="155"/>
      <c r="YN100" s="155"/>
      <c r="YO100" s="155"/>
      <c r="YP100" s="155"/>
      <c r="YQ100" s="155"/>
      <c r="YR100" s="155"/>
      <c r="YS100" s="155"/>
      <c r="YT100" s="155"/>
      <c r="YU100" s="155"/>
      <c r="YV100" s="155"/>
      <c r="YW100" s="155"/>
      <c r="YX100" s="155"/>
      <c r="YY100" s="155"/>
      <c r="YZ100" s="155"/>
      <c r="ZA100" s="155"/>
      <c r="ZB100" s="155"/>
      <c r="ZC100" s="155"/>
      <c r="ZD100" s="155"/>
      <c r="ZE100" s="155"/>
      <c r="ZF100" s="155"/>
      <c r="ZG100" s="155"/>
      <c r="ZH100" s="155"/>
      <c r="ZI100" s="155"/>
      <c r="ZJ100" s="155"/>
      <c r="ZK100" s="155"/>
      <c r="ZL100" s="155"/>
      <c r="ZM100" s="155"/>
      <c r="ZN100" s="155"/>
      <c r="ZO100" s="155"/>
      <c r="ZP100" s="155"/>
      <c r="ZQ100" s="155"/>
      <c r="ZR100" s="155"/>
      <c r="ZS100" s="155"/>
      <c r="ZT100" s="155"/>
      <c r="ZU100" s="155"/>
      <c r="ZV100" s="155"/>
      <c r="ZW100" s="155"/>
      <c r="ZX100" s="155"/>
      <c r="ZY100" s="155"/>
      <c r="ZZ100" s="155"/>
      <c r="AAA100" s="155"/>
      <c r="AAB100" s="155"/>
      <c r="AAC100" s="155"/>
      <c r="AAD100" s="155"/>
      <c r="AAE100" s="155"/>
      <c r="AAF100" s="155"/>
      <c r="AAG100" s="155"/>
      <c r="AAH100" s="155"/>
      <c r="AAI100" s="155"/>
      <c r="AAJ100" s="155"/>
      <c r="AAK100" s="155"/>
      <c r="AAL100" s="155"/>
      <c r="AAM100" s="155"/>
      <c r="AAN100" s="155"/>
      <c r="AAO100" s="155"/>
      <c r="AAP100" s="155"/>
      <c r="AAQ100" s="155"/>
      <c r="AAR100" s="155"/>
      <c r="AAS100" s="155"/>
      <c r="AAT100" s="155"/>
      <c r="AAU100" s="155"/>
      <c r="AAV100" s="155"/>
      <c r="AAW100" s="155"/>
      <c r="AAX100" s="155"/>
      <c r="AAY100" s="155"/>
      <c r="AAZ100" s="155"/>
      <c r="ABA100" s="155"/>
      <c r="ABB100" s="155"/>
      <c r="ABC100" s="155"/>
      <c r="ABD100" s="155"/>
      <c r="ABE100" s="155"/>
      <c r="ABF100" s="155"/>
      <c r="ABG100" s="155"/>
      <c r="ABH100" s="155"/>
      <c r="ABI100" s="155"/>
      <c r="ABJ100" s="155"/>
      <c r="ABK100" s="155"/>
      <c r="ABL100" s="155"/>
      <c r="ABM100" s="155"/>
      <c r="ABN100" s="155"/>
      <c r="ABO100" s="155"/>
      <c r="ABP100" s="155"/>
      <c r="ABQ100" s="155"/>
      <c r="ABR100" s="155"/>
      <c r="ABS100" s="155"/>
      <c r="ABT100" s="155"/>
      <c r="ABU100" s="155"/>
      <c r="ABV100" s="155"/>
      <c r="ABW100" s="155"/>
      <c r="ABX100" s="155"/>
      <c r="ABY100" s="155"/>
      <c r="ABZ100" s="155"/>
      <c r="ACA100" s="155"/>
      <c r="ACB100" s="155"/>
      <c r="ACC100" s="155"/>
      <c r="ACD100" s="155"/>
      <c r="ACE100" s="155"/>
      <c r="ACF100" s="155"/>
      <c r="ACG100" s="155"/>
      <c r="ACH100" s="155"/>
      <c r="ACI100" s="155"/>
      <c r="ACJ100" s="155"/>
      <c r="ACK100" s="155"/>
      <c r="ACL100" s="155"/>
      <c r="ACM100" s="155"/>
      <c r="ACN100" s="155"/>
      <c r="ACO100" s="155"/>
      <c r="ACP100" s="155"/>
      <c r="ACQ100" s="155"/>
      <c r="ACR100" s="155"/>
      <c r="ACS100" s="155"/>
      <c r="ACT100" s="155"/>
      <c r="ACU100" s="155"/>
      <c r="ACV100" s="155"/>
      <c r="ACW100" s="155"/>
      <c r="ACX100" s="155"/>
      <c r="ACY100" s="155"/>
      <c r="ACZ100" s="155"/>
      <c r="ADA100" s="155"/>
      <c r="ADB100" s="155"/>
      <c r="ADC100" s="155"/>
      <c r="ADD100" s="155"/>
      <c r="ADE100" s="155"/>
      <c r="ADF100" s="155"/>
      <c r="ADG100" s="155"/>
      <c r="ADH100" s="155"/>
      <c r="ADI100" s="155"/>
      <c r="ADJ100" s="155"/>
      <c r="ADK100" s="155"/>
      <c r="ADL100" s="155"/>
      <c r="ADM100" s="155"/>
      <c r="ADN100" s="155"/>
      <c r="ADO100" s="155"/>
      <c r="ADP100" s="155"/>
      <c r="ADQ100" s="155"/>
      <c r="ADR100" s="155"/>
      <c r="ADS100" s="155"/>
      <c r="ADT100" s="155"/>
      <c r="ADU100" s="155"/>
      <c r="ADV100" s="155"/>
      <c r="ADW100" s="155"/>
      <c r="ADX100" s="155"/>
      <c r="ADY100" s="155"/>
      <c r="ADZ100" s="155"/>
      <c r="AEA100" s="155"/>
      <c r="AEB100" s="155"/>
      <c r="AEC100" s="155"/>
      <c r="AED100" s="155"/>
      <c r="AEE100" s="155"/>
      <c r="AEF100" s="155"/>
      <c r="AEG100" s="155"/>
      <c r="AEH100" s="155"/>
      <c r="AEI100" s="155"/>
      <c r="AEJ100" s="155"/>
      <c r="AEK100" s="155"/>
      <c r="AEL100" s="155"/>
      <c r="AEM100" s="155"/>
      <c r="AEN100" s="155"/>
      <c r="AEO100" s="155"/>
      <c r="AEP100" s="155"/>
      <c r="AEQ100" s="155"/>
      <c r="AER100" s="155"/>
      <c r="AES100" s="155"/>
      <c r="AET100" s="155"/>
      <c r="AEU100" s="155"/>
      <c r="AEV100" s="155"/>
      <c r="AEW100" s="155"/>
      <c r="AEX100" s="155"/>
      <c r="AEY100" s="155"/>
      <c r="AEZ100" s="155"/>
      <c r="AFA100" s="155"/>
      <c r="AFB100" s="155"/>
      <c r="AFC100" s="155"/>
      <c r="AFD100" s="155"/>
      <c r="AFE100" s="155"/>
      <c r="AFF100" s="155"/>
      <c r="AFG100" s="155"/>
      <c r="AFH100" s="155"/>
      <c r="AFI100" s="155"/>
      <c r="AFJ100" s="155"/>
      <c r="AFK100" s="155"/>
      <c r="AFL100" s="155"/>
      <c r="AFM100" s="155"/>
      <c r="AFN100" s="155"/>
      <c r="AFO100" s="155"/>
      <c r="AFP100" s="155"/>
      <c r="AFQ100" s="155"/>
      <c r="AFR100" s="155"/>
      <c r="AFS100" s="155"/>
      <c r="AFT100" s="155"/>
      <c r="AFU100" s="155"/>
      <c r="AFV100" s="155"/>
      <c r="AFW100" s="155"/>
      <c r="AFX100" s="155"/>
      <c r="AFY100" s="155"/>
      <c r="AFZ100" s="155"/>
      <c r="AGA100" s="155"/>
      <c r="AGB100" s="155"/>
      <c r="AGC100" s="155"/>
      <c r="AGD100" s="155"/>
      <c r="AGE100" s="155"/>
      <c r="AGF100" s="155"/>
      <c r="AGG100" s="155"/>
      <c r="AGH100" s="155"/>
      <c r="AGI100" s="155"/>
      <c r="AGJ100" s="155"/>
      <c r="AGK100" s="155"/>
      <c r="AGL100" s="155"/>
      <c r="AGM100" s="155"/>
      <c r="AGN100" s="155"/>
      <c r="AGO100" s="155"/>
      <c r="AGP100" s="155"/>
      <c r="AGQ100" s="155"/>
      <c r="AGR100" s="155"/>
      <c r="AGS100" s="155"/>
      <c r="AGT100" s="155"/>
      <c r="AGU100" s="155"/>
      <c r="AGV100" s="155"/>
      <c r="AGW100" s="155"/>
      <c r="AGX100" s="155"/>
      <c r="AGY100" s="155"/>
      <c r="AGZ100" s="155"/>
      <c r="AHA100" s="155"/>
      <c r="AHB100" s="155"/>
      <c r="AHC100" s="155"/>
      <c r="AHD100" s="155"/>
      <c r="AHE100" s="155"/>
      <c r="AHF100" s="155"/>
      <c r="AHG100" s="155"/>
      <c r="AHH100" s="155"/>
      <c r="AHI100" s="155"/>
      <c r="AHJ100" s="155"/>
      <c r="AHK100" s="155"/>
      <c r="AHL100" s="155"/>
      <c r="AHM100" s="155"/>
      <c r="AHN100" s="155"/>
      <c r="AHO100" s="155"/>
      <c r="AHP100" s="155"/>
      <c r="AHQ100" s="155"/>
      <c r="AHR100" s="155"/>
      <c r="AHS100" s="155"/>
      <c r="AHT100" s="155"/>
      <c r="AHU100" s="155"/>
      <c r="AHV100" s="155"/>
      <c r="AHW100" s="155"/>
      <c r="AHX100" s="155"/>
      <c r="AHY100" s="155"/>
      <c r="AHZ100" s="155"/>
      <c r="AIA100" s="155"/>
      <c r="AIB100" s="155"/>
      <c r="AIC100" s="155"/>
      <c r="AID100" s="155"/>
      <c r="AIE100" s="155"/>
      <c r="AIF100" s="155"/>
    </row>
    <row r="101" spans="1:916" s="160" customFormat="1" x14ac:dyDescent="0.35">
      <c r="A101" s="155"/>
      <c r="B101" s="155"/>
      <c r="C101" s="155"/>
      <c r="D101" s="155"/>
      <c r="E101" s="155"/>
      <c r="F101" s="170" t="str">
        <f>'Block 2 (Bioestimulant)'!A94</f>
        <v>Total labor and others</v>
      </c>
      <c r="G101" s="178" t="str">
        <f>'Block 2 (Bioestimulant)'!B94</f>
        <v>€</v>
      </c>
      <c r="H101" s="161" t="e">
        <f>'Block 2 (Bioestimulant)'!C94</f>
        <v>#REF!</v>
      </c>
      <c r="I101" s="155"/>
      <c r="J101" s="155"/>
      <c r="K101" s="155"/>
      <c r="L101" s="155"/>
      <c r="M101" s="155"/>
      <c r="N101" s="155"/>
      <c r="O101" s="155"/>
      <c r="P101" s="155"/>
      <c r="Q101" s="155"/>
      <c r="R101" s="155"/>
      <c r="S101" s="155"/>
      <c r="T101" s="155"/>
      <c r="U101" s="155"/>
      <c r="V101" s="155"/>
      <c r="W101" s="155"/>
      <c r="X101" s="155"/>
      <c r="Y101" s="155"/>
      <c r="Z101" s="155"/>
      <c r="AA101" s="155"/>
      <c r="AB101" s="155"/>
      <c r="AC101" s="155"/>
      <c r="AD101" s="155"/>
      <c r="AE101" s="155"/>
      <c r="AF101" s="155"/>
      <c r="AG101" s="155"/>
      <c r="AH101" s="155"/>
      <c r="AI101" s="155"/>
      <c r="AJ101" s="155"/>
      <c r="AK101" s="155"/>
      <c r="AL101" s="155"/>
      <c r="AM101" s="155"/>
      <c r="AN101" s="155"/>
      <c r="AO101" s="155"/>
      <c r="AP101" s="155"/>
      <c r="AQ101" s="155"/>
      <c r="AR101" s="155"/>
      <c r="AS101" s="155"/>
      <c r="AT101" s="155"/>
      <c r="AU101" s="155"/>
      <c r="AV101" s="155"/>
      <c r="AW101" s="155"/>
      <c r="AX101" s="155"/>
      <c r="AY101" s="155"/>
      <c r="AZ101" s="155"/>
      <c r="BA101" s="155"/>
      <c r="BB101" s="155"/>
      <c r="BC101" s="155"/>
      <c r="BD101" s="155"/>
      <c r="BE101" s="155"/>
      <c r="BF101" s="155"/>
      <c r="BG101" s="155"/>
      <c r="BH101" s="155"/>
      <c r="BI101" s="155"/>
      <c r="BJ101" s="155"/>
      <c r="BK101" s="155"/>
      <c r="BL101" s="155"/>
      <c r="BM101" s="155"/>
      <c r="BN101" s="155"/>
      <c r="BO101" s="155"/>
      <c r="BP101" s="155"/>
      <c r="BQ101" s="155"/>
      <c r="BR101" s="155"/>
      <c r="BS101" s="155"/>
      <c r="BT101" s="155"/>
      <c r="BU101" s="155"/>
      <c r="BV101" s="155"/>
      <c r="BW101" s="155"/>
      <c r="BX101" s="155"/>
      <c r="BY101" s="155"/>
      <c r="BZ101" s="155"/>
      <c r="CA101" s="155"/>
      <c r="CB101" s="155"/>
      <c r="CC101" s="155"/>
      <c r="CD101" s="155"/>
      <c r="CE101" s="155"/>
      <c r="CF101" s="155"/>
      <c r="CG101" s="155"/>
      <c r="CH101" s="155"/>
      <c r="CI101" s="155"/>
      <c r="CJ101" s="155"/>
      <c r="CK101" s="155"/>
      <c r="CL101" s="155"/>
      <c r="CM101" s="155"/>
      <c r="CN101" s="155"/>
      <c r="CO101" s="155"/>
      <c r="CP101" s="155"/>
      <c r="CQ101" s="155"/>
      <c r="CR101" s="155"/>
      <c r="CS101" s="155"/>
      <c r="CT101" s="155"/>
      <c r="CU101" s="155"/>
      <c r="CV101" s="155"/>
      <c r="CW101" s="155"/>
      <c r="CX101" s="155"/>
      <c r="CY101" s="155"/>
      <c r="CZ101" s="155"/>
      <c r="DA101" s="155"/>
      <c r="DB101" s="155"/>
      <c r="DC101" s="155"/>
      <c r="DD101" s="155"/>
      <c r="DE101" s="155"/>
      <c r="DF101" s="155"/>
      <c r="DG101" s="155"/>
      <c r="DH101" s="155"/>
      <c r="DI101" s="155"/>
      <c r="DJ101" s="155"/>
      <c r="DK101" s="155"/>
      <c r="DL101" s="155"/>
      <c r="DM101" s="155"/>
      <c r="DN101" s="155"/>
      <c r="DO101" s="155"/>
      <c r="DP101" s="155"/>
      <c r="DQ101" s="155"/>
      <c r="DR101" s="155"/>
      <c r="DS101" s="155"/>
      <c r="DT101" s="155"/>
      <c r="DU101" s="155"/>
      <c r="DV101" s="155"/>
      <c r="DW101" s="155"/>
      <c r="DX101" s="155"/>
      <c r="DY101" s="155"/>
      <c r="DZ101" s="155"/>
      <c r="EA101" s="155"/>
      <c r="EB101" s="155"/>
      <c r="EC101" s="155"/>
      <c r="ED101" s="155"/>
      <c r="EE101" s="155"/>
      <c r="EF101" s="155"/>
      <c r="EG101" s="155"/>
      <c r="EH101" s="155"/>
      <c r="EI101" s="155"/>
      <c r="EJ101" s="155"/>
      <c r="EK101" s="155"/>
      <c r="EL101" s="155"/>
      <c r="EM101" s="155"/>
      <c r="EN101" s="155"/>
      <c r="EO101" s="155"/>
      <c r="EP101" s="155"/>
      <c r="EQ101" s="155"/>
      <c r="ER101" s="155"/>
      <c r="ES101" s="155"/>
      <c r="ET101" s="155"/>
      <c r="EU101" s="155"/>
      <c r="EV101" s="155"/>
      <c r="EW101" s="155"/>
      <c r="EX101" s="155"/>
      <c r="EY101" s="155"/>
      <c r="EZ101" s="155"/>
      <c r="FA101" s="155"/>
      <c r="FB101" s="155"/>
      <c r="FC101" s="155"/>
      <c r="FD101" s="155"/>
      <c r="FE101" s="155"/>
      <c r="FF101" s="155"/>
      <c r="FG101" s="155"/>
      <c r="FH101" s="155"/>
      <c r="FI101" s="155"/>
      <c r="FJ101" s="155"/>
      <c r="FK101" s="155"/>
      <c r="FL101" s="155"/>
      <c r="FM101" s="155"/>
      <c r="FN101" s="155"/>
      <c r="FO101" s="155"/>
      <c r="FP101" s="155"/>
      <c r="FQ101" s="155"/>
      <c r="FR101" s="155"/>
      <c r="FS101" s="155"/>
      <c r="FT101" s="155"/>
      <c r="FU101" s="155"/>
      <c r="FV101" s="155"/>
      <c r="FW101" s="155"/>
      <c r="FX101" s="155"/>
      <c r="FY101" s="155"/>
      <c r="FZ101" s="155"/>
      <c r="GA101" s="155"/>
      <c r="GB101" s="155"/>
      <c r="GC101" s="155"/>
      <c r="GD101" s="155"/>
      <c r="GE101" s="155"/>
      <c r="GF101" s="155"/>
      <c r="GG101" s="155"/>
      <c r="GH101" s="155"/>
      <c r="GI101" s="155"/>
      <c r="GJ101" s="155"/>
      <c r="GK101" s="155"/>
      <c r="GL101" s="155"/>
      <c r="GM101" s="155"/>
      <c r="GN101" s="155"/>
      <c r="GO101" s="155"/>
      <c r="GP101" s="155"/>
      <c r="GQ101" s="155"/>
      <c r="GR101" s="155"/>
      <c r="GS101" s="155"/>
      <c r="GT101" s="155"/>
      <c r="GU101" s="155"/>
      <c r="GV101" s="155"/>
      <c r="GW101" s="155"/>
      <c r="GX101" s="155"/>
      <c r="GY101" s="155"/>
      <c r="GZ101" s="155"/>
      <c r="HA101" s="155"/>
      <c r="HB101" s="155"/>
      <c r="HC101" s="155"/>
      <c r="HD101" s="155"/>
      <c r="HE101" s="155"/>
      <c r="HF101" s="155"/>
      <c r="HG101" s="155"/>
      <c r="HH101" s="155"/>
      <c r="HI101" s="155"/>
      <c r="HJ101" s="155"/>
      <c r="HK101" s="155"/>
      <c r="HL101" s="155"/>
      <c r="HM101" s="155"/>
      <c r="HN101" s="155"/>
      <c r="HO101" s="155"/>
      <c r="HP101" s="155"/>
      <c r="HQ101" s="155"/>
      <c r="HR101" s="155"/>
      <c r="HS101" s="155"/>
      <c r="HT101" s="155"/>
      <c r="HU101" s="155"/>
      <c r="HV101" s="155"/>
      <c r="HW101" s="155"/>
      <c r="HX101" s="155"/>
      <c r="HY101" s="155"/>
      <c r="HZ101" s="155"/>
      <c r="IA101" s="155"/>
      <c r="IB101" s="155"/>
      <c r="IC101" s="155"/>
      <c r="ID101" s="155"/>
      <c r="IE101" s="155"/>
      <c r="IF101" s="155"/>
      <c r="IG101" s="155"/>
      <c r="IH101" s="155"/>
      <c r="II101" s="155"/>
      <c r="IJ101" s="155"/>
      <c r="IK101" s="155"/>
      <c r="IL101" s="155"/>
      <c r="IM101" s="155"/>
      <c r="IN101" s="155"/>
      <c r="IO101" s="155"/>
      <c r="IP101" s="155"/>
      <c r="IQ101" s="155"/>
      <c r="IR101" s="155"/>
      <c r="IS101" s="155"/>
      <c r="IT101" s="155"/>
      <c r="IU101" s="155"/>
      <c r="IV101" s="155"/>
      <c r="IW101" s="155"/>
      <c r="IX101" s="155"/>
      <c r="IY101" s="155"/>
      <c r="IZ101" s="155"/>
      <c r="JA101" s="155"/>
      <c r="JB101" s="155"/>
      <c r="JC101" s="155"/>
      <c r="JD101" s="155"/>
      <c r="JE101" s="155"/>
      <c r="JF101" s="155"/>
      <c r="JG101" s="155"/>
      <c r="JH101" s="155"/>
      <c r="JI101" s="155"/>
      <c r="JJ101" s="155"/>
      <c r="JK101" s="155"/>
      <c r="JL101" s="155"/>
      <c r="JM101" s="155"/>
      <c r="JN101" s="155"/>
      <c r="JO101" s="155"/>
      <c r="JP101" s="155"/>
      <c r="JQ101" s="155"/>
      <c r="JR101" s="155"/>
      <c r="JS101" s="155"/>
      <c r="JT101" s="155"/>
      <c r="JU101" s="155"/>
      <c r="JV101" s="155"/>
      <c r="JW101" s="155"/>
      <c r="JX101" s="155"/>
      <c r="JY101" s="155"/>
      <c r="JZ101" s="155"/>
      <c r="KA101" s="155"/>
      <c r="KB101" s="155"/>
      <c r="KC101" s="155"/>
      <c r="KD101" s="155"/>
      <c r="KE101" s="155"/>
      <c r="KF101" s="155"/>
      <c r="KG101" s="155"/>
      <c r="KH101" s="155"/>
      <c r="KI101" s="155"/>
      <c r="KJ101" s="155"/>
      <c r="KK101" s="155"/>
      <c r="KL101" s="155"/>
      <c r="KM101" s="155"/>
      <c r="KN101" s="155"/>
      <c r="KO101" s="155"/>
      <c r="KP101" s="155"/>
      <c r="KQ101" s="155"/>
      <c r="KR101" s="155"/>
      <c r="KS101" s="155"/>
      <c r="KT101" s="155"/>
      <c r="KU101" s="155"/>
      <c r="KV101" s="155"/>
      <c r="KW101" s="155"/>
      <c r="KX101" s="155"/>
      <c r="KY101" s="155"/>
      <c r="KZ101" s="155"/>
      <c r="LA101" s="155"/>
      <c r="LB101" s="155"/>
      <c r="LC101" s="155"/>
      <c r="LD101" s="155"/>
      <c r="LE101" s="155"/>
      <c r="LF101" s="155"/>
      <c r="LG101" s="155"/>
      <c r="LH101" s="155"/>
      <c r="LI101" s="155"/>
      <c r="LJ101" s="155"/>
      <c r="LK101" s="155"/>
      <c r="LL101" s="155"/>
      <c r="LM101" s="155"/>
      <c r="LN101" s="155"/>
      <c r="LO101" s="155"/>
      <c r="LP101" s="155"/>
      <c r="LQ101" s="155"/>
      <c r="LR101" s="155"/>
      <c r="LS101" s="155"/>
      <c r="LT101" s="155"/>
      <c r="LU101" s="155"/>
      <c r="LV101" s="155"/>
      <c r="LW101" s="155"/>
      <c r="LX101" s="155"/>
      <c r="LY101" s="155"/>
      <c r="LZ101" s="155"/>
      <c r="MA101" s="155"/>
      <c r="MB101" s="155"/>
      <c r="MC101" s="155"/>
      <c r="MD101" s="155"/>
      <c r="ME101" s="155"/>
      <c r="MF101" s="155"/>
      <c r="MG101" s="155"/>
      <c r="MH101" s="155"/>
      <c r="MI101" s="155"/>
      <c r="MJ101" s="155"/>
      <c r="MK101" s="155"/>
      <c r="ML101" s="155"/>
      <c r="MM101" s="155"/>
      <c r="MN101" s="155"/>
      <c r="MO101" s="155"/>
      <c r="MP101" s="155"/>
      <c r="MQ101" s="155"/>
      <c r="MR101" s="155"/>
      <c r="MS101" s="155"/>
      <c r="MT101" s="155"/>
      <c r="MU101" s="155"/>
      <c r="MV101" s="155"/>
      <c r="MW101" s="155"/>
      <c r="MX101" s="155"/>
      <c r="MY101" s="155"/>
      <c r="MZ101" s="155"/>
      <c r="NA101" s="155"/>
      <c r="NB101" s="155"/>
      <c r="NC101" s="155"/>
      <c r="ND101" s="155"/>
      <c r="NE101" s="155"/>
      <c r="NF101" s="155"/>
      <c r="NG101" s="155"/>
      <c r="NH101" s="155"/>
      <c r="NI101" s="155"/>
      <c r="NJ101" s="155"/>
      <c r="NK101" s="155"/>
      <c r="NL101" s="155"/>
      <c r="NM101" s="155"/>
      <c r="NN101" s="155"/>
      <c r="NO101" s="155"/>
      <c r="NP101" s="155"/>
      <c r="NQ101" s="155"/>
      <c r="NR101" s="155"/>
      <c r="NS101" s="155"/>
      <c r="NT101" s="155"/>
      <c r="NU101" s="155"/>
      <c r="NV101" s="155"/>
      <c r="NW101" s="155"/>
      <c r="NX101" s="155"/>
      <c r="NY101" s="155"/>
      <c r="NZ101" s="155"/>
      <c r="OA101" s="155"/>
      <c r="OB101" s="155"/>
      <c r="OC101" s="155"/>
      <c r="OD101" s="155"/>
      <c r="OE101" s="155"/>
      <c r="OF101" s="155"/>
      <c r="OG101" s="155"/>
      <c r="OH101" s="155"/>
      <c r="OI101" s="155"/>
      <c r="OJ101" s="155"/>
      <c r="OK101" s="155"/>
      <c r="OL101" s="155"/>
      <c r="OM101" s="155"/>
      <c r="ON101" s="155"/>
      <c r="OO101" s="155"/>
      <c r="OP101" s="155"/>
      <c r="OQ101" s="155"/>
      <c r="OR101" s="155"/>
      <c r="OS101" s="155"/>
      <c r="OT101" s="155"/>
      <c r="OU101" s="155"/>
      <c r="OV101" s="155"/>
      <c r="OW101" s="155"/>
      <c r="OX101" s="155"/>
      <c r="OY101" s="155"/>
      <c r="OZ101" s="155"/>
      <c r="PA101" s="155"/>
      <c r="PB101" s="155"/>
      <c r="PC101" s="155"/>
      <c r="PD101" s="155"/>
      <c r="PE101" s="155"/>
      <c r="PF101" s="155"/>
      <c r="PG101" s="155"/>
      <c r="PH101" s="155"/>
      <c r="PI101" s="155"/>
      <c r="PJ101" s="155"/>
      <c r="PK101" s="155"/>
      <c r="PL101" s="155"/>
      <c r="PM101" s="155"/>
      <c r="PN101" s="155"/>
      <c r="PO101" s="155"/>
      <c r="PP101" s="155"/>
      <c r="PQ101" s="155"/>
      <c r="PR101" s="155"/>
      <c r="PS101" s="155"/>
      <c r="PT101" s="155"/>
      <c r="PU101" s="155"/>
      <c r="PV101" s="155"/>
      <c r="PW101" s="155"/>
      <c r="PX101" s="155"/>
      <c r="PY101" s="155"/>
      <c r="PZ101" s="155"/>
      <c r="QA101" s="155"/>
      <c r="QB101" s="155"/>
      <c r="QC101" s="155"/>
      <c r="QD101" s="155"/>
      <c r="QE101" s="155"/>
      <c r="QF101" s="155"/>
      <c r="QG101" s="155"/>
      <c r="QH101" s="155"/>
      <c r="QI101" s="155"/>
      <c r="QJ101" s="155"/>
      <c r="QK101" s="155"/>
      <c r="QL101" s="155"/>
      <c r="QM101" s="155"/>
      <c r="QN101" s="155"/>
      <c r="QO101" s="155"/>
      <c r="QP101" s="155"/>
      <c r="QQ101" s="155"/>
      <c r="QR101" s="155"/>
      <c r="QS101" s="155"/>
      <c r="QT101" s="155"/>
      <c r="QU101" s="155"/>
      <c r="QV101" s="155"/>
      <c r="QW101" s="155"/>
      <c r="QX101" s="155"/>
      <c r="QY101" s="155"/>
      <c r="QZ101" s="155"/>
      <c r="RA101" s="155"/>
      <c r="RB101" s="155"/>
      <c r="RC101" s="155"/>
      <c r="RD101" s="155"/>
      <c r="RE101" s="155"/>
      <c r="RF101" s="155"/>
      <c r="RG101" s="155"/>
      <c r="RH101" s="155"/>
      <c r="RI101" s="155"/>
      <c r="RJ101" s="155"/>
      <c r="RK101" s="155"/>
      <c r="RL101" s="155"/>
      <c r="RM101" s="155"/>
      <c r="RN101" s="155"/>
      <c r="RO101" s="155"/>
      <c r="RP101" s="155"/>
      <c r="RQ101" s="155"/>
      <c r="RR101" s="155"/>
      <c r="RS101" s="155"/>
      <c r="RT101" s="155"/>
      <c r="RU101" s="155"/>
      <c r="RV101" s="155"/>
      <c r="RW101" s="155"/>
      <c r="RX101" s="155"/>
      <c r="RY101" s="155"/>
      <c r="RZ101" s="155"/>
      <c r="SA101" s="155"/>
      <c r="SB101" s="155"/>
      <c r="SC101" s="155"/>
      <c r="SD101" s="155"/>
      <c r="SE101" s="155"/>
      <c r="SF101" s="155"/>
      <c r="SG101" s="155"/>
      <c r="SH101" s="155"/>
      <c r="SI101" s="155"/>
      <c r="SJ101" s="155"/>
      <c r="SK101" s="155"/>
      <c r="SL101" s="155"/>
      <c r="SM101" s="155"/>
      <c r="SN101" s="155"/>
      <c r="SO101" s="155"/>
      <c r="SP101" s="155"/>
      <c r="SQ101" s="155"/>
      <c r="SR101" s="155"/>
      <c r="SS101" s="155"/>
      <c r="ST101" s="155"/>
      <c r="SU101" s="155"/>
      <c r="SV101" s="155"/>
      <c r="SW101" s="155"/>
      <c r="SX101" s="155"/>
      <c r="SY101" s="155"/>
      <c r="SZ101" s="155"/>
      <c r="TA101" s="155"/>
      <c r="TB101" s="155"/>
      <c r="TC101" s="155"/>
      <c r="TD101" s="155"/>
      <c r="TE101" s="155"/>
      <c r="TF101" s="155"/>
      <c r="TG101" s="155"/>
      <c r="TH101" s="155"/>
      <c r="TI101" s="155"/>
      <c r="TJ101" s="155"/>
      <c r="TK101" s="155"/>
      <c r="TL101" s="155"/>
      <c r="TM101" s="155"/>
      <c r="TN101" s="155"/>
      <c r="TO101" s="155"/>
      <c r="TP101" s="155"/>
      <c r="TQ101" s="155"/>
      <c r="TR101" s="155"/>
      <c r="TS101" s="155"/>
      <c r="TT101" s="155"/>
      <c r="TU101" s="155"/>
      <c r="TV101" s="155"/>
      <c r="TW101" s="155"/>
      <c r="TX101" s="155"/>
      <c r="TY101" s="155"/>
      <c r="TZ101" s="155"/>
      <c r="UA101" s="155"/>
      <c r="UB101" s="155"/>
      <c r="UC101" s="155"/>
      <c r="UD101" s="155"/>
      <c r="UE101" s="155"/>
      <c r="UF101" s="155"/>
      <c r="UG101" s="155"/>
      <c r="UH101" s="155"/>
      <c r="UI101" s="155"/>
      <c r="UJ101" s="155"/>
      <c r="UK101" s="155"/>
      <c r="UL101" s="155"/>
      <c r="UM101" s="155"/>
      <c r="UN101" s="155"/>
      <c r="UO101" s="155"/>
      <c r="UP101" s="155"/>
      <c r="UQ101" s="155"/>
      <c r="UR101" s="155"/>
      <c r="US101" s="155"/>
      <c r="UT101" s="155"/>
      <c r="UU101" s="155"/>
      <c r="UV101" s="155"/>
      <c r="UW101" s="155"/>
      <c r="UX101" s="155"/>
      <c r="UY101" s="155"/>
      <c r="UZ101" s="155"/>
      <c r="VA101" s="155"/>
      <c r="VB101" s="155"/>
      <c r="VC101" s="155"/>
      <c r="VD101" s="155"/>
      <c r="VE101" s="155"/>
      <c r="VF101" s="155"/>
      <c r="VG101" s="155"/>
      <c r="VH101" s="155"/>
      <c r="VI101" s="155"/>
      <c r="VJ101" s="155"/>
      <c r="VK101" s="155"/>
      <c r="VL101" s="155"/>
      <c r="VM101" s="155"/>
      <c r="VN101" s="155"/>
      <c r="VO101" s="155"/>
      <c r="VP101" s="155"/>
      <c r="VQ101" s="155"/>
      <c r="VR101" s="155"/>
      <c r="VS101" s="155"/>
      <c r="VT101" s="155"/>
      <c r="VU101" s="155"/>
      <c r="VV101" s="155"/>
      <c r="VW101" s="155"/>
      <c r="VX101" s="155"/>
      <c r="VY101" s="155"/>
      <c r="VZ101" s="155"/>
      <c r="WA101" s="155"/>
      <c r="WB101" s="155"/>
      <c r="WC101" s="155"/>
      <c r="WD101" s="155"/>
      <c r="WE101" s="155"/>
      <c r="WF101" s="155"/>
      <c r="WG101" s="155"/>
      <c r="WH101" s="155"/>
      <c r="WI101" s="155"/>
      <c r="WJ101" s="155"/>
      <c r="WK101" s="155"/>
      <c r="WL101" s="155"/>
      <c r="WM101" s="155"/>
      <c r="WN101" s="155"/>
      <c r="WO101" s="155"/>
      <c r="WP101" s="155"/>
      <c r="WQ101" s="155"/>
      <c r="WR101" s="155"/>
      <c r="WS101" s="155"/>
      <c r="WT101" s="155"/>
      <c r="WU101" s="155"/>
      <c r="WV101" s="155"/>
      <c r="WW101" s="155"/>
      <c r="WX101" s="155"/>
      <c r="WY101" s="155"/>
      <c r="WZ101" s="155"/>
      <c r="XA101" s="155"/>
      <c r="XB101" s="155"/>
      <c r="XC101" s="155"/>
      <c r="XD101" s="155"/>
      <c r="XE101" s="155"/>
      <c r="XF101" s="155"/>
      <c r="XG101" s="155"/>
      <c r="XH101" s="155"/>
      <c r="XI101" s="155"/>
      <c r="XJ101" s="155"/>
      <c r="XK101" s="155"/>
      <c r="XL101" s="155"/>
      <c r="XM101" s="155"/>
      <c r="XN101" s="155"/>
      <c r="XO101" s="155"/>
      <c r="XP101" s="155"/>
      <c r="XQ101" s="155"/>
      <c r="XR101" s="155"/>
      <c r="XS101" s="155"/>
      <c r="XT101" s="155"/>
      <c r="XU101" s="155"/>
      <c r="XV101" s="155"/>
      <c r="XW101" s="155"/>
      <c r="XX101" s="155"/>
      <c r="XY101" s="155"/>
      <c r="XZ101" s="155"/>
      <c r="YA101" s="155"/>
      <c r="YB101" s="155"/>
      <c r="YC101" s="155"/>
      <c r="YD101" s="155"/>
      <c r="YE101" s="155"/>
      <c r="YF101" s="155"/>
      <c r="YG101" s="155"/>
      <c r="YH101" s="155"/>
      <c r="YI101" s="155"/>
      <c r="YJ101" s="155"/>
      <c r="YK101" s="155"/>
      <c r="YL101" s="155"/>
      <c r="YM101" s="155"/>
      <c r="YN101" s="155"/>
      <c r="YO101" s="155"/>
      <c r="YP101" s="155"/>
      <c r="YQ101" s="155"/>
      <c r="YR101" s="155"/>
      <c r="YS101" s="155"/>
      <c r="YT101" s="155"/>
      <c r="YU101" s="155"/>
      <c r="YV101" s="155"/>
      <c r="YW101" s="155"/>
      <c r="YX101" s="155"/>
      <c r="YY101" s="155"/>
      <c r="YZ101" s="155"/>
      <c r="ZA101" s="155"/>
      <c r="ZB101" s="155"/>
      <c r="ZC101" s="155"/>
      <c r="ZD101" s="155"/>
      <c r="ZE101" s="155"/>
      <c r="ZF101" s="155"/>
      <c r="ZG101" s="155"/>
      <c r="ZH101" s="155"/>
      <c r="ZI101" s="155"/>
      <c r="ZJ101" s="155"/>
      <c r="ZK101" s="155"/>
      <c r="ZL101" s="155"/>
      <c r="ZM101" s="155"/>
      <c r="ZN101" s="155"/>
      <c r="ZO101" s="155"/>
      <c r="ZP101" s="155"/>
      <c r="ZQ101" s="155"/>
      <c r="ZR101" s="155"/>
      <c r="ZS101" s="155"/>
      <c r="ZT101" s="155"/>
      <c r="ZU101" s="155"/>
      <c r="ZV101" s="155"/>
      <c r="ZW101" s="155"/>
      <c r="ZX101" s="155"/>
      <c r="ZY101" s="155"/>
      <c r="ZZ101" s="155"/>
      <c r="AAA101" s="155"/>
      <c r="AAB101" s="155"/>
      <c r="AAC101" s="155"/>
      <c r="AAD101" s="155"/>
      <c r="AAE101" s="155"/>
      <c r="AAF101" s="155"/>
      <c r="AAG101" s="155"/>
      <c r="AAH101" s="155"/>
      <c r="AAI101" s="155"/>
      <c r="AAJ101" s="155"/>
      <c r="AAK101" s="155"/>
      <c r="AAL101" s="155"/>
      <c r="AAM101" s="155"/>
      <c r="AAN101" s="155"/>
      <c r="AAO101" s="155"/>
      <c r="AAP101" s="155"/>
      <c r="AAQ101" s="155"/>
      <c r="AAR101" s="155"/>
      <c r="AAS101" s="155"/>
      <c r="AAT101" s="155"/>
      <c r="AAU101" s="155"/>
      <c r="AAV101" s="155"/>
      <c r="AAW101" s="155"/>
      <c r="AAX101" s="155"/>
      <c r="AAY101" s="155"/>
      <c r="AAZ101" s="155"/>
      <c r="ABA101" s="155"/>
      <c r="ABB101" s="155"/>
      <c r="ABC101" s="155"/>
      <c r="ABD101" s="155"/>
      <c r="ABE101" s="155"/>
      <c r="ABF101" s="155"/>
      <c r="ABG101" s="155"/>
      <c r="ABH101" s="155"/>
      <c r="ABI101" s="155"/>
      <c r="ABJ101" s="155"/>
      <c r="ABK101" s="155"/>
      <c r="ABL101" s="155"/>
      <c r="ABM101" s="155"/>
      <c r="ABN101" s="155"/>
      <c r="ABO101" s="155"/>
      <c r="ABP101" s="155"/>
      <c r="ABQ101" s="155"/>
      <c r="ABR101" s="155"/>
      <c r="ABS101" s="155"/>
      <c r="ABT101" s="155"/>
      <c r="ABU101" s="155"/>
      <c r="ABV101" s="155"/>
      <c r="ABW101" s="155"/>
      <c r="ABX101" s="155"/>
      <c r="ABY101" s="155"/>
      <c r="ABZ101" s="155"/>
      <c r="ACA101" s="155"/>
      <c r="ACB101" s="155"/>
      <c r="ACC101" s="155"/>
      <c r="ACD101" s="155"/>
      <c r="ACE101" s="155"/>
      <c r="ACF101" s="155"/>
      <c r="ACG101" s="155"/>
      <c r="ACH101" s="155"/>
      <c r="ACI101" s="155"/>
      <c r="ACJ101" s="155"/>
      <c r="ACK101" s="155"/>
      <c r="ACL101" s="155"/>
      <c r="ACM101" s="155"/>
      <c r="ACN101" s="155"/>
      <c r="ACO101" s="155"/>
      <c r="ACP101" s="155"/>
      <c r="ACQ101" s="155"/>
      <c r="ACR101" s="155"/>
      <c r="ACS101" s="155"/>
      <c r="ACT101" s="155"/>
      <c r="ACU101" s="155"/>
      <c r="ACV101" s="155"/>
      <c r="ACW101" s="155"/>
      <c r="ACX101" s="155"/>
      <c r="ACY101" s="155"/>
      <c r="ACZ101" s="155"/>
      <c r="ADA101" s="155"/>
      <c r="ADB101" s="155"/>
      <c r="ADC101" s="155"/>
      <c r="ADD101" s="155"/>
      <c r="ADE101" s="155"/>
      <c r="ADF101" s="155"/>
      <c r="ADG101" s="155"/>
      <c r="ADH101" s="155"/>
      <c r="ADI101" s="155"/>
      <c r="ADJ101" s="155"/>
      <c r="ADK101" s="155"/>
      <c r="ADL101" s="155"/>
      <c r="ADM101" s="155"/>
      <c r="ADN101" s="155"/>
      <c r="ADO101" s="155"/>
      <c r="ADP101" s="155"/>
      <c r="ADQ101" s="155"/>
      <c r="ADR101" s="155"/>
      <c r="ADS101" s="155"/>
      <c r="ADT101" s="155"/>
      <c r="ADU101" s="155"/>
      <c r="ADV101" s="155"/>
      <c r="ADW101" s="155"/>
      <c r="ADX101" s="155"/>
      <c r="ADY101" s="155"/>
      <c r="ADZ101" s="155"/>
      <c r="AEA101" s="155"/>
      <c r="AEB101" s="155"/>
      <c r="AEC101" s="155"/>
      <c r="AED101" s="155"/>
      <c r="AEE101" s="155"/>
      <c r="AEF101" s="155"/>
      <c r="AEG101" s="155"/>
      <c r="AEH101" s="155"/>
      <c r="AEI101" s="155"/>
      <c r="AEJ101" s="155"/>
      <c r="AEK101" s="155"/>
      <c r="AEL101" s="155"/>
      <c r="AEM101" s="155"/>
      <c r="AEN101" s="155"/>
      <c r="AEO101" s="155"/>
      <c r="AEP101" s="155"/>
      <c r="AEQ101" s="155"/>
      <c r="AER101" s="155"/>
      <c r="AES101" s="155"/>
      <c r="AET101" s="155"/>
      <c r="AEU101" s="155"/>
      <c r="AEV101" s="155"/>
      <c r="AEW101" s="155"/>
      <c r="AEX101" s="155"/>
      <c r="AEY101" s="155"/>
      <c r="AEZ101" s="155"/>
      <c r="AFA101" s="155"/>
      <c r="AFB101" s="155"/>
      <c r="AFC101" s="155"/>
      <c r="AFD101" s="155"/>
      <c r="AFE101" s="155"/>
      <c r="AFF101" s="155"/>
      <c r="AFG101" s="155"/>
      <c r="AFH101" s="155"/>
      <c r="AFI101" s="155"/>
      <c r="AFJ101" s="155"/>
      <c r="AFK101" s="155"/>
      <c r="AFL101" s="155"/>
      <c r="AFM101" s="155"/>
      <c r="AFN101" s="155"/>
      <c r="AFO101" s="155"/>
      <c r="AFP101" s="155"/>
      <c r="AFQ101" s="155"/>
      <c r="AFR101" s="155"/>
      <c r="AFS101" s="155"/>
      <c r="AFT101" s="155"/>
      <c r="AFU101" s="155"/>
      <c r="AFV101" s="155"/>
      <c r="AFW101" s="155"/>
      <c r="AFX101" s="155"/>
      <c r="AFY101" s="155"/>
      <c r="AFZ101" s="155"/>
      <c r="AGA101" s="155"/>
      <c r="AGB101" s="155"/>
      <c r="AGC101" s="155"/>
      <c r="AGD101" s="155"/>
      <c r="AGE101" s="155"/>
      <c r="AGF101" s="155"/>
      <c r="AGG101" s="155"/>
      <c r="AGH101" s="155"/>
      <c r="AGI101" s="155"/>
      <c r="AGJ101" s="155"/>
      <c r="AGK101" s="155"/>
      <c r="AGL101" s="155"/>
      <c r="AGM101" s="155"/>
      <c r="AGN101" s="155"/>
      <c r="AGO101" s="155"/>
      <c r="AGP101" s="155"/>
      <c r="AGQ101" s="155"/>
      <c r="AGR101" s="155"/>
      <c r="AGS101" s="155"/>
      <c r="AGT101" s="155"/>
      <c r="AGU101" s="155"/>
      <c r="AGV101" s="155"/>
      <c r="AGW101" s="155"/>
      <c r="AGX101" s="155"/>
      <c r="AGY101" s="155"/>
      <c r="AGZ101" s="155"/>
      <c r="AHA101" s="155"/>
      <c r="AHB101" s="155"/>
      <c r="AHC101" s="155"/>
      <c r="AHD101" s="155"/>
      <c r="AHE101" s="155"/>
      <c r="AHF101" s="155"/>
      <c r="AHG101" s="155"/>
      <c r="AHH101" s="155"/>
      <c r="AHI101" s="155"/>
      <c r="AHJ101" s="155"/>
      <c r="AHK101" s="155"/>
      <c r="AHL101" s="155"/>
      <c r="AHM101" s="155"/>
      <c r="AHN101" s="155"/>
      <c r="AHO101" s="155"/>
      <c r="AHP101" s="155"/>
      <c r="AHQ101" s="155"/>
      <c r="AHR101" s="155"/>
      <c r="AHS101" s="155"/>
      <c r="AHT101" s="155"/>
      <c r="AHU101" s="155"/>
      <c r="AHV101" s="155"/>
      <c r="AHW101" s="155"/>
      <c r="AHX101" s="155"/>
      <c r="AHY101" s="155"/>
      <c r="AHZ101" s="155"/>
      <c r="AIA101" s="155"/>
      <c r="AIB101" s="155"/>
      <c r="AIC101" s="155"/>
      <c r="AID101" s="155"/>
      <c r="AIE101" s="155"/>
      <c r="AIF101" s="155"/>
    </row>
    <row r="102" spans="1:916" s="160" customFormat="1" x14ac:dyDescent="0.35">
      <c r="A102" s="155"/>
      <c r="B102" s="155"/>
      <c r="C102" s="155"/>
      <c r="D102" s="155"/>
      <c r="E102" s="155"/>
      <c r="F102" s="170" t="str">
        <f>'Block 2 (Bioestimulant)'!A95</f>
        <v>Total fix capital per annun</v>
      </c>
      <c r="G102" s="178" t="str">
        <f>'Block 2 (Bioestimulant)'!B95</f>
        <v>€</v>
      </c>
      <c r="H102" s="161">
        <f>'Block 2 (Bioestimulant)'!C95</f>
        <v>45331.197958943405</v>
      </c>
      <c r="I102" s="155"/>
      <c r="J102" s="155"/>
      <c r="K102" s="155"/>
      <c r="L102" s="155"/>
      <c r="M102" s="155"/>
      <c r="N102" s="155"/>
      <c r="O102" s="155"/>
      <c r="P102" s="155"/>
      <c r="Q102" s="155"/>
      <c r="R102" s="155"/>
      <c r="S102" s="155"/>
      <c r="T102" s="155"/>
      <c r="U102" s="155"/>
      <c r="V102" s="155"/>
      <c r="W102" s="155"/>
      <c r="X102" s="155"/>
      <c r="Y102" s="155"/>
      <c r="Z102" s="155"/>
      <c r="AA102" s="155"/>
      <c r="AB102" s="155"/>
      <c r="AC102" s="155"/>
      <c r="AD102" s="155"/>
      <c r="AE102" s="155"/>
      <c r="AF102" s="155"/>
      <c r="AG102" s="155"/>
      <c r="AH102" s="155"/>
      <c r="AI102" s="155"/>
      <c r="AJ102" s="155"/>
      <c r="AK102" s="155"/>
      <c r="AL102" s="155"/>
      <c r="AM102" s="155"/>
      <c r="AN102" s="155"/>
      <c r="AO102" s="155"/>
      <c r="AP102" s="155"/>
      <c r="AQ102" s="155"/>
      <c r="AR102" s="155"/>
      <c r="AS102" s="155"/>
      <c r="AT102" s="155"/>
      <c r="AU102" s="155"/>
      <c r="AV102" s="155"/>
      <c r="AW102" s="155"/>
      <c r="AX102" s="155"/>
      <c r="AY102" s="155"/>
      <c r="AZ102" s="155"/>
      <c r="BA102" s="155"/>
      <c r="BB102" s="155"/>
      <c r="BC102" s="155"/>
      <c r="BD102" s="155"/>
      <c r="BE102" s="155"/>
      <c r="BF102" s="155"/>
      <c r="BG102" s="155"/>
      <c r="BH102" s="155"/>
      <c r="BI102" s="155"/>
      <c r="BJ102" s="155"/>
      <c r="BK102" s="155"/>
      <c r="BL102" s="155"/>
      <c r="BM102" s="155"/>
      <c r="BN102" s="155"/>
      <c r="BO102" s="155"/>
      <c r="BP102" s="155"/>
      <c r="BQ102" s="155"/>
      <c r="BR102" s="155"/>
      <c r="BS102" s="155"/>
      <c r="BT102" s="155"/>
      <c r="BU102" s="155"/>
      <c r="BV102" s="155"/>
      <c r="BW102" s="155"/>
      <c r="BX102" s="155"/>
      <c r="BY102" s="155"/>
      <c r="BZ102" s="155"/>
      <c r="CA102" s="155"/>
      <c r="CB102" s="155"/>
      <c r="CC102" s="155"/>
      <c r="CD102" s="155"/>
      <c r="CE102" s="155"/>
      <c r="CF102" s="155"/>
      <c r="CG102" s="155"/>
      <c r="CH102" s="155"/>
      <c r="CI102" s="155"/>
      <c r="CJ102" s="155"/>
      <c r="CK102" s="155"/>
      <c r="CL102" s="155"/>
      <c r="CM102" s="155"/>
      <c r="CN102" s="155"/>
      <c r="CO102" s="155"/>
      <c r="CP102" s="155"/>
      <c r="CQ102" s="155"/>
      <c r="CR102" s="155"/>
      <c r="CS102" s="155"/>
      <c r="CT102" s="155"/>
      <c r="CU102" s="155"/>
      <c r="CV102" s="155"/>
      <c r="CW102" s="155"/>
      <c r="CX102" s="155"/>
      <c r="CY102" s="155"/>
      <c r="CZ102" s="155"/>
      <c r="DA102" s="155"/>
      <c r="DB102" s="155"/>
      <c r="DC102" s="155"/>
      <c r="DD102" s="155"/>
      <c r="DE102" s="155"/>
      <c r="DF102" s="155"/>
      <c r="DG102" s="155"/>
      <c r="DH102" s="155"/>
      <c r="DI102" s="155"/>
      <c r="DJ102" s="155"/>
      <c r="DK102" s="155"/>
      <c r="DL102" s="155"/>
      <c r="DM102" s="155"/>
      <c r="DN102" s="155"/>
      <c r="DO102" s="155"/>
      <c r="DP102" s="155"/>
      <c r="DQ102" s="155"/>
      <c r="DR102" s="155"/>
      <c r="DS102" s="155"/>
      <c r="DT102" s="155"/>
      <c r="DU102" s="155"/>
      <c r="DV102" s="155"/>
      <c r="DW102" s="155"/>
      <c r="DX102" s="155"/>
      <c r="DY102" s="155"/>
      <c r="DZ102" s="155"/>
      <c r="EA102" s="155"/>
      <c r="EB102" s="155"/>
      <c r="EC102" s="155"/>
      <c r="ED102" s="155"/>
      <c r="EE102" s="155"/>
      <c r="EF102" s="155"/>
      <c r="EG102" s="155"/>
      <c r="EH102" s="155"/>
      <c r="EI102" s="155"/>
      <c r="EJ102" s="155"/>
      <c r="EK102" s="155"/>
      <c r="EL102" s="155"/>
      <c r="EM102" s="155"/>
      <c r="EN102" s="155"/>
      <c r="EO102" s="155"/>
      <c r="EP102" s="155"/>
      <c r="EQ102" s="155"/>
      <c r="ER102" s="155"/>
      <c r="ES102" s="155"/>
      <c r="ET102" s="155"/>
      <c r="EU102" s="155"/>
      <c r="EV102" s="155"/>
      <c r="EW102" s="155"/>
      <c r="EX102" s="155"/>
      <c r="EY102" s="155"/>
      <c r="EZ102" s="155"/>
      <c r="FA102" s="155"/>
      <c r="FB102" s="155"/>
      <c r="FC102" s="155"/>
      <c r="FD102" s="155"/>
      <c r="FE102" s="155"/>
      <c r="FF102" s="155"/>
      <c r="FG102" s="155"/>
      <c r="FH102" s="155"/>
      <c r="FI102" s="155"/>
      <c r="FJ102" s="155"/>
      <c r="FK102" s="155"/>
      <c r="FL102" s="155"/>
      <c r="FM102" s="155"/>
      <c r="FN102" s="155"/>
      <c r="FO102" s="155"/>
      <c r="FP102" s="155"/>
      <c r="FQ102" s="155"/>
      <c r="FR102" s="155"/>
      <c r="FS102" s="155"/>
      <c r="FT102" s="155"/>
      <c r="FU102" s="155"/>
      <c r="FV102" s="155"/>
      <c r="FW102" s="155"/>
      <c r="FX102" s="155"/>
      <c r="FY102" s="155"/>
      <c r="FZ102" s="155"/>
      <c r="GA102" s="155"/>
      <c r="GB102" s="155"/>
      <c r="GC102" s="155"/>
      <c r="GD102" s="155"/>
      <c r="GE102" s="155"/>
      <c r="GF102" s="155"/>
      <c r="GG102" s="155"/>
      <c r="GH102" s="155"/>
      <c r="GI102" s="155"/>
      <c r="GJ102" s="155"/>
      <c r="GK102" s="155"/>
      <c r="GL102" s="155"/>
      <c r="GM102" s="155"/>
      <c r="GN102" s="155"/>
      <c r="GO102" s="155"/>
      <c r="GP102" s="155"/>
      <c r="GQ102" s="155"/>
      <c r="GR102" s="155"/>
      <c r="GS102" s="155"/>
      <c r="GT102" s="155"/>
      <c r="GU102" s="155"/>
      <c r="GV102" s="155"/>
      <c r="GW102" s="155"/>
      <c r="GX102" s="155"/>
      <c r="GY102" s="155"/>
      <c r="GZ102" s="155"/>
      <c r="HA102" s="155"/>
      <c r="HB102" s="155"/>
      <c r="HC102" s="155"/>
      <c r="HD102" s="155"/>
      <c r="HE102" s="155"/>
      <c r="HF102" s="155"/>
      <c r="HG102" s="155"/>
      <c r="HH102" s="155"/>
      <c r="HI102" s="155"/>
      <c r="HJ102" s="155"/>
      <c r="HK102" s="155"/>
      <c r="HL102" s="155"/>
      <c r="HM102" s="155"/>
      <c r="HN102" s="155"/>
      <c r="HO102" s="155"/>
      <c r="HP102" s="155"/>
      <c r="HQ102" s="155"/>
      <c r="HR102" s="155"/>
      <c r="HS102" s="155"/>
      <c r="HT102" s="155"/>
      <c r="HU102" s="155"/>
      <c r="HV102" s="155"/>
      <c r="HW102" s="155"/>
      <c r="HX102" s="155"/>
      <c r="HY102" s="155"/>
      <c r="HZ102" s="155"/>
      <c r="IA102" s="155"/>
      <c r="IB102" s="155"/>
      <c r="IC102" s="155"/>
      <c r="ID102" s="155"/>
      <c r="IE102" s="155"/>
      <c r="IF102" s="155"/>
      <c r="IG102" s="155"/>
      <c r="IH102" s="155"/>
      <c r="II102" s="155"/>
      <c r="IJ102" s="155"/>
      <c r="IK102" s="155"/>
      <c r="IL102" s="155"/>
      <c r="IM102" s="155"/>
      <c r="IN102" s="155"/>
      <c r="IO102" s="155"/>
      <c r="IP102" s="155"/>
      <c r="IQ102" s="155"/>
      <c r="IR102" s="155"/>
      <c r="IS102" s="155"/>
      <c r="IT102" s="155"/>
      <c r="IU102" s="155"/>
      <c r="IV102" s="155"/>
      <c r="IW102" s="155"/>
      <c r="IX102" s="155"/>
      <c r="IY102" s="155"/>
      <c r="IZ102" s="155"/>
      <c r="JA102" s="155"/>
      <c r="JB102" s="155"/>
      <c r="JC102" s="155"/>
      <c r="JD102" s="155"/>
      <c r="JE102" s="155"/>
      <c r="JF102" s="155"/>
      <c r="JG102" s="155"/>
      <c r="JH102" s="155"/>
      <c r="JI102" s="155"/>
      <c r="JJ102" s="155"/>
      <c r="JK102" s="155"/>
      <c r="JL102" s="155"/>
      <c r="JM102" s="155"/>
      <c r="JN102" s="155"/>
      <c r="JO102" s="155"/>
      <c r="JP102" s="155"/>
      <c r="JQ102" s="155"/>
      <c r="JR102" s="155"/>
      <c r="JS102" s="155"/>
      <c r="JT102" s="155"/>
      <c r="JU102" s="155"/>
      <c r="JV102" s="155"/>
      <c r="JW102" s="155"/>
      <c r="JX102" s="155"/>
      <c r="JY102" s="155"/>
      <c r="JZ102" s="155"/>
      <c r="KA102" s="155"/>
      <c r="KB102" s="155"/>
      <c r="KC102" s="155"/>
      <c r="KD102" s="155"/>
      <c r="KE102" s="155"/>
      <c r="KF102" s="155"/>
      <c r="KG102" s="155"/>
      <c r="KH102" s="155"/>
      <c r="KI102" s="155"/>
      <c r="KJ102" s="155"/>
      <c r="KK102" s="155"/>
      <c r="KL102" s="155"/>
      <c r="KM102" s="155"/>
      <c r="KN102" s="155"/>
      <c r="KO102" s="155"/>
      <c r="KP102" s="155"/>
      <c r="KQ102" s="155"/>
      <c r="KR102" s="155"/>
      <c r="KS102" s="155"/>
      <c r="KT102" s="155"/>
      <c r="KU102" s="155"/>
      <c r="KV102" s="155"/>
      <c r="KW102" s="155"/>
      <c r="KX102" s="155"/>
      <c r="KY102" s="155"/>
      <c r="KZ102" s="155"/>
      <c r="LA102" s="155"/>
      <c r="LB102" s="155"/>
      <c r="LC102" s="155"/>
      <c r="LD102" s="155"/>
      <c r="LE102" s="155"/>
      <c r="LF102" s="155"/>
      <c r="LG102" s="155"/>
      <c r="LH102" s="155"/>
      <c r="LI102" s="155"/>
      <c r="LJ102" s="155"/>
      <c r="LK102" s="155"/>
      <c r="LL102" s="155"/>
      <c r="LM102" s="155"/>
      <c r="LN102" s="155"/>
      <c r="LO102" s="155"/>
      <c r="LP102" s="155"/>
      <c r="LQ102" s="155"/>
      <c r="LR102" s="155"/>
      <c r="LS102" s="155"/>
      <c r="LT102" s="155"/>
      <c r="LU102" s="155"/>
      <c r="LV102" s="155"/>
      <c r="LW102" s="155"/>
      <c r="LX102" s="155"/>
      <c r="LY102" s="155"/>
      <c r="LZ102" s="155"/>
      <c r="MA102" s="155"/>
      <c r="MB102" s="155"/>
      <c r="MC102" s="155"/>
      <c r="MD102" s="155"/>
      <c r="ME102" s="155"/>
      <c r="MF102" s="155"/>
      <c r="MG102" s="155"/>
      <c r="MH102" s="155"/>
      <c r="MI102" s="155"/>
      <c r="MJ102" s="155"/>
      <c r="MK102" s="155"/>
      <c r="ML102" s="155"/>
      <c r="MM102" s="155"/>
      <c r="MN102" s="155"/>
      <c r="MO102" s="155"/>
      <c r="MP102" s="155"/>
      <c r="MQ102" s="155"/>
      <c r="MR102" s="155"/>
      <c r="MS102" s="155"/>
      <c r="MT102" s="155"/>
      <c r="MU102" s="155"/>
      <c r="MV102" s="155"/>
      <c r="MW102" s="155"/>
      <c r="MX102" s="155"/>
      <c r="MY102" s="155"/>
      <c r="MZ102" s="155"/>
      <c r="NA102" s="155"/>
      <c r="NB102" s="155"/>
      <c r="NC102" s="155"/>
      <c r="ND102" s="155"/>
      <c r="NE102" s="155"/>
      <c r="NF102" s="155"/>
      <c r="NG102" s="155"/>
      <c r="NH102" s="155"/>
      <c r="NI102" s="155"/>
      <c r="NJ102" s="155"/>
      <c r="NK102" s="155"/>
      <c r="NL102" s="155"/>
      <c r="NM102" s="155"/>
      <c r="NN102" s="155"/>
      <c r="NO102" s="155"/>
      <c r="NP102" s="155"/>
      <c r="NQ102" s="155"/>
      <c r="NR102" s="155"/>
      <c r="NS102" s="155"/>
      <c r="NT102" s="155"/>
      <c r="NU102" s="155"/>
      <c r="NV102" s="155"/>
      <c r="NW102" s="155"/>
      <c r="NX102" s="155"/>
      <c r="NY102" s="155"/>
      <c r="NZ102" s="155"/>
      <c r="OA102" s="155"/>
      <c r="OB102" s="155"/>
      <c r="OC102" s="155"/>
      <c r="OD102" s="155"/>
      <c r="OE102" s="155"/>
      <c r="OF102" s="155"/>
      <c r="OG102" s="155"/>
      <c r="OH102" s="155"/>
      <c r="OI102" s="155"/>
      <c r="OJ102" s="155"/>
      <c r="OK102" s="155"/>
      <c r="OL102" s="155"/>
      <c r="OM102" s="155"/>
      <c r="ON102" s="155"/>
      <c r="OO102" s="155"/>
      <c r="OP102" s="155"/>
      <c r="OQ102" s="155"/>
      <c r="OR102" s="155"/>
      <c r="OS102" s="155"/>
      <c r="OT102" s="155"/>
      <c r="OU102" s="155"/>
      <c r="OV102" s="155"/>
      <c r="OW102" s="155"/>
      <c r="OX102" s="155"/>
      <c r="OY102" s="155"/>
      <c r="OZ102" s="155"/>
      <c r="PA102" s="155"/>
      <c r="PB102" s="155"/>
      <c r="PC102" s="155"/>
      <c r="PD102" s="155"/>
      <c r="PE102" s="155"/>
      <c r="PF102" s="155"/>
      <c r="PG102" s="155"/>
      <c r="PH102" s="155"/>
      <c r="PI102" s="155"/>
      <c r="PJ102" s="155"/>
      <c r="PK102" s="155"/>
      <c r="PL102" s="155"/>
      <c r="PM102" s="155"/>
      <c r="PN102" s="155"/>
      <c r="PO102" s="155"/>
      <c r="PP102" s="155"/>
      <c r="PQ102" s="155"/>
      <c r="PR102" s="155"/>
      <c r="PS102" s="155"/>
      <c r="PT102" s="155"/>
      <c r="PU102" s="155"/>
      <c r="PV102" s="155"/>
      <c r="PW102" s="155"/>
      <c r="PX102" s="155"/>
      <c r="PY102" s="155"/>
      <c r="PZ102" s="155"/>
      <c r="QA102" s="155"/>
      <c r="QB102" s="155"/>
      <c r="QC102" s="155"/>
      <c r="QD102" s="155"/>
      <c r="QE102" s="155"/>
      <c r="QF102" s="155"/>
      <c r="QG102" s="155"/>
      <c r="QH102" s="155"/>
      <c r="QI102" s="155"/>
      <c r="QJ102" s="155"/>
      <c r="QK102" s="155"/>
      <c r="QL102" s="155"/>
      <c r="QM102" s="155"/>
      <c r="QN102" s="155"/>
      <c r="QO102" s="155"/>
      <c r="QP102" s="155"/>
      <c r="QQ102" s="155"/>
      <c r="QR102" s="155"/>
      <c r="QS102" s="155"/>
      <c r="QT102" s="155"/>
      <c r="QU102" s="155"/>
      <c r="QV102" s="155"/>
      <c r="QW102" s="155"/>
      <c r="QX102" s="155"/>
      <c r="QY102" s="155"/>
      <c r="QZ102" s="155"/>
      <c r="RA102" s="155"/>
      <c r="RB102" s="155"/>
      <c r="RC102" s="155"/>
      <c r="RD102" s="155"/>
      <c r="RE102" s="155"/>
      <c r="RF102" s="155"/>
      <c r="RG102" s="155"/>
      <c r="RH102" s="155"/>
      <c r="RI102" s="155"/>
      <c r="RJ102" s="155"/>
      <c r="RK102" s="155"/>
      <c r="RL102" s="155"/>
      <c r="RM102" s="155"/>
      <c r="RN102" s="155"/>
      <c r="RO102" s="155"/>
      <c r="RP102" s="155"/>
      <c r="RQ102" s="155"/>
      <c r="RR102" s="155"/>
      <c r="RS102" s="155"/>
      <c r="RT102" s="155"/>
      <c r="RU102" s="155"/>
      <c r="RV102" s="155"/>
      <c r="RW102" s="155"/>
      <c r="RX102" s="155"/>
      <c r="RY102" s="155"/>
      <c r="RZ102" s="155"/>
      <c r="SA102" s="155"/>
      <c r="SB102" s="155"/>
      <c r="SC102" s="155"/>
      <c r="SD102" s="155"/>
      <c r="SE102" s="155"/>
      <c r="SF102" s="155"/>
      <c r="SG102" s="155"/>
      <c r="SH102" s="155"/>
      <c r="SI102" s="155"/>
      <c r="SJ102" s="155"/>
      <c r="SK102" s="155"/>
      <c r="SL102" s="155"/>
      <c r="SM102" s="155"/>
      <c r="SN102" s="155"/>
      <c r="SO102" s="155"/>
      <c r="SP102" s="155"/>
      <c r="SQ102" s="155"/>
      <c r="SR102" s="155"/>
      <c r="SS102" s="155"/>
      <c r="ST102" s="155"/>
      <c r="SU102" s="155"/>
      <c r="SV102" s="155"/>
      <c r="SW102" s="155"/>
      <c r="SX102" s="155"/>
      <c r="SY102" s="155"/>
      <c r="SZ102" s="155"/>
      <c r="TA102" s="155"/>
      <c r="TB102" s="155"/>
      <c r="TC102" s="155"/>
      <c r="TD102" s="155"/>
      <c r="TE102" s="155"/>
      <c r="TF102" s="155"/>
      <c r="TG102" s="155"/>
      <c r="TH102" s="155"/>
      <c r="TI102" s="155"/>
      <c r="TJ102" s="155"/>
      <c r="TK102" s="155"/>
      <c r="TL102" s="155"/>
      <c r="TM102" s="155"/>
      <c r="TN102" s="155"/>
      <c r="TO102" s="155"/>
      <c r="TP102" s="155"/>
      <c r="TQ102" s="155"/>
      <c r="TR102" s="155"/>
      <c r="TS102" s="155"/>
      <c r="TT102" s="155"/>
      <c r="TU102" s="155"/>
      <c r="TV102" s="155"/>
      <c r="TW102" s="155"/>
      <c r="TX102" s="155"/>
      <c r="TY102" s="155"/>
      <c r="TZ102" s="155"/>
      <c r="UA102" s="155"/>
      <c r="UB102" s="155"/>
      <c r="UC102" s="155"/>
      <c r="UD102" s="155"/>
      <c r="UE102" s="155"/>
      <c r="UF102" s="155"/>
      <c r="UG102" s="155"/>
      <c r="UH102" s="155"/>
      <c r="UI102" s="155"/>
      <c r="UJ102" s="155"/>
      <c r="UK102" s="155"/>
      <c r="UL102" s="155"/>
      <c r="UM102" s="155"/>
      <c r="UN102" s="155"/>
      <c r="UO102" s="155"/>
      <c r="UP102" s="155"/>
      <c r="UQ102" s="155"/>
      <c r="UR102" s="155"/>
      <c r="US102" s="155"/>
      <c r="UT102" s="155"/>
      <c r="UU102" s="155"/>
      <c r="UV102" s="155"/>
      <c r="UW102" s="155"/>
      <c r="UX102" s="155"/>
      <c r="UY102" s="155"/>
      <c r="UZ102" s="155"/>
      <c r="VA102" s="155"/>
      <c r="VB102" s="155"/>
      <c r="VC102" s="155"/>
      <c r="VD102" s="155"/>
      <c r="VE102" s="155"/>
      <c r="VF102" s="155"/>
      <c r="VG102" s="155"/>
      <c r="VH102" s="155"/>
      <c r="VI102" s="155"/>
      <c r="VJ102" s="155"/>
      <c r="VK102" s="155"/>
      <c r="VL102" s="155"/>
      <c r="VM102" s="155"/>
      <c r="VN102" s="155"/>
      <c r="VO102" s="155"/>
      <c r="VP102" s="155"/>
      <c r="VQ102" s="155"/>
      <c r="VR102" s="155"/>
      <c r="VS102" s="155"/>
      <c r="VT102" s="155"/>
      <c r="VU102" s="155"/>
      <c r="VV102" s="155"/>
      <c r="VW102" s="155"/>
      <c r="VX102" s="155"/>
      <c r="VY102" s="155"/>
      <c r="VZ102" s="155"/>
      <c r="WA102" s="155"/>
      <c r="WB102" s="155"/>
      <c r="WC102" s="155"/>
      <c r="WD102" s="155"/>
      <c r="WE102" s="155"/>
      <c r="WF102" s="155"/>
      <c r="WG102" s="155"/>
      <c r="WH102" s="155"/>
      <c r="WI102" s="155"/>
      <c r="WJ102" s="155"/>
      <c r="WK102" s="155"/>
      <c r="WL102" s="155"/>
      <c r="WM102" s="155"/>
      <c r="WN102" s="155"/>
      <c r="WO102" s="155"/>
      <c r="WP102" s="155"/>
      <c r="WQ102" s="155"/>
      <c r="WR102" s="155"/>
      <c r="WS102" s="155"/>
      <c r="WT102" s="155"/>
      <c r="WU102" s="155"/>
      <c r="WV102" s="155"/>
      <c r="WW102" s="155"/>
      <c r="WX102" s="155"/>
      <c r="WY102" s="155"/>
      <c r="WZ102" s="155"/>
      <c r="XA102" s="155"/>
      <c r="XB102" s="155"/>
      <c r="XC102" s="155"/>
      <c r="XD102" s="155"/>
      <c r="XE102" s="155"/>
      <c r="XF102" s="155"/>
      <c r="XG102" s="155"/>
      <c r="XH102" s="155"/>
      <c r="XI102" s="155"/>
      <c r="XJ102" s="155"/>
      <c r="XK102" s="155"/>
      <c r="XL102" s="155"/>
      <c r="XM102" s="155"/>
      <c r="XN102" s="155"/>
      <c r="XO102" s="155"/>
      <c r="XP102" s="155"/>
      <c r="XQ102" s="155"/>
      <c r="XR102" s="155"/>
      <c r="XS102" s="155"/>
      <c r="XT102" s="155"/>
      <c r="XU102" s="155"/>
      <c r="XV102" s="155"/>
      <c r="XW102" s="155"/>
      <c r="XX102" s="155"/>
      <c r="XY102" s="155"/>
      <c r="XZ102" s="155"/>
      <c r="YA102" s="155"/>
      <c r="YB102" s="155"/>
      <c r="YC102" s="155"/>
      <c r="YD102" s="155"/>
      <c r="YE102" s="155"/>
      <c r="YF102" s="155"/>
      <c r="YG102" s="155"/>
      <c r="YH102" s="155"/>
      <c r="YI102" s="155"/>
      <c r="YJ102" s="155"/>
      <c r="YK102" s="155"/>
      <c r="YL102" s="155"/>
      <c r="YM102" s="155"/>
      <c r="YN102" s="155"/>
      <c r="YO102" s="155"/>
      <c r="YP102" s="155"/>
      <c r="YQ102" s="155"/>
      <c r="YR102" s="155"/>
      <c r="YS102" s="155"/>
      <c r="YT102" s="155"/>
      <c r="YU102" s="155"/>
      <c r="YV102" s="155"/>
      <c r="YW102" s="155"/>
      <c r="YX102" s="155"/>
      <c r="YY102" s="155"/>
      <c r="YZ102" s="155"/>
      <c r="ZA102" s="155"/>
      <c r="ZB102" s="155"/>
      <c r="ZC102" s="155"/>
      <c r="ZD102" s="155"/>
      <c r="ZE102" s="155"/>
      <c r="ZF102" s="155"/>
      <c r="ZG102" s="155"/>
      <c r="ZH102" s="155"/>
      <c r="ZI102" s="155"/>
      <c r="ZJ102" s="155"/>
      <c r="ZK102" s="155"/>
      <c r="ZL102" s="155"/>
      <c r="ZM102" s="155"/>
      <c r="ZN102" s="155"/>
      <c r="ZO102" s="155"/>
      <c r="ZP102" s="155"/>
      <c r="ZQ102" s="155"/>
      <c r="ZR102" s="155"/>
      <c r="ZS102" s="155"/>
      <c r="ZT102" s="155"/>
      <c r="ZU102" s="155"/>
      <c r="ZV102" s="155"/>
      <c r="ZW102" s="155"/>
      <c r="ZX102" s="155"/>
      <c r="ZY102" s="155"/>
      <c r="ZZ102" s="155"/>
      <c r="AAA102" s="155"/>
      <c r="AAB102" s="155"/>
      <c r="AAC102" s="155"/>
      <c r="AAD102" s="155"/>
      <c r="AAE102" s="155"/>
      <c r="AAF102" s="155"/>
      <c r="AAG102" s="155"/>
      <c r="AAH102" s="155"/>
      <c r="AAI102" s="155"/>
      <c r="AAJ102" s="155"/>
      <c r="AAK102" s="155"/>
      <c r="AAL102" s="155"/>
      <c r="AAM102" s="155"/>
      <c r="AAN102" s="155"/>
      <c r="AAO102" s="155"/>
      <c r="AAP102" s="155"/>
      <c r="AAQ102" s="155"/>
      <c r="AAR102" s="155"/>
      <c r="AAS102" s="155"/>
      <c r="AAT102" s="155"/>
      <c r="AAU102" s="155"/>
      <c r="AAV102" s="155"/>
      <c r="AAW102" s="155"/>
      <c r="AAX102" s="155"/>
      <c r="AAY102" s="155"/>
      <c r="AAZ102" s="155"/>
      <c r="ABA102" s="155"/>
      <c r="ABB102" s="155"/>
      <c r="ABC102" s="155"/>
      <c r="ABD102" s="155"/>
      <c r="ABE102" s="155"/>
      <c r="ABF102" s="155"/>
      <c r="ABG102" s="155"/>
      <c r="ABH102" s="155"/>
      <c r="ABI102" s="155"/>
      <c r="ABJ102" s="155"/>
      <c r="ABK102" s="155"/>
      <c r="ABL102" s="155"/>
      <c r="ABM102" s="155"/>
      <c r="ABN102" s="155"/>
      <c r="ABO102" s="155"/>
      <c r="ABP102" s="155"/>
      <c r="ABQ102" s="155"/>
      <c r="ABR102" s="155"/>
      <c r="ABS102" s="155"/>
      <c r="ABT102" s="155"/>
      <c r="ABU102" s="155"/>
      <c r="ABV102" s="155"/>
      <c r="ABW102" s="155"/>
      <c r="ABX102" s="155"/>
      <c r="ABY102" s="155"/>
      <c r="ABZ102" s="155"/>
      <c r="ACA102" s="155"/>
      <c r="ACB102" s="155"/>
      <c r="ACC102" s="155"/>
      <c r="ACD102" s="155"/>
      <c r="ACE102" s="155"/>
      <c r="ACF102" s="155"/>
      <c r="ACG102" s="155"/>
      <c r="ACH102" s="155"/>
      <c r="ACI102" s="155"/>
      <c r="ACJ102" s="155"/>
      <c r="ACK102" s="155"/>
      <c r="ACL102" s="155"/>
      <c r="ACM102" s="155"/>
      <c r="ACN102" s="155"/>
      <c r="ACO102" s="155"/>
      <c r="ACP102" s="155"/>
      <c r="ACQ102" s="155"/>
      <c r="ACR102" s="155"/>
      <c r="ACS102" s="155"/>
      <c r="ACT102" s="155"/>
      <c r="ACU102" s="155"/>
      <c r="ACV102" s="155"/>
      <c r="ACW102" s="155"/>
      <c r="ACX102" s="155"/>
      <c r="ACY102" s="155"/>
      <c r="ACZ102" s="155"/>
      <c r="ADA102" s="155"/>
      <c r="ADB102" s="155"/>
      <c r="ADC102" s="155"/>
      <c r="ADD102" s="155"/>
      <c r="ADE102" s="155"/>
      <c r="ADF102" s="155"/>
      <c r="ADG102" s="155"/>
      <c r="ADH102" s="155"/>
      <c r="ADI102" s="155"/>
      <c r="ADJ102" s="155"/>
      <c r="ADK102" s="155"/>
      <c r="ADL102" s="155"/>
      <c r="ADM102" s="155"/>
      <c r="ADN102" s="155"/>
      <c r="ADO102" s="155"/>
      <c r="ADP102" s="155"/>
      <c r="ADQ102" s="155"/>
      <c r="ADR102" s="155"/>
      <c r="ADS102" s="155"/>
      <c r="ADT102" s="155"/>
      <c r="ADU102" s="155"/>
      <c r="ADV102" s="155"/>
      <c r="ADW102" s="155"/>
      <c r="ADX102" s="155"/>
      <c r="ADY102" s="155"/>
      <c r="ADZ102" s="155"/>
      <c r="AEA102" s="155"/>
      <c r="AEB102" s="155"/>
      <c r="AEC102" s="155"/>
      <c r="AED102" s="155"/>
      <c r="AEE102" s="155"/>
      <c r="AEF102" s="155"/>
      <c r="AEG102" s="155"/>
      <c r="AEH102" s="155"/>
      <c r="AEI102" s="155"/>
      <c r="AEJ102" s="155"/>
      <c r="AEK102" s="155"/>
      <c r="AEL102" s="155"/>
      <c r="AEM102" s="155"/>
      <c r="AEN102" s="155"/>
      <c r="AEO102" s="155"/>
      <c r="AEP102" s="155"/>
      <c r="AEQ102" s="155"/>
      <c r="AER102" s="155"/>
      <c r="AES102" s="155"/>
      <c r="AET102" s="155"/>
      <c r="AEU102" s="155"/>
      <c r="AEV102" s="155"/>
      <c r="AEW102" s="155"/>
      <c r="AEX102" s="155"/>
      <c r="AEY102" s="155"/>
      <c r="AEZ102" s="155"/>
      <c r="AFA102" s="155"/>
      <c r="AFB102" s="155"/>
      <c r="AFC102" s="155"/>
      <c r="AFD102" s="155"/>
      <c r="AFE102" s="155"/>
      <c r="AFF102" s="155"/>
      <c r="AFG102" s="155"/>
      <c r="AFH102" s="155"/>
      <c r="AFI102" s="155"/>
      <c r="AFJ102" s="155"/>
      <c r="AFK102" s="155"/>
      <c r="AFL102" s="155"/>
      <c r="AFM102" s="155"/>
      <c r="AFN102" s="155"/>
      <c r="AFO102" s="155"/>
      <c r="AFP102" s="155"/>
      <c r="AFQ102" s="155"/>
      <c r="AFR102" s="155"/>
      <c r="AFS102" s="155"/>
      <c r="AFT102" s="155"/>
      <c r="AFU102" s="155"/>
      <c r="AFV102" s="155"/>
      <c r="AFW102" s="155"/>
      <c r="AFX102" s="155"/>
      <c r="AFY102" s="155"/>
      <c r="AFZ102" s="155"/>
      <c r="AGA102" s="155"/>
      <c r="AGB102" s="155"/>
      <c r="AGC102" s="155"/>
      <c r="AGD102" s="155"/>
      <c r="AGE102" s="155"/>
      <c r="AGF102" s="155"/>
      <c r="AGG102" s="155"/>
      <c r="AGH102" s="155"/>
      <c r="AGI102" s="155"/>
      <c r="AGJ102" s="155"/>
      <c r="AGK102" s="155"/>
      <c r="AGL102" s="155"/>
      <c r="AGM102" s="155"/>
      <c r="AGN102" s="155"/>
      <c r="AGO102" s="155"/>
      <c r="AGP102" s="155"/>
      <c r="AGQ102" s="155"/>
      <c r="AGR102" s="155"/>
      <c r="AGS102" s="155"/>
      <c r="AGT102" s="155"/>
      <c r="AGU102" s="155"/>
      <c r="AGV102" s="155"/>
      <c r="AGW102" s="155"/>
      <c r="AGX102" s="155"/>
      <c r="AGY102" s="155"/>
      <c r="AGZ102" s="155"/>
      <c r="AHA102" s="155"/>
      <c r="AHB102" s="155"/>
      <c r="AHC102" s="155"/>
      <c r="AHD102" s="155"/>
      <c r="AHE102" s="155"/>
      <c r="AHF102" s="155"/>
      <c r="AHG102" s="155"/>
      <c r="AHH102" s="155"/>
      <c r="AHI102" s="155"/>
      <c r="AHJ102" s="155"/>
      <c r="AHK102" s="155"/>
      <c r="AHL102" s="155"/>
      <c r="AHM102" s="155"/>
      <c r="AHN102" s="155"/>
      <c r="AHO102" s="155"/>
      <c r="AHP102" s="155"/>
      <c r="AHQ102" s="155"/>
      <c r="AHR102" s="155"/>
      <c r="AHS102" s="155"/>
      <c r="AHT102" s="155"/>
      <c r="AHU102" s="155"/>
      <c r="AHV102" s="155"/>
      <c r="AHW102" s="155"/>
      <c r="AHX102" s="155"/>
      <c r="AHY102" s="155"/>
      <c r="AHZ102" s="155"/>
      <c r="AIA102" s="155"/>
      <c r="AIB102" s="155"/>
      <c r="AIC102" s="155"/>
      <c r="AID102" s="155"/>
      <c r="AIE102" s="155"/>
      <c r="AIF102" s="155"/>
    </row>
    <row r="103" spans="1:916" s="160" customFormat="1" x14ac:dyDescent="0.35">
      <c r="A103" s="155"/>
      <c r="B103" s="155"/>
      <c r="C103" s="155"/>
      <c r="D103" s="155"/>
      <c r="E103" s="155"/>
      <c r="F103" s="170" t="str">
        <f>'Block 2 (Bioestimulant)'!M93</f>
        <v>Total direct production costs (€)</v>
      </c>
      <c r="G103" s="178" t="s">
        <v>40</v>
      </c>
      <c r="H103" s="161" t="e">
        <f>'Block 2 (Bioestimulant)'!O93</f>
        <v>#REF!</v>
      </c>
      <c r="I103" s="155"/>
      <c r="J103" s="155"/>
      <c r="K103" s="155"/>
      <c r="L103" s="155"/>
      <c r="M103" s="155"/>
      <c r="N103" s="155"/>
      <c r="O103" s="155"/>
      <c r="P103" s="155"/>
      <c r="Q103" s="155"/>
      <c r="R103" s="155"/>
      <c r="S103" s="155"/>
      <c r="T103" s="155"/>
      <c r="U103" s="155"/>
      <c r="V103" s="155"/>
      <c r="W103" s="155"/>
      <c r="X103" s="155"/>
      <c r="Y103" s="155"/>
      <c r="Z103" s="155"/>
      <c r="AA103" s="155"/>
      <c r="AB103" s="155"/>
      <c r="AC103" s="155"/>
      <c r="AD103" s="155"/>
      <c r="AE103" s="155"/>
      <c r="AF103" s="155"/>
      <c r="AG103" s="155"/>
      <c r="AH103" s="155"/>
      <c r="AI103" s="155"/>
      <c r="AJ103" s="155"/>
      <c r="AK103" s="155"/>
      <c r="AL103" s="155"/>
      <c r="AM103" s="155"/>
      <c r="AN103" s="155"/>
      <c r="AO103" s="155"/>
      <c r="AP103" s="155"/>
      <c r="AQ103" s="155"/>
      <c r="AR103" s="155"/>
      <c r="AS103" s="155"/>
      <c r="AT103" s="155"/>
      <c r="AU103" s="155"/>
      <c r="AV103" s="155"/>
      <c r="AW103" s="155"/>
      <c r="AX103" s="155"/>
      <c r="AY103" s="155"/>
      <c r="AZ103" s="155"/>
      <c r="BA103" s="155"/>
      <c r="BB103" s="155"/>
      <c r="BC103" s="155"/>
      <c r="BD103" s="155"/>
      <c r="BE103" s="155"/>
      <c r="BF103" s="155"/>
      <c r="BG103" s="155"/>
      <c r="BH103" s="155"/>
      <c r="BI103" s="155"/>
      <c r="BJ103" s="155"/>
      <c r="BK103" s="155"/>
      <c r="BL103" s="155"/>
      <c r="BM103" s="155"/>
      <c r="BN103" s="155"/>
      <c r="BO103" s="155"/>
      <c r="BP103" s="155"/>
      <c r="BQ103" s="155"/>
      <c r="BR103" s="155"/>
      <c r="BS103" s="155"/>
      <c r="BT103" s="155"/>
      <c r="BU103" s="155"/>
      <c r="BV103" s="155"/>
      <c r="BW103" s="155"/>
      <c r="BX103" s="155"/>
      <c r="BY103" s="155"/>
      <c r="BZ103" s="155"/>
      <c r="CA103" s="155"/>
      <c r="CB103" s="155"/>
      <c r="CC103" s="155"/>
      <c r="CD103" s="155"/>
      <c r="CE103" s="155"/>
      <c r="CF103" s="155"/>
      <c r="CG103" s="155"/>
      <c r="CH103" s="155"/>
      <c r="CI103" s="155"/>
      <c r="CJ103" s="155"/>
      <c r="CK103" s="155"/>
      <c r="CL103" s="155"/>
      <c r="CM103" s="155"/>
      <c r="CN103" s="155"/>
      <c r="CO103" s="155"/>
      <c r="CP103" s="155"/>
      <c r="CQ103" s="155"/>
      <c r="CR103" s="155"/>
      <c r="CS103" s="155"/>
      <c r="CT103" s="155"/>
      <c r="CU103" s="155"/>
      <c r="CV103" s="155"/>
      <c r="CW103" s="155"/>
      <c r="CX103" s="155"/>
      <c r="CY103" s="155"/>
      <c r="CZ103" s="155"/>
      <c r="DA103" s="155"/>
      <c r="DB103" s="155"/>
      <c r="DC103" s="155"/>
      <c r="DD103" s="155"/>
      <c r="DE103" s="155"/>
      <c r="DF103" s="155"/>
      <c r="DG103" s="155"/>
      <c r="DH103" s="155"/>
      <c r="DI103" s="155"/>
      <c r="DJ103" s="155"/>
      <c r="DK103" s="155"/>
      <c r="DL103" s="155"/>
      <c r="DM103" s="155"/>
      <c r="DN103" s="155"/>
      <c r="DO103" s="155"/>
      <c r="DP103" s="155"/>
      <c r="DQ103" s="155"/>
      <c r="DR103" s="155"/>
      <c r="DS103" s="155"/>
      <c r="DT103" s="155"/>
      <c r="DU103" s="155"/>
      <c r="DV103" s="155"/>
      <c r="DW103" s="155"/>
      <c r="DX103" s="155"/>
      <c r="DY103" s="155"/>
      <c r="DZ103" s="155"/>
      <c r="EA103" s="155"/>
      <c r="EB103" s="155"/>
      <c r="EC103" s="155"/>
      <c r="ED103" s="155"/>
      <c r="EE103" s="155"/>
      <c r="EF103" s="155"/>
      <c r="EG103" s="155"/>
      <c r="EH103" s="155"/>
      <c r="EI103" s="155"/>
      <c r="EJ103" s="155"/>
      <c r="EK103" s="155"/>
      <c r="EL103" s="155"/>
      <c r="EM103" s="155"/>
      <c r="EN103" s="155"/>
      <c r="EO103" s="155"/>
      <c r="EP103" s="155"/>
      <c r="EQ103" s="155"/>
      <c r="ER103" s="155"/>
      <c r="ES103" s="155"/>
      <c r="ET103" s="155"/>
      <c r="EU103" s="155"/>
      <c r="EV103" s="155"/>
      <c r="EW103" s="155"/>
      <c r="EX103" s="155"/>
      <c r="EY103" s="155"/>
      <c r="EZ103" s="155"/>
      <c r="FA103" s="155"/>
      <c r="FB103" s="155"/>
      <c r="FC103" s="155"/>
      <c r="FD103" s="155"/>
      <c r="FE103" s="155"/>
      <c r="FF103" s="155"/>
      <c r="FG103" s="155"/>
      <c r="FH103" s="155"/>
      <c r="FI103" s="155"/>
      <c r="FJ103" s="155"/>
      <c r="FK103" s="155"/>
      <c r="FL103" s="155"/>
      <c r="FM103" s="155"/>
      <c r="FN103" s="155"/>
      <c r="FO103" s="155"/>
      <c r="FP103" s="155"/>
      <c r="FQ103" s="155"/>
      <c r="FR103" s="155"/>
      <c r="FS103" s="155"/>
      <c r="FT103" s="155"/>
      <c r="FU103" s="155"/>
      <c r="FV103" s="155"/>
      <c r="FW103" s="155"/>
      <c r="FX103" s="155"/>
      <c r="FY103" s="155"/>
      <c r="FZ103" s="155"/>
      <c r="GA103" s="155"/>
      <c r="GB103" s="155"/>
      <c r="GC103" s="155"/>
      <c r="GD103" s="155"/>
      <c r="GE103" s="155"/>
      <c r="GF103" s="155"/>
      <c r="GG103" s="155"/>
      <c r="GH103" s="155"/>
      <c r="GI103" s="155"/>
      <c r="GJ103" s="155"/>
      <c r="GK103" s="155"/>
      <c r="GL103" s="155"/>
      <c r="GM103" s="155"/>
      <c r="GN103" s="155"/>
      <c r="GO103" s="155"/>
      <c r="GP103" s="155"/>
      <c r="GQ103" s="155"/>
      <c r="GR103" s="155"/>
      <c r="GS103" s="155"/>
      <c r="GT103" s="155"/>
      <c r="GU103" s="155"/>
      <c r="GV103" s="155"/>
      <c r="GW103" s="155"/>
      <c r="GX103" s="155"/>
      <c r="GY103" s="155"/>
      <c r="GZ103" s="155"/>
      <c r="HA103" s="155"/>
      <c r="HB103" s="155"/>
      <c r="HC103" s="155"/>
      <c r="HD103" s="155"/>
      <c r="HE103" s="155"/>
      <c r="HF103" s="155"/>
      <c r="HG103" s="155"/>
      <c r="HH103" s="155"/>
      <c r="HI103" s="155"/>
      <c r="HJ103" s="155"/>
      <c r="HK103" s="155"/>
      <c r="HL103" s="155"/>
      <c r="HM103" s="155"/>
      <c r="HN103" s="155"/>
      <c r="HO103" s="155"/>
      <c r="HP103" s="155"/>
      <c r="HQ103" s="155"/>
      <c r="HR103" s="155"/>
      <c r="HS103" s="155"/>
      <c r="HT103" s="155"/>
      <c r="HU103" s="155"/>
      <c r="HV103" s="155"/>
      <c r="HW103" s="155"/>
      <c r="HX103" s="155"/>
      <c r="HY103" s="155"/>
      <c r="HZ103" s="155"/>
      <c r="IA103" s="155"/>
      <c r="IB103" s="155"/>
      <c r="IC103" s="155"/>
      <c r="ID103" s="155"/>
      <c r="IE103" s="155"/>
      <c r="IF103" s="155"/>
      <c r="IG103" s="155"/>
      <c r="IH103" s="155"/>
      <c r="II103" s="155"/>
      <c r="IJ103" s="155"/>
      <c r="IK103" s="155"/>
      <c r="IL103" s="155"/>
      <c r="IM103" s="155"/>
      <c r="IN103" s="155"/>
      <c r="IO103" s="155"/>
      <c r="IP103" s="155"/>
      <c r="IQ103" s="155"/>
      <c r="IR103" s="155"/>
      <c r="IS103" s="155"/>
      <c r="IT103" s="155"/>
      <c r="IU103" s="155"/>
      <c r="IV103" s="155"/>
      <c r="IW103" s="155"/>
      <c r="IX103" s="155"/>
      <c r="IY103" s="155"/>
      <c r="IZ103" s="155"/>
      <c r="JA103" s="155"/>
      <c r="JB103" s="155"/>
      <c r="JC103" s="155"/>
      <c r="JD103" s="155"/>
      <c r="JE103" s="155"/>
      <c r="JF103" s="155"/>
      <c r="JG103" s="155"/>
      <c r="JH103" s="155"/>
      <c r="JI103" s="155"/>
      <c r="JJ103" s="155"/>
      <c r="JK103" s="155"/>
      <c r="JL103" s="155"/>
      <c r="JM103" s="155"/>
      <c r="JN103" s="155"/>
      <c r="JO103" s="155"/>
      <c r="JP103" s="155"/>
      <c r="JQ103" s="155"/>
      <c r="JR103" s="155"/>
      <c r="JS103" s="155"/>
      <c r="JT103" s="155"/>
      <c r="JU103" s="155"/>
      <c r="JV103" s="155"/>
      <c r="JW103" s="155"/>
      <c r="JX103" s="155"/>
      <c r="JY103" s="155"/>
      <c r="JZ103" s="155"/>
      <c r="KA103" s="155"/>
      <c r="KB103" s="155"/>
      <c r="KC103" s="155"/>
      <c r="KD103" s="155"/>
      <c r="KE103" s="155"/>
      <c r="KF103" s="155"/>
      <c r="KG103" s="155"/>
      <c r="KH103" s="155"/>
      <c r="KI103" s="155"/>
      <c r="KJ103" s="155"/>
      <c r="KK103" s="155"/>
      <c r="KL103" s="155"/>
      <c r="KM103" s="155"/>
      <c r="KN103" s="155"/>
      <c r="KO103" s="155"/>
      <c r="KP103" s="155"/>
      <c r="KQ103" s="155"/>
      <c r="KR103" s="155"/>
      <c r="KS103" s="155"/>
      <c r="KT103" s="155"/>
      <c r="KU103" s="155"/>
      <c r="KV103" s="155"/>
      <c r="KW103" s="155"/>
      <c r="KX103" s="155"/>
      <c r="KY103" s="155"/>
      <c r="KZ103" s="155"/>
      <c r="LA103" s="155"/>
      <c r="LB103" s="155"/>
      <c r="LC103" s="155"/>
      <c r="LD103" s="155"/>
      <c r="LE103" s="155"/>
      <c r="LF103" s="155"/>
      <c r="LG103" s="155"/>
      <c r="LH103" s="155"/>
      <c r="LI103" s="155"/>
      <c r="LJ103" s="155"/>
      <c r="LK103" s="155"/>
      <c r="LL103" s="155"/>
      <c r="LM103" s="155"/>
      <c r="LN103" s="155"/>
      <c r="LO103" s="155"/>
      <c r="LP103" s="155"/>
      <c r="LQ103" s="155"/>
      <c r="LR103" s="155"/>
      <c r="LS103" s="155"/>
      <c r="LT103" s="155"/>
      <c r="LU103" s="155"/>
      <c r="LV103" s="155"/>
      <c r="LW103" s="155"/>
      <c r="LX103" s="155"/>
      <c r="LY103" s="155"/>
      <c r="LZ103" s="155"/>
      <c r="MA103" s="155"/>
      <c r="MB103" s="155"/>
      <c r="MC103" s="155"/>
      <c r="MD103" s="155"/>
      <c r="ME103" s="155"/>
      <c r="MF103" s="155"/>
      <c r="MG103" s="155"/>
      <c r="MH103" s="155"/>
      <c r="MI103" s="155"/>
      <c r="MJ103" s="155"/>
      <c r="MK103" s="155"/>
      <c r="ML103" s="155"/>
      <c r="MM103" s="155"/>
      <c r="MN103" s="155"/>
      <c r="MO103" s="155"/>
      <c r="MP103" s="155"/>
      <c r="MQ103" s="155"/>
      <c r="MR103" s="155"/>
      <c r="MS103" s="155"/>
      <c r="MT103" s="155"/>
      <c r="MU103" s="155"/>
      <c r="MV103" s="155"/>
      <c r="MW103" s="155"/>
      <c r="MX103" s="155"/>
      <c r="MY103" s="155"/>
      <c r="MZ103" s="155"/>
      <c r="NA103" s="155"/>
      <c r="NB103" s="155"/>
      <c r="NC103" s="155"/>
      <c r="ND103" s="155"/>
      <c r="NE103" s="155"/>
      <c r="NF103" s="155"/>
      <c r="NG103" s="155"/>
      <c r="NH103" s="155"/>
      <c r="NI103" s="155"/>
      <c r="NJ103" s="155"/>
      <c r="NK103" s="155"/>
      <c r="NL103" s="155"/>
      <c r="NM103" s="155"/>
      <c r="NN103" s="155"/>
      <c r="NO103" s="155"/>
      <c r="NP103" s="155"/>
      <c r="NQ103" s="155"/>
      <c r="NR103" s="155"/>
      <c r="NS103" s="155"/>
      <c r="NT103" s="155"/>
      <c r="NU103" s="155"/>
      <c r="NV103" s="155"/>
      <c r="NW103" s="155"/>
      <c r="NX103" s="155"/>
      <c r="NY103" s="155"/>
      <c r="NZ103" s="155"/>
      <c r="OA103" s="155"/>
      <c r="OB103" s="155"/>
      <c r="OC103" s="155"/>
      <c r="OD103" s="155"/>
      <c r="OE103" s="155"/>
      <c r="OF103" s="155"/>
      <c r="OG103" s="155"/>
      <c r="OH103" s="155"/>
      <c r="OI103" s="155"/>
      <c r="OJ103" s="155"/>
      <c r="OK103" s="155"/>
      <c r="OL103" s="155"/>
      <c r="OM103" s="155"/>
      <c r="ON103" s="155"/>
      <c r="OO103" s="155"/>
      <c r="OP103" s="155"/>
      <c r="OQ103" s="155"/>
      <c r="OR103" s="155"/>
      <c r="OS103" s="155"/>
      <c r="OT103" s="155"/>
      <c r="OU103" s="155"/>
      <c r="OV103" s="155"/>
      <c r="OW103" s="155"/>
      <c r="OX103" s="155"/>
      <c r="OY103" s="155"/>
      <c r="OZ103" s="155"/>
      <c r="PA103" s="155"/>
      <c r="PB103" s="155"/>
      <c r="PC103" s="155"/>
      <c r="PD103" s="155"/>
      <c r="PE103" s="155"/>
      <c r="PF103" s="155"/>
      <c r="PG103" s="155"/>
      <c r="PH103" s="155"/>
      <c r="PI103" s="155"/>
      <c r="PJ103" s="155"/>
      <c r="PK103" s="155"/>
      <c r="PL103" s="155"/>
      <c r="PM103" s="155"/>
      <c r="PN103" s="155"/>
      <c r="PO103" s="155"/>
      <c r="PP103" s="155"/>
      <c r="PQ103" s="155"/>
      <c r="PR103" s="155"/>
      <c r="PS103" s="155"/>
      <c r="PT103" s="155"/>
      <c r="PU103" s="155"/>
      <c r="PV103" s="155"/>
      <c r="PW103" s="155"/>
      <c r="PX103" s="155"/>
      <c r="PY103" s="155"/>
      <c r="PZ103" s="155"/>
      <c r="QA103" s="155"/>
      <c r="QB103" s="155"/>
      <c r="QC103" s="155"/>
      <c r="QD103" s="155"/>
      <c r="QE103" s="155"/>
      <c r="QF103" s="155"/>
      <c r="QG103" s="155"/>
      <c r="QH103" s="155"/>
      <c r="QI103" s="155"/>
      <c r="QJ103" s="155"/>
      <c r="QK103" s="155"/>
      <c r="QL103" s="155"/>
      <c r="QM103" s="155"/>
      <c r="QN103" s="155"/>
      <c r="QO103" s="155"/>
      <c r="QP103" s="155"/>
      <c r="QQ103" s="155"/>
      <c r="QR103" s="155"/>
      <c r="QS103" s="155"/>
      <c r="QT103" s="155"/>
      <c r="QU103" s="155"/>
      <c r="QV103" s="155"/>
      <c r="QW103" s="155"/>
      <c r="QX103" s="155"/>
      <c r="QY103" s="155"/>
      <c r="QZ103" s="155"/>
      <c r="RA103" s="155"/>
      <c r="RB103" s="155"/>
      <c r="RC103" s="155"/>
      <c r="RD103" s="155"/>
      <c r="RE103" s="155"/>
      <c r="RF103" s="155"/>
      <c r="RG103" s="155"/>
      <c r="RH103" s="155"/>
      <c r="RI103" s="155"/>
      <c r="RJ103" s="155"/>
      <c r="RK103" s="155"/>
      <c r="RL103" s="155"/>
      <c r="RM103" s="155"/>
      <c r="RN103" s="155"/>
      <c r="RO103" s="155"/>
      <c r="RP103" s="155"/>
      <c r="RQ103" s="155"/>
      <c r="RR103" s="155"/>
      <c r="RS103" s="155"/>
      <c r="RT103" s="155"/>
      <c r="RU103" s="155"/>
      <c r="RV103" s="155"/>
      <c r="RW103" s="155"/>
      <c r="RX103" s="155"/>
      <c r="RY103" s="155"/>
      <c r="RZ103" s="155"/>
      <c r="SA103" s="155"/>
      <c r="SB103" s="155"/>
      <c r="SC103" s="155"/>
      <c r="SD103" s="155"/>
      <c r="SE103" s="155"/>
      <c r="SF103" s="155"/>
      <c r="SG103" s="155"/>
      <c r="SH103" s="155"/>
      <c r="SI103" s="155"/>
      <c r="SJ103" s="155"/>
      <c r="SK103" s="155"/>
      <c r="SL103" s="155"/>
      <c r="SM103" s="155"/>
      <c r="SN103" s="155"/>
      <c r="SO103" s="155"/>
      <c r="SP103" s="155"/>
      <c r="SQ103" s="155"/>
      <c r="SR103" s="155"/>
      <c r="SS103" s="155"/>
      <c r="ST103" s="155"/>
      <c r="SU103" s="155"/>
      <c r="SV103" s="155"/>
      <c r="SW103" s="155"/>
      <c r="SX103" s="155"/>
      <c r="SY103" s="155"/>
      <c r="SZ103" s="155"/>
      <c r="TA103" s="155"/>
      <c r="TB103" s="155"/>
      <c r="TC103" s="155"/>
      <c r="TD103" s="155"/>
      <c r="TE103" s="155"/>
      <c r="TF103" s="155"/>
      <c r="TG103" s="155"/>
      <c r="TH103" s="155"/>
      <c r="TI103" s="155"/>
      <c r="TJ103" s="155"/>
      <c r="TK103" s="155"/>
      <c r="TL103" s="155"/>
      <c r="TM103" s="155"/>
      <c r="TN103" s="155"/>
      <c r="TO103" s="155"/>
      <c r="TP103" s="155"/>
      <c r="TQ103" s="155"/>
      <c r="TR103" s="155"/>
      <c r="TS103" s="155"/>
      <c r="TT103" s="155"/>
      <c r="TU103" s="155"/>
      <c r="TV103" s="155"/>
      <c r="TW103" s="155"/>
      <c r="TX103" s="155"/>
      <c r="TY103" s="155"/>
      <c r="TZ103" s="155"/>
      <c r="UA103" s="155"/>
      <c r="UB103" s="155"/>
      <c r="UC103" s="155"/>
      <c r="UD103" s="155"/>
      <c r="UE103" s="155"/>
      <c r="UF103" s="155"/>
      <c r="UG103" s="155"/>
      <c r="UH103" s="155"/>
      <c r="UI103" s="155"/>
      <c r="UJ103" s="155"/>
      <c r="UK103" s="155"/>
      <c r="UL103" s="155"/>
      <c r="UM103" s="155"/>
      <c r="UN103" s="155"/>
      <c r="UO103" s="155"/>
      <c r="UP103" s="155"/>
      <c r="UQ103" s="155"/>
      <c r="UR103" s="155"/>
      <c r="US103" s="155"/>
      <c r="UT103" s="155"/>
      <c r="UU103" s="155"/>
      <c r="UV103" s="155"/>
      <c r="UW103" s="155"/>
      <c r="UX103" s="155"/>
      <c r="UY103" s="155"/>
      <c r="UZ103" s="155"/>
      <c r="VA103" s="155"/>
      <c r="VB103" s="155"/>
      <c r="VC103" s="155"/>
      <c r="VD103" s="155"/>
      <c r="VE103" s="155"/>
      <c r="VF103" s="155"/>
      <c r="VG103" s="155"/>
      <c r="VH103" s="155"/>
      <c r="VI103" s="155"/>
      <c r="VJ103" s="155"/>
      <c r="VK103" s="155"/>
      <c r="VL103" s="155"/>
      <c r="VM103" s="155"/>
      <c r="VN103" s="155"/>
      <c r="VO103" s="155"/>
      <c r="VP103" s="155"/>
      <c r="VQ103" s="155"/>
      <c r="VR103" s="155"/>
      <c r="VS103" s="155"/>
      <c r="VT103" s="155"/>
      <c r="VU103" s="155"/>
      <c r="VV103" s="155"/>
      <c r="VW103" s="155"/>
      <c r="VX103" s="155"/>
      <c r="VY103" s="155"/>
      <c r="VZ103" s="155"/>
      <c r="WA103" s="155"/>
      <c r="WB103" s="155"/>
      <c r="WC103" s="155"/>
      <c r="WD103" s="155"/>
      <c r="WE103" s="155"/>
      <c r="WF103" s="155"/>
      <c r="WG103" s="155"/>
      <c r="WH103" s="155"/>
      <c r="WI103" s="155"/>
      <c r="WJ103" s="155"/>
      <c r="WK103" s="155"/>
      <c r="WL103" s="155"/>
      <c r="WM103" s="155"/>
      <c r="WN103" s="155"/>
      <c r="WO103" s="155"/>
      <c r="WP103" s="155"/>
      <c r="WQ103" s="155"/>
      <c r="WR103" s="155"/>
      <c r="WS103" s="155"/>
      <c r="WT103" s="155"/>
      <c r="WU103" s="155"/>
      <c r="WV103" s="155"/>
      <c r="WW103" s="155"/>
      <c r="WX103" s="155"/>
      <c r="WY103" s="155"/>
      <c r="WZ103" s="155"/>
      <c r="XA103" s="155"/>
      <c r="XB103" s="155"/>
      <c r="XC103" s="155"/>
      <c r="XD103" s="155"/>
      <c r="XE103" s="155"/>
      <c r="XF103" s="155"/>
      <c r="XG103" s="155"/>
      <c r="XH103" s="155"/>
      <c r="XI103" s="155"/>
      <c r="XJ103" s="155"/>
      <c r="XK103" s="155"/>
      <c r="XL103" s="155"/>
      <c r="XM103" s="155"/>
      <c r="XN103" s="155"/>
      <c r="XO103" s="155"/>
      <c r="XP103" s="155"/>
      <c r="XQ103" s="155"/>
      <c r="XR103" s="155"/>
      <c r="XS103" s="155"/>
      <c r="XT103" s="155"/>
      <c r="XU103" s="155"/>
      <c r="XV103" s="155"/>
      <c r="XW103" s="155"/>
      <c r="XX103" s="155"/>
      <c r="XY103" s="155"/>
      <c r="XZ103" s="155"/>
      <c r="YA103" s="155"/>
      <c r="YB103" s="155"/>
      <c r="YC103" s="155"/>
      <c r="YD103" s="155"/>
      <c r="YE103" s="155"/>
      <c r="YF103" s="155"/>
      <c r="YG103" s="155"/>
      <c r="YH103" s="155"/>
      <c r="YI103" s="155"/>
      <c r="YJ103" s="155"/>
      <c r="YK103" s="155"/>
      <c r="YL103" s="155"/>
      <c r="YM103" s="155"/>
      <c r="YN103" s="155"/>
      <c r="YO103" s="155"/>
      <c r="YP103" s="155"/>
      <c r="YQ103" s="155"/>
      <c r="YR103" s="155"/>
      <c r="YS103" s="155"/>
      <c r="YT103" s="155"/>
      <c r="YU103" s="155"/>
      <c r="YV103" s="155"/>
      <c r="YW103" s="155"/>
      <c r="YX103" s="155"/>
      <c r="YY103" s="155"/>
      <c r="YZ103" s="155"/>
      <c r="ZA103" s="155"/>
      <c r="ZB103" s="155"/>
      <c r="ZC103" s="155"/>
      <c r="ZD103" s="155"/>
      <c r="ZE103" s="155"/>
      <c r="ZF103" s="155"/>
      <c r="ZG103" s="155"/>
      <c r="ZH103" s="155"/>
      <c r="ZI103" s="155"/>
      <c r="ZJ103" s="155"/>
      <c r="ZK103" s="155"/>
      <c r="ZL103" s="155"/>
      <c r="ZM103" s="155"/>
      <c r="ZN103" s="155"/>
      <c r="ZO103" s="155"/>
      <c r="ZP103" s="155"/>
      <c r="ZQ103" s="155"/>
      <c r="ZR103" s="155"/>
      <c r="ZS103" s="155"/>
      <c r="ZT103" s="155"/>
      <c r="ZU103" s="155"/>
      <c r="ZV103" s="155"/>
      <c r="ZW103" s="155"/>
      <c r="ZX103" s="155"/>
      <c r="ZY103" s="155"/>
      <c r="ZZ103" s="155"/>
      <c r="AAA103" s="155"/>
      <c r="AAB103" s="155"/>
      <c r="AAC103" s="155"/>
      <c r="AAD103" s="155"/>
      <c r="AAE103" s="155"/>
      <c r="AAF103" s="155"/>
      <c r="AAG103" s="155"/>
      <c r="AAH103" s="155"/>
      <c r="AAI103" s="155"/>
      <c r="AAJ103" s="155"/>
      <c r="AAK103" s="155"/>
      <c r="AAL103" s="155"/>
      <c r="AAM103" s="155"/>
      <c r="AAN103" s="155"/>
      <c r="AAO103" s="155"/>
      <c r="AAP103" s="155"/>
      <c r="AAQ103" s="155"/>
      <c r="AAR103" s="155"/>
      <c r="AAS103" s="155"/>
      <c r="AAT103" s="155"/>
      <c r="AAU103" s="155"/>
      <c r="AAV103" s="155"/>
      <c r="AAW103" s="155"/>
      <c r="AAX103" s="155"/>
      <c r="AAY103" s="155"/>
      <c r="AAZ103" s="155"/>
      <c r="ABA103" s="155"/>
      <c r="ABB103" s="155"/>
      <c r="ABC103" s="155"/>
      <c r="ABD103" s="155"/>
      <c r="ABE103" s="155"/>
      <c r="ABF103" s="155"/>
      <c r="ABG103" s="155"/>
      <c r="ABH103" s="155"/>
      <c r="ABI103" s="155"/>
      <c r="ABJ103" s="155"/>
      <c r="ABK103" s="155"/>
      <c r="ABL103" s="155"/>
      <c r="ABM103" s="155"/>
      <c r="ABN103" s="155"/>
      <c r="ABO103" s="155"/>
      <c r="ABP103" s="155"/>
      <c r="ABQ103" s="155"/>
      <c r="ABR103" s="155"/>
      <c r="ABS103" s="155"/>
      <c r="ABT103" s="155"/>
      <c r="ABU103" s="155"/>
      <c r="ABV103" s="155"/>
      <c r="ABW103" s="155"/>
      <c r="ABX103" s="155"/>
      <c r="ABY103" s="155"/>
      <c r="ABZ103" s="155"/>
      <c r="ACA103" s="155"/>
      <c r="ACB103" s="155"/>
      <c r="ACC103" s="155"/>
      <c r="ACD103" s="155"/>
      <c r="ACE103" s="155"/>
      <c r="ACF103" s="155"/>
      <c r="ACG103" s="155"/>
      <c r="ACH103" s="155"/>
      <c r="ACI103" s="155"/>
      <c r="ACJ103" s="155"/>
      <c r="ACK103" s="155"/>
      <c r="ACL103" s="155"/>
      <c r="ACM103" s="155"/>
      <c r="ACN103" s="155"/>
      <c r="ACO103" s="155"/>
      <c r="ACP103" s="155"/>
      <c r="ACQ103" s="155"/>
      <c r="ACR103" s="155"/>
      <c r="ACS103" s="155"/>
      <c r="ACT103" s="155"/>
      <c r="ACU103" s="155"/>
      <c r="ACV103" s="155"/>
      <c r="ACW103" s="155"/>
      <c r="ACX103" s="155"/>
      <c r="ACY103" s="155"/>
      <c r="ACZ103" s="155"/>
      <c r="ADA103" s="155"/>
      <c r="ADB103" s="155"/>
      <c r="ADC103" s="155"/>
      <c r="ADD103" s="155"/>
      <c r="ADE103" s="155"/>
      <c r="ADF103" s="155"/>
      <c r="ADG103" s="155"/>
      <c r="ADH103" s="155"/>
      <c r="ADI103" s="155"/>
      <c r="ADJ103" s="155"/>
      <c r="ADK103" s="155"/>
      <c r="ADL103" s="155"/>
      <c r="ADM103" s="155"/>
      <c r="ADN103" s="155"/>
      <c r="ADO103" s="155"/>
      <c r="ADP103" s="155"/>
      <c r="ADQ103" s="155"/>
      <c r="ADR103" s="155"/>
      <c r="ADS103" s="155"/>
      <c r="ADT103" s="155"/>
      <c r="ADU103" s="155"/>
      <c r="ADV103" s="155"/>
      <c r="ADW103" s="155"/>
      <c r="ADX103" s="155"/>
      <c r="ADY103" s="155"/>
      <c r="ADZ103" s="155"/>
      <c r="AEA103" s="155"/>
      <c r="AEB103" s="155"/>
      <c r="AEC103" s="155"/>
      <c r="AED103" s="155"/>
      <c r="AEE103" s="155"/>
      <c r="AEF103" s="155"/>
      <c r="AEG103" s="155"/>
      <c r="AEH103" s="155"/>
      <c r="AEI103" s="155"/>
      <c r="AEJ103" s="155"/>
      <c r="AEK103" s="155"/>
      <c r="AEL103" s="155"/>
      <c r="AEM103" s="155"/>
      <c r="AEN103" s="155"/>
      <c r="AEO103" s="155"/>
      <c r="AEP103" s="155"/>
      <c r="AEQ103" s="155"/>
      <c r="AER103" s="155"/>
      <c r="AES103" s="155"/>
      <c r="AET103" s="155"/>
      <c r="AEU103" s="155"/>
      <c r="AEV103" s="155"/>
      <c r="AEW103" s="155"/>
      <c r="AEX103" s="155"/>
      <c r="AEY103" s="155"/>
      <c r="AEZ103" s="155"/>
      <c r="AFA103" s="155"/>
      <c r="AFB103" s="155"/>
      <c r="AFC103" s="155"/>
      <c r="AFD103" s="155"/>
      <c r="AFE103" s="155"/>
      <c r="AFF103" s="155"/>
      <c r="AFG103" s="155"/>
      <c r="AFH103" s="155"/>
      <c r="AFI103" s="155"/>
      <c r="AFJ103" s="155"/>
      <c r="AFK103" s="155"/>
      <c r="AFL103" s="155"/>
      <c r="AFM103" s="155"/>
      <c r="AFN103" s="155"/>
      <c r="AFO103" s="155"/>
      <c r="AFP103" s="155"/>
      <c r="AFQ103" s="155"/>
      <c r="AFR103" s="155"/>
      <c r="AFS103" s="155"/>
      <c r="AFT103" s="155"/>
      <c r="AFU103" s="155"/>
      <c r="AFV103" s="155"/>
      <c r="AFW103" s="155"/>
      <c r="AFX103" s="155"/>
      <c r="AFY103" s="155"/>
      <c r="AFZ103" s="155"/>
      <c r="AGA103" s="155"/>
      <c r="AGB103" s="155"/>
      <c r="AGC103" s="155"/>
      <c r="AGD103" s="155"/>
      <c r="AGE103" s="155"/>
      <c r="AGF103" s="155"/>
      <c r="AGG103" s="155"/>
      <c r="AGH103" s="155"/>
      <c r="AGI103" s="155"/>
      <c r="AGJ103" s="155"/>
      <c r="AGK103" s="155"/>
      <c r="AGL103" s="155"/>
      <c r="AGM103" s="155"/>
      <c r="AGN103" s="155"/>
      <c r="AGO103" s="155"/>
      <c r="AGP103" s="155"/>
      <c r="AGQ103" s="155"/>
      <c r="AGR103" s="155"/>
      <c r="AGS103" s="155"/>
      <c r="AGT103" s="155"/>
      <c r="AGU103" s="155"/>
      <c r="AGV103" s="155"/>
      <c r="AGW103" s="155"/>
      <c r="AGX103" s="155"/>
      <c r="AGY103" s="155"/>
      <c r="AGZ103" s="155"/>
      <c r="AHA103" s="155"/>
      <c r="AHB103" s="155"/>
      <c r="AHC103" s="155"/>
      <c r="AHD103" s="155"/>
      <c r="AHE103" s="155"/>
      <c r="AHF103" s="155"/>
      <c r="AHG103" s="155"/>
      <c r="AHH103" s="155"/>
      <c r="AHI103" s="155"/>
      <c r="AHJ103" s="155"/>
      <c r="AHK103" s="155"/>
      <c r="AHL103" s="155"/>
      <c r="AHM103" s="155"/>
      <c r="AHN103" s="155"/>
      <c r="AHO103" s="155"/>
      <c r="AHP103" s="155"/>
      <c r="AHQ103" s="155"/>
      <c r="AHR103" s="155"/>
      <c r="AHS103" s="155"/>
      <c r="AHT103" s="155"/>
      <c r="AHU103" s="155"/>
      <c r="AHV103" s="155"/>
      <c r="AHW103" s="155"/>
      <c r="AHX103" s="155"/>
      <c r="AHY103" s="155"/>
      <c r="AHZ103" s="155"/>
      <c r="AIA103" s="155"/>
      <c r="AIB103" s="155"/>
      <c r="AIC103" s="155"/>
      <c r="AID103" s="155"/>
      <c r="AIE103" s="155"/>
      <c r="AIF103" s="155"/>
    </row>
    <row r="104" spans="1:916" s="160" customFormat="1" x14ac:dyDescent="0.35">
      <c r="A104" s="155"/>
      <c r="B104" s="155"/>
      <c r="C104" s="155"/>
      <c r="D104" s="155"/>
      <c r="E104" s="155"/>
      <c r="F104" s="170" t="str">
        <f>'Block 2 (Bioestimulant)'!M94</f>
        <v>Total production costs (€)</v>
      </c>
      <c r="G104" s="178" t="s">
        <v>40</v>
      </c>
      <c r="H104" s="161" t="e">
        <f>'Block 2 (Bioestimulant)'!O94</f>
        <v>#REF!</v>
      </c>
      <c r="I104" s="155"/>
      <c r="J104" s="155"/>
      <c r="K104" s="155"/>
      <c r="L104" s="155"/>
      <c r="M104" s="155"/>
      <c r="N104" s="155"/>
      <c r="O104" s="155"/>
      <c r="P104" s="155"/>
      <c r="Q104" s="155"/>
      <c r="R104" s="155"/>
      <c r="S104" s="155"/>
      <c r="T104" s="155"/>
      <c r="U104" s="155"/>
      <c r="V104" s="155"/>
      <c r="W104" s="155"/>
      <c r="X104" s="155"/>
      <c r="Y104" s="155"/>
      <c r="Z104" s="155"/>
      <c r="AA104" s="155"/>
      <c r="AB104" s="155"/>
      <c r="AC104" s="155"/>
      <c r="AD104" s="155"/>
      <c r="AE104" s="155"/>
      <c r="AF104" s="155"/>
      <c r="AG104" s="155"/>
      <c r="AH104" s="155"/>
      <c r="AI104" s="155"/>
      <c r="AJ104" s="155"/>
      <c r="AK104" s="155"/>
      <c r="AL104" s="155"/>
      <c r="AM104" s="155"/>
      <c r="AN104" s="155"/>
      <c r="AO104" s="155"/>
      <c r="AP104" s="155"/>
      <c r="AQ104" s="155"/>
      <c r="AR104" s="155"/>
      <c r="AS104" s="155"/>
      <c r="AT104" s="155"/>
      <c r="AU104" s="155"/>
      <c r="AV104" s="155"/>
      <c r="AW104" s="155"/>
      <c r="AX104" s="155"/>
      <c r="AY104" s="155"/>
      <c r="AZ104" s="155"/>
      <c r="BA104" s="155"/>
      <c r="BB104" s="155"/>
      <c r="BC104" s="155"/>
      <c r="BD104" s="155"/>
      <c r="BE104" s="155"/>
      <c r="BF104" s="155"/>
      <c r="BG104" s="155"/>
      <c r="BH104" s="155"/>
      <c r="BI104" s="155"/>
      <c r="BJ104" s="155"/>
      <c r="BK104" s="155"/>
      <c r="BL104" s="155"/>
      <c r="BM104" s="155"/>
      <c r="BN104" s="155"/>
      <c r="BO104" s="155"/>
      <c r="BP104" s="155"/>
      <c r="BQ104" s="155"/>
      <c r="BR104" s="155"/>
      <c r="BS104" s="155"/>
      <c r="BT104" s="155"/>
      <c r="BU104" s="155"/>
      <c r="BV104" s="155"/>
      <c r="BW104" s="155"/>
      <c r="BX104" s="155"/>
      <c r="BY104" s="155"/>
      <c r="BZ104" s="155"/>
      <c r="CA104" s="155"/>
      <c r="CB104" s="155"/>
      <c r="CC104" s="155"/>
      <c r="CD104" s="155"/>
      <c r="CE104" s="155"/>
      <c r="CF104" s="155"/>
      <c r="CG104" s="155"/>
      <c r="CH104" s="155"/>
      <c r="CI104" s="155"/>
      <c r="CJ104" s="155"/>
      <c r="CK104" s="155"/>
      <c r="CL104" s="155"/>
      <c r="CM104" s="155"/>
      <c r="CN104" s="155"/>
      <c r="CO104" s="155"/>
      <c r="CP104" s="155"/>
      <c r="CQ104" s="155"/>
      <c r="CR104" s="155"/>
      <c r="CS104" s="155"/>
      <c r="CT104" s="155"/>
      <c r="CU104" s="155"/>
      <c r="CV104" s="155"/>
      <c r="CW104" s="155"/>
      <c r="CX104" s="155"/>
      <c r="CY104" s="155"/>
      <c r="CZ104" s="155"/>
      <c r="DA104" s="155"/>
      <c r="DB104" s="155"/>
      <c r="DC104" s="155"/>
      <c r="DD104" s="155"/>
      <c r="DE104" s="155"/>
      <c r="DF104" s="155"/>
      <c r="DG104" s="155"/>
      <c r="DH104" s="155"/>
      <c r="DI104" s="155"/>
      <c r="DJ104" s="155"/>
      <c r="DK104" s="155"/>
      <c r="DL104" s="155"/>
      <c r="DM104" s="155"/>
      <c r="DN104" s="155"/>
      <c r="DO104" s="155"/>
      <c r="DP104" s="155"/>
      <c r="DQ104" s="155"/>
      <c r="DR104" s="155"/>
      <c r="DS104" s="155"/>
      <c r="DT104" s="155"/>
      <c r="DU104" s="155"/>
      <c r="DV104" s="155"/>
      <c r="DW104" s="155"/>
      <c r="DX104" s="155"/>
      <c r="DY104" s="155"/>
      <c r="DZ104" s="155"/>
      <c r="EA104" s="155"/>
      <c r="EB104" s="155"/>
      <c r="EC104" s="155"/>
      <c r="ED104" s="155"/>
      <c r="EE104" s="155"/>
      <c r="EF104" s="155"/>
      <c r="EG104" s="155"/>
      <c r="EH104" s="155"/>
      <c r="EI104" s="155"/>
      <c r="EJ104" s="155"/>
      <c r="EK104" s="155"/>
      <c r="EL104" s="155"/>
      <c r="EM104" s="155"/>
      <c r="EN104" s="155"/>
      <c r="EO104" s="155"/>
      <c r="EP104" s="155"/>
      <c r="EQ104" s="155"/>
      <c r="ER104" s="155"/>
      <c r="ES104" s="155"/>
      <c r="ET104" s="155"/>
      <c r="EU104" s="155"/>
      <c r="EV104" s="155"/>
      <c r="EW104" s="155"/>
      <c r="EX104" s="155"/>
      <c r="EY104" s="155"/>
      <c r="EZ104" s="155"/>
      <c r="FA104" s="155"/>
      <c r="FB104" s="155"/>
      <c r="FC104" s="155"/>
      <c r="FD104" s="155"/>
      <c r="FE104" s="155"/>
      <c r="FF104" s="155"/>
      <c r="FG104" s="155"/>
      <c r="FH104" s="155"/>
      <c r="FI104" s="155"/>
      <c r="FJ104" s="155"/>
      <c r="FK104" s="155"/>
      <c r="FL104" s="155"/>
      <c r="FM104" s="155"/>
      <c r="FN104" s="155"/>
      <c r="FO104" s="155"/>
      <c r="FP104" s="155"/>
      <c r="FQ104" s="155"/>
      <c r="FR104" s="155"/>
      <c r="FS104" s="155"/>
      <c r="FT104" s="155"/>
      <c r="FU104" s="155"/>
      <c r="FV104" s="155"/>
      <c r="FW104" s="155"/>
      <c r="FX104" s="155"/>
      <c r="FY104" s="155"/>
      <c r="FZ104" s="155"/>
      <c r="GA104" s="155"/>
      <c r="GB104" s="155"/>
      <c r="GC104" s="155"/>
      <c r="GD104" s="155"/>
      <c r="GE104" s="155"/>
      <c r="GF104" s="155"/>
      <c r="GG104" s="155"/>
      <c r="GH104" s="155"/>
      <c r="GI104" s="155"/>
      <c r="GJ104" s="155"/>
      <c r="GK104" s="155"/>
      <c r="GL104" s="155"/>
      <c r="GM104" s="155"/>
      <c r="GN104" s="155"/>
      <c r="GO104" s="155"/>
      <c r="GP104" s="155"/>
      <c r="GQ104" s="155"/>
      <c r="GR104" s="155"/>
      <c r="GS104" s="155"/>
      <c r="GT104" s="155"/>
      <c r="GU104" s="155"/>
      <c r="GV104" s="155"/>
      <c r="GW104" s="155"/>
      <c r="GX104" s="155"/>
      <c r="GY104" s="155"/>
      <c r="GZ104" s="155"/>
      <c r="HA104" s="155"/>
      <c r="HB104" s="155"/>
      <c r="HC104" s="155"/>
      <c r="HD104" s="155"/>
      <c r="HE104" s="155"/>
      <c r="HF104" s="155"/>
      <c r="HG104" s="155"/>
      <c r="HH104" s="155"/>
      <c r="HI104" s="155"/>
      <c r="HJ104" s="155"/>
      <c r="HK104" s="155"/>
      <c r="HL104" s="155"/>
      <c r="HM104" s="155"/>
      <c r="HN104" s="155"/>
      <c r="HO104" s="155"/>
      <c r="HP104" s="155"/>
      <c r="HQ104" s="155"/>
      <c r="HR104" s="155"/>
      <c r="HS104" s="155"/>
      <c r="HT104" s="155"/>
      <c r="HU104" s="155"/>
      <c r="HV104" s="155"/>
      <c r="HW104" s="155"/>
      <c r="HX104" s="155"/>
      <c r="HY104" s="155"/>
      <c r="HZ104" s="155"/>
      <c r="IA104" s="155"/>
      <c r="IB104" s="155"/>
      <c r="IC104" s="155"/>
      <c r="ID104" s="155"/>
      <c r="IE104" s="155"/>
      <c r="IF104" s="155"/>
      <c r="IG104" s="155"/>
      <c r="IH104" s="155"/>
      <c r="II104" s="155"/>
      <c r="IJ104" s="155"/>
      <c r="IK104" s="155"/>
      <c r="IL104" s="155"/>
      <c r="IM104" s="155"/>
      <c r="IN104" s="155"/>
      <c r="IO104" s="155"/>
      <c r="IP104" s="155"/>
      <c r="IQ104" s="155"/>
      <c r="IR104" s="155"/>
      <c r="IS104" s="155"/>
      <c r="IT104" s="155"/>
      <c r="IU104" s="155"/>
      <c r="IV104" s="155"/>
      <c r="IW104" s="155"/>
      <c r="IX104" s="155"/>
      <c r="IY104" s="155"/>
      <c r="IZ104" s="155"/>
      <c r="JA104" s="155"/>
      <c r="JB104" s="155"/>
      <c r="JC104" s="155"/>
      <c r="JD104" s="155"/>
      <c r="JE104" s="155"/>
      <c r="JF104" s="155"/>
      <c r="JG104" s="155"/>
      <c r="JH104" s="155"/>
      <c r="JI104" s="155"/>
      <c r="JJ104" s="155"/>
      <c r="JK104" s="155"/>
      <c r="JL104" s="155"/>
      <c r="JM104" s="155"/>
      <c r="JN104" s="155"/>
      <c r="JO104" s="155"/>
      <c r="JP104" s="155"/>
      <c r="JQ104" s="155"/>
      <c r="JR104" s="155"/>
      <c r="JS104" s="155"/>
      <c r="JT104" s="155"/>
      <c r="JU104" s="155"/>
      <c r="JV104" s="155"/>
      <c r="JW104" s="155"/>
      <c r="JX104" s="155"/>
      <c r="JY104" s="155"/>
      <c r="JZ104" s="155"/>
      <c r="KA104" s="155"/>
      <c r="KB104" s="155"/>
      <c r="KC104" s="155"/>
      <c r="KD104" s="155"/>
      <c r="KE104" s="155"/>
      <c r="KF104" s="155"/>
      <c r="KG104" s="155"/>
      <c r="KH104" s="155"/>
      <c r="KI104" s="155"/>
      <c r="KJ104" s="155"/>
      <c r="KK104" s="155"/>
      <c r="KL104" s="155"/>
      <c r="KM104" s="155"/>
      <c r="KN104" s="155"/>
      <c r="KO104" s="155"/>
      <c r="KP104" s="155"/>
      <c r="KQ104" s="155"/>
      <c r="KR104" s="155"/>
      <c r="KS104" s="155"/>
      <c r="KT104" s="155"/>
      <c r="KU104" s="155"/>
      <c r="KV104" s="155"/>
      <c r="KW104" s="155"/>
      <c r="KX104" s="155"/>
      <c r="KY104" s="155"/>
      <c r="KZ104" s="155"/>
      <c r="LA104" s="155"/>
      <c r="LB104" s="155"/>
      <c r="LC104" s="155"/>
      <c r="LD104" s="155"/>
      <c r="LE104" s="155"/>
      <c r="LF104" s="155"/>
      <c r="LG104" s="155"/>
      <c r="LH104" s="155"/>
      <c r="LI104" s="155"/>
      <c r="LJ104" s="155"/>
      <c r="LK104" s="155"/>
      <c r="LL104" s="155"/>
      <c r="LM104" s="155"/>
      <c r="LN104" s="155"/>
      <c r="LO104" s="155"/>
      <c r="LP104" s="155"/>
      <c r="LQ104" s="155"/>
      <c r="LR104" s="155"/>
      <c r="LS104" s="155"/>
      <c r="LT104" s="155"/>
      <c r="LU104" s="155"/>
      <c r="LV104" s="155"/>
      <c r="LW104" s="155"/>
      <c r="LX104" s="155"/>
      <c r="LY104" s="155"/>
      <c r="LZ104" s="155"/>
      <c r="MA104" s="155"/>
      <c r="MB104" s="155"/>
      <c r="MC104" s="155"/>
      <c r="MD104" s="155"/>
      <c r="ME104" s="155"/>
      <c r="MF104" s="155"/>
      <c r="MG104" s="155"/>
      <c r="MH104" s="155"/>
      <c r="MI104" s="155"/>
      <c r="MJ104" s="155"/>
      <c r="MK104" s="155"/>
      <c r="ML104" s="155"/>
      <c r="MM104" s="155"/>
      <c r="MN104" s="155"/>
      <c r="MO104" s="155"/>
      <c r="MP104" s="155"/>
      <c r="MQ104" s="155"/>
      <c r="MR104" s="155"/>
      <c r="MS104" s="155"/>
      <c r="MT104" s="155"/>
      <c r="MU104" s="155"/>
      <c r="MV104" s="155"/>
      <c r="MW104" s="155"/>
      <c r="MX104" s="155"/>
      <c r="MY104" s="155"/>
      <c r="MZ104" s="155"/>
      <c r="NA104" s="155"/>
      <c r="NB104" s="155"/>
      <c r="NC104" s="155"/>
      <c r="ND104" s="155"/>
      <c r="NE104" s="155"/>
      <c r="NF104" s="155"/>
      <c r="NG104" s="155"/>
      <c r="NH104" s="155"/>
      <c r="NI104" s="155"/>
      <c r="NJ104" s="155"/>
      <c r="NK104" s="155"/>
      <c r="NL104" s="155"/>
      <c r="NM104" s="155"/>
      <c r="NN104" s="155"/>
      <c r="NO104" s="155"/>
      <c r="NP104" s="155"/>
      <c r="NQ104" s="155"/>
      <c r="NR104" s="155"/>
      <c r="NS104" s="155"/>
      <c r="NT104" s="155"/>
      <c r="NU104" s="155"/>
      <c r="NV104" s="155"/>
      <c r="NW104" s="155"/>
      <c r="NX104" s="155"/>
      <c r="NY104" s="155"/>
      <c r="NZ104" s="155"/>
      <c r="OA104" s="155"/>
      <c r="OB104" s="155"/>
      <c r="OC104" s="155"/>
      <c r="OD104" s="155"/>
      <c r="OE104" s="155"/>
      <c r="OF104" s="155"/>
      <c r="OG104" s="155"/>
      <c r="OH104" s="155"/>
      <c r="OI104" s="155"/>
      <c r="OJ104" s="155"/>
      <c r="OK104" s="155"/>
      <c r="OL104" s="155"/>
      <c r="OM104" s="155"/>
      <c r="ON104" s="155"/>
      <c r="OO104" s="155"/>
      <c r="OP104" s="155"/>
      <c r="OQ104" s="155"/>
      <c r="OR104" s="155"/>
      <c r="OS104" s="155"/>
      <c r="OT104" s="155"/>
      <c r="OU104" s="155"/>
      <c r="OV104" s="155"/>
      <c r="OW104" s="155"/>
      <c r="OX104" s="155"/>
      <c r="OY104" s="155"/>
      <c r="OZ104" s="155"/>
      <c r="PA104" s="155"/>
      <c r="PB104" s="155"/>
      <c r="PC104" s="155"/>
      <c r="PD104" s="155"/>
      <c r="PE104" s="155"/>
      <c r="PF104" s="155"/>
      <c r="PG104" s="155"/>
      <c r="PH104" s="155"/>
      <c r="PI104" s="155"/>
      <c r="PJ104" s="155"/>
      <c r="PK104" s="155"/>
      <c r="PL104" s="155"/>
      <c r="PM104" s="155"/>
      <c r="PN104" s="155"/>
      <c r="PO104" s="155"/>
      <c r="PP104" s="155"/>
      <c r="PQ104" s="155"/>
      <c r="PR104" s="155"/>
      <c r="PS104" s="155"/>
      <c r="PT104" s="155"/>
      <c r="PU104" s="155"/>
      <c r="PV104" s="155"/>
      <c r="PW104" s="155"/>
      <c r="PX104" s="155"/>
      <c r="PY104" s="155"/>
      <c r="PZ104" s="155"/>
      <c r="QA104" s="155"/>
      <c r="QB104" s="155"/>
      <c r="QC104" s="155"/>
      <c r="QD104" s="155"/>
      <c r="QE104" s="155"/>
      <c r="QF104" s="155"/>
      <c r="QG104" s="155"/>
      <c r="QH104" s="155"/>
      <c r="QI104" s="155"/>
      <c r="QJ104" s="155"/>
      <c r="QK104" s="155"/>
      <c r="QL104" s="155"/>
      <c r="QM104" s="155"/>
      <c r="QN104" s="155"/>
      <c r="QO104" s="155"/>
      <c r="QP104" s="155"/>
      <c r="QQ104" s="155"/>
      <c r="QR104" s="155"/>
      <c r="QS104" s="155"/>
      <c r="QT104" s="155"/>
      <c r="QU104" s="155"/>
      <c r="QV104" s="155"/>
      <c r="QW104" s="155"/>
      <c r="QX104" s="155"/>
      <c r="QY104" s="155"/>
      <c r="QZ104" s="155"/>
      <c r="RA104" s="155"/>
      <c r="RB104" s="155"/>
      <c r="RC104" s="155"/>
      <c r="RD104" s="155"/>
      <c r="RE104" s="155"/>
      <c r="RF104" s="155"/>
      <c r="RG104" s="155"/>
      <c r="RH104" s="155"/>
      <c r="RI104" s="155"/>
      <c r="RJ104" s="155"/>
      <c r="RK104" s="155"/>
      <c r="RL104" s="155"/>
      <c r="RM104" s="155"/>
      <c r="RN104" s="155"/>
      <c r="RO104" s="155"/>
      <c r="RP104" s="155"/>
      <c r="RQ104" s="155"/>
      <c r="RR104" s="155"/>
      <c r="RS104" s="155"/>
      <c r="RT104" s="155"/>
      <c r="RU104" s="155"/>
      <c r="RV104" s="155"/>
      <c r="RW104" s="155"/>
      <c r="RX104" s="155"/>
      <c r="RY104" s="155"/>
      <c r="RZ104" s="155"/>
      <c r="SA104" s="155"/>
      <c r="SB104" s="155"/>
      <c r="SC104" s="155"/>
      <c r="SD104" s="155"/>
      <c r="SE104" s="155"/>
      <c r="SF104" s="155"/>
      <c r="SG104" s="155"/>
      <c r="SH104" s="155"/>
      <c r="SI104" s="155"/>
      <c r="SJ104" s="155"/>
      <c r="SK104" s="155"/>
      <c r="SL104" s="155"/>
      <c r="SM104" s="155"/>
      <c r="SN104" s="155"/>
      <c r="SO104" s="155"/>
      <c r="SP104" s="155"/>
      <c r="SQ104" s="155"/>
      <c r="SR104" s="155"/>
      <c r="SS104" s="155"/>
      <c r="ST104" s="155"/>
      <c r="SU104" s="155"/>
      <c r="SV104" s="155"/>
      <c r="SW104" s="155"/>
      <c r="SX104" s="155"/>
      <c r="SY104" s="155"/>
      <c r="SZ104" s="155"/>
      <c r="TA104" s="155"/>
      <c r="TB104" s="155"/>
      <c r="TC104" s="155"/>
      <c r="TD104" s="155"/>
      <c r="TE104" s="155"/>
      <c r="TF104" s="155"/>
      <c r="TG104" s="155"/>
      <c r="TH104" s="155"/>
      <c r="TI104" s="155"/>
      <c r="TJ104" s="155"/>
      <c r="TK104" s="155"/>
      <c r="TL104" s="155"/>
      <c r="TM104" s="155"/>
      <c r="TN104" s="155"/>
      <c r="TO104" s="155"/>
      <c r="TP104" s="155"/>
      <c r="TQ104" s="155"/>
      <c r="TR104" s="155"/>
      <c r="TS104" s="155"/>
      <c r="TT104" s="155"/>
      <c r="TU104" s="155"/>
      <c r="TV104" s="155"/>
      <c r="TW104" s="155"/>
      <c r="TX104" s="155"/>
      <c r="TY104" s="155"/>
      <c r="TZ104" s="155"/>
      <c r="UA104" s="155"/>
      <c r="UB104" s="155"/>
      <c r="UC104" s="155"/>
      <c r="UD104" s="155"/>
      <c r="UE104" s="155"/>
      <c r="UF104" s="155"/>
      <c r="UG104" s="155"/>
      <c r="UH104" s="155"/>
      <c r="UI104" s="155"/>
      <c r="UJ104" s="155"/>
      <c r="UK104" s="155"/>
      <c r="UL104" s="155"/>
      <c r="UM104" s="155"/>
      <c r="UN104" s="155"/>
      <c r="UO104" s="155"/>
      <c r="UP104" s="155"/>
      <c r="UQ104" s="155"/>
      <c r="UR104" s="155"/>
      <c r="US104" s="155"/>
      <c r="UT104" s="155"/>
      <c r="UU104" s="155"/>
      <c r="UV104" s="155"/>
      <c r="UW104" s="155"/>
      <c r="UX104" s="155"/>
      <c r="UY104" s="155"/>
      <c r="UZ104" s="155"/>
      <c r="VA104" s="155"/>
      <c r="VB104" s="155"/>
      <c r="VC104" s="155"/>
      <c r="VD104" s="155"/>
      <c r="VE104" s="155"/>
      <c r="VF104" s="155"/>
      <c r="VG104" s="155"/>
      <c r="VH104" s="155"/>
      <c r="VI104" s="155"/>
      <c r="VJ104" s="155"/>
      <c r="VK104" s="155"/>
      <c r="VL104" s="155"/>
      <c r="VM104" s="155"/>
      <c r="VN104" s="155"/>
      <c r="VO104" s="155"/>
      <c r="VP104" s="155"/>
      <c r="VQ104" s="155"/>
      <c r="VR104" s="155"/>
      <c r="VS104" s="155"/>
      <c r="VT104" s="155"/>
      <c r="VU104" s="155"/>
      <c r="VV104" s="155"/>
      <c r="VW104" s="155"/>
      <c r="VX104" s="155"/>
      <c r="VY104" s="155"/>
      <c r="VZ104" s="155"/>
      <c r="WA104" s="155"/>
      <c r="WB104" s="155"/>
      <c r="WC104" s="155"/>
      <c r="WD104" s="155"/>
      <c r="WE104" s="155"/>
      <c r="WF104" s="155"/>
      <c r="WG104" s="155"/>
      <c r="WH104" s="155"/>
      <c r="WI104" s="155"/>
      <c r="WJ104" s="155"/>
      <c r="WK104" s="155"/>
      <c r="WL104" s="155"/>
      <c r="WM104" s="155"/>
      <c r="WN104" s="155"/>
      <c r="WO104" s="155"/>
      <c r="WP104" s="155"/>
      <c r="WQ104" s="155"/>
      <c r="WR104" s="155"/>
      <c r="WS104" s="155"/>
      <c r="WT104" s="155"/>
      <c r="WU104" s="155"/>
      <c r="WV104" s="155"/>
      <c r="WW104" s="155"/>
      <c r="WX104" s="155"/>
      <c r="WY104" s="155"/>
      <c r="WZ104" s="155"/>
      <c r="XA104" s="155"/>
      <c r="XB104" s="155"/>
      <c r="XC104" s="155"/>
      <c r="XD104" s="155"/>
      <c r="XE104" s="155"/>
      <c r="XF104" s="155"/>
      <c r="XG104" s="155"/>
      <c r="XH104" s="155"/>
      <c r="XI104" s="155"/>
      <c r="XJ104" s="155"/>
      <c r="XK104" s="155"/>
      <c r="XL104" s="155"/>
      <c r="XM104" s="155"/>
      <c r="XN104" s="155"/>
      <c r="XO104" s="155"/>
      <c r="XP104" s="155"/>
      <c r="XQ104" s="155"/>
      <c r="XR104" s="155"/>
      <c r="XS104" s="155"/>
      <c r="XT104" s="155"/>
      <c r="XU104" s="155"/>
      <c r="XV104" s="155"/>
      <c r="XW104" s="155"/>
      <c r="XX104" s="155"/>
      <c r="XY104" s="155"/>
      <c r="XZ104" s="155"/>
      <c r="YA104" s="155"/>
      <c r="YB104" s="155"/>
      <c r="YC104" s="155"/>
      <c r="YD104" s="155"/>
      <c r="YE104" s="155"/>
      <c r="YF104" s="155"/>
      <c r="YG104" s="155"/>
      <c r="YH104" s="155"/>
      <c r="YI104" s="155"/>
      <c r="YJ104" s="155"/>
      <c r="YK104" s="155"/>
      <c r="YL104" s="155"/>
      <c r="YM104" s="155"/>
      <c r="YN104" s="155"/>
      <c r="YO104" s="155"/>
      <c r="YP104" s="155"/>
      <c r="YQ104" s="155"/>
      <c r="YR104" s="155"/>
      <c r="YS104" s="155"/>
      <c r="YT104" s="155"/>
      <c r="YU104" s="155"/>
      <c r="YV104" s="155"/>
      <c r="YW104" s="155"/>
      <c r="YX104" s="155"/>
      <c r="YY104" s="155"/>
      <c r="YZ104" s="155"/>
      <c r="ZA104" s="155"/>
      <c r="ZB104" s="155"/>
      <c r="ZC104" s="155"/>
      <c r="ZD104" s="155"/>
      <c r="ZE104" s="155"/>
      <c r="ZF104" s="155"/>
      <c r="ZG104" s="155"/>
      <c r="ZH104" s="155"/>
      <c r="ZI104" s="155"/>
      <c r="ZJ104" s="155"/>
      <c r="ZK104" s="155"/>
      <c r="ZL104" s="155"/>
      <c r="ZM104" s="155"/>
      <c r="ZN104" s="155"/>
      <c r="ZO104" s="155"/>
      <c r="ZP104" s="155"/>
      <c r="ZQ104" s="155"/>
      <c r="ZR104" s="155"/>
      <c r="ZS104" s="155"/>
      <c r="ZT104" s="155"/>
      <c r="ZU104" s="155"/>
      <c r="ZV104" s="155"/>
      <c r="ZW104" s="155"/>
      <c r="ZX104" s="155"/>
      <c r="ZY104" s="155"/>
      <c r="ZZ104" s="155"/>
      <c r="AAA104" s="155"/>
      <c r="AAB104" s="155"/>
      <c r="AAC104" s="155"/>
      <c r="AAD104" s="155"/>
      <c r="AAE104" s="155"/>
      <c r="AAF104" s="155"/>
      <c r="AAG104" s="155"/>
      <c r="AAH104" s="155"/>
      <c r="AAI104" s="155"/>
      <c r="AAJ104" s="155"/>
      <c r="AAK104" s="155"/>
      <c r="AAL104" s="155"/>
      <c r="AAM104" s="155"/>
      <c r="AAN104" s="155"/>
      <c r="AAO104" s="155"/>
      <c r="AAP104" s="155"/>
      <c r="AAQ104" s="155"/>
      <c r="AAR104" s="155"/>
      <c r="AAS104" s="155"/>
      <c r="AAT104" s="155"/>
      <c r="AAU104" s="155"/>
      <c r="AAV104" s="155"/>
      <c r="AAW104" s="155"/>
      <c r="AAX104" s="155"/>
      <c r="AAY104" s="155"/>
      <c r="AAZ104" s="155"/>
      <c r="ABA104" s="155"/>
      <c r="ABB104" s="155"/>
      <c r="ABC104" s="155"/>
      <c r="ABD104" s="155"/>
      <c r="ABE104" s="155"/>
      <c r="ABF104" s="155"/>
      <c r="ABG104" s="155"/>
      <c r="ABH104" s="155"/>
      <c r="ABI104" s="155"/>
      <c r="ABJ104" s="155"/>
      <c r="ABK104" s="155"/>
      <c r="ABL104" s="155"/>
      <c r="ABM104" s="155"/>
      <c r="ABN104" s="155"/>
      <c r="ABO104" s="155"/>
      <c r="ABP104" s="155"/>
      <c r="ABQ104" s="155"/>
      <c r="ABR104" s="155"/>
      <c r="ABS104" s="155"/>
      <c r="ABT104" s="155"/>
      <c r="ABU104" s="155"/>
      <c r="ABV104" s="155"/>
      <c r="ABW104" s="155"/>
      <c r="ABX104" s="155"/>
      <c r="ABY104" s="155"/>
      <c r="ABZ104" s="155"/>
      <c r="ACA104" s="155"/>
      <c r="ACB104" s="155"/>
      <c r="ACC104" s="155"/>
      <c r="ACD104" s="155"/>
      <c r="ACE104" s="155"/>
      <c r="ACF104" s="155"/>
      <c r="ACG104" s="155"/>
      <c r="ACH104" s="155"/>
      <c r="ACI104" s="155"/>
      <c r="ACJ104" s="155"/>
      <c r="ACK104" s="155"/>
      <c r="ACL104" s="155"/>
      <c r="ACM104" s="155"/>
      <c r="ACN104" s="155"/>
      <c r="ACO104" s="155"/>
      <c r="ACP104" s="155"/>
      <c r="ACQ104" s="155"/>
      <c r="ACR104" s="155"/>
      <c r="ACS104" s="155"/>
      <c r="ACT104" s="155"/>
      <c r="ACU104" s="155"/>
      <c r="ACV104" s="155"/>
      <c r="ACW104" s="155"/>
      <c r="ACX104" s="155"/>
      <c r="ACY104" s="155"/>
      <c r="ACZ104" s="155"/>
      <c r="ADA104" s="155"/>
      <c r="ADB104" s="155"/>
      <c r="ADC104" s="155"/>
      <c r="ADD104" s="155"/>
      <c r="ADE104" s="155"/>
      <c r="ADF104" s="155"/>
      <c r="ADG104" s="155"/>
      <c r="ADH104" s="155"/>
      <c r="ADI104" s="155"/>
      <c r="ADJ104" s="155"/>
      <c r="ADK104" s="155"/>
      <c r="ADL104" s="155"/>
      <c r="ADM104" s="155"/>
      <c r="ADN104" s="155"/>
      <c r="ADO104" s="155"/>
      <c r="ADP104" s="155"/>
      <c r="ADQ104" s="155"/>
      <c r="ADR104" s="155"/>
      <c r="ADS104" s="155"/>
      <c r="ADT104" s="155"/>
      <c r="ADU104" s="155"/>
      <c r="ADV104" s="155"/>
      <c r="ADW104" s="155"/>
      <c r="ADX104" s="155"/>
      <c r="ADY104" s="155"/>
      <c r="ADZ104" s="155"/>
      <c r="AEA104" s="155"/>
      <c r="AEB104" s="155"/>
      <c r="AEC104" s="155"/>
      <c r="AED104" s="155"/>
      <c r="AEE104" s="155"/>
      <c r="AEF104" s="155"/>
      <c r="AEG104" s="155"/>
      <c r="AEH104" s="155"/>
      <c r="AEI104" s="155"/>
      <c r="AEJ104" s="155"/>
      <c r="AEK104" s="155"/>
      <c r="AEL104" s="155"/>
      <c r="AEM104" s="155"/>
      <c r="AEN104" s="155"/>
      <c r="AEO104" s="155"/>
      <c r="AEP104" s="155"/>
      <c r="AEQ104" s="155"/>
      <c r="AER104" s="155"/>
      <c r="AES104" s="155"/>
      <c r="AET104" s="155"/>
      <c r="AEU104" s="155"/>
      <c r="AEV104" s="155"/>
      <c r="AEW104" s="155"/>
      <c r="AEX104" s="155"/>
      <c r="AEY104" s="155"/>
      <c r="AEZ104" s="155"/>
      <c r="AFA104" s="155"/>
      <c r="AFB104" s="155"/>
      <c r="AFC104" s="155"/>
      <c r="AFD104" s="155"/>
      <c r="AFE104" s="155"/>
      <c r="AFF104" s="155"/>
      <c r="AFG104" s="155"/>
      <c r="AFH104" s="155"/>
      <c r="AFI104" s="155"/>
      <c r="AFJ104" s="155"/>
      <c r="AFK104" s="155"/>
      <c r="AFL104" s="155"/>
      <c r="AFM104" s="155"/>
      <c r="AFN104" s="155"/>
      <c r="AFO104" s="155"/>
      <c r="AFP104" s="155"/>
      <c r="AFQ104" s="155"/>
      <c r="AFR104" s="155"/>
      <c r="AFS104" s="155"/>
      <c r="AFT104" s="155"/>
      <c r="AFU104" s="155"/>
      <c r="AFV104" s="155"/>
      <c r="AFW104" s="155"/>
      <c r="AFX104" s="155"/>
      <c r="AFY104" s="155"/>
      <c r="AFZ104" s="155"/>
      <c r="AGA104" s="155"/>
      <c r="AGB104" s="155"/>
      <c r="AGC104" s="155"/>
      <c r="AGD104" s="155"/>
      <c r="AGE104" s="155"/>
      <c r="AGF104" s="155"/>
      <c r="AGG104" s="155"/>
      <c r="AGH104" s="155"/>
      <c r="AGI104" s="155"/>
      <c r="AGJ104" s="155"/>
      <c r="AGK104" s="155"/>
      <c r="AGL104" s="155"/>
      <c r="AGM104" s="155"/>
      <c r="AGN104" s="155"/>
      <c r="AGO104" s="155"/>
      <c r="AGP104" s="155"/>
      <c r="AGQ104" s="155"/>
      <c r="AGR104" s="155"/>
      <c r="AGS104" s="155"/>
      <c r="AGT104" s="155"/>
      <c r="AGU104" s="155"/>
      <c r="AGV104" s="155"/>
      <c r="AGW104" s="155"/>
      <c r="AGX104" s="155"/>
      <c r="AGY104" s="155"/>
      <c r="AGZ104" s="155"/>
      <c r="AHA104" s="155"/>
      <c r="AHB104" s="155"/>
      <c r="AHC104" s="155"/>
      <c r="AHD104" s="155"/>
      <c r="AHE104" s="155"/>
      <c r="AHF104" s="155"/>
      <c r="AHG104" s="155"/>
      <c r="AHH104" s="155"/>
      <c r="AHI104" s="155"/>
      <c r="AHJ104" s="155"/>
      <c r="AHK104" s="155"/>
      <c r="AHL104" s="155"/>
      <c r="AHM104" s="155"/>
      <c r="AHN104" s="155"/>
      <c r="AHO104" s="155"/>
      <c r="AHP104" s="155"/>
      <c r="AHQ104" s="155"/>
      <c r="AHR104" s="155"/>
      <c r="AHS104" s="155"/>
      <c r="AHT104" s="155"/>
      <c r="AHU104" s="155"/>
      <c r="AHV104" s="155"/>
      <c r="AHW104" s="155"/>
      <c r="AHX104" s="155"/>
      <c r="AHY104" s="155"/>
      <c r="AHZ104" s="155"/>
      <c r="AIA104" s="155"/>
      <c r="AIB104" s="155"/>
      <c r="AIC104" s="155"/>
      <c r="AID104" s="155"/>
      <c r="AIE104" s="155"/>
      <c r="AIF104" s="155"/>
    </row>
    <row r="105" spans="1:916" ht="15" thickBot="1" x14ac:dyDescent="0.4">
      <c r="F105" s="176" t="str">
        <f>'Block 2 (Bioestimulant)'!A96</f>
        <v>Unit cost of producing bioestimulant (€/kg)</v>
      </c>
      <c r="G105" s="234" t="str">
        <f>'Block 2 (Bioestimulant)'!B96</f>
        <v>€/kg</v>
      </c>
      <c r="H105" s="235" t="e">
        <f>'Block 2 (Bioestimulant)'!C96</f>
        <v>#REF!</v>
      </c>
    </row>
    <row r="106" spans="1:916" x14ac:dyDescent="0.35">
      <c r="F106" s="168" t="str">
        <f>+F99</f>
        <v>Total raw materials</v>
      </c>
      <c r="H106" s="186" t="e">
        <f>+H99/H$104</f>
        <v>#REF!</v>
      </c>
    </row>
    <row r="107" spans="1:916" x14ac:dyDescent="0.35">
      <c r="F107" s="168" t="str">
        <f t="shared" ref="F107:F111" si="0">+F100</f>
        <v>Total utilities</v>
      </c>
      <c r="H107" s="186" t="e">
        <f t="shared" ref="H107:H111" si="1">+H100/H$104</f>
        <v>#REF!</v>
      </c>
    </row>
    <row r="108" spans="1:916" x14ac:dyDescent="0.35">
      <c r="F108" s="168" t="str">
        <f t="shared" si="0"/>
        <v>Total labor and others</v>
      </c>
      <c r="H108" s="186" t="e">
        <f t="shared" si="1"/>
        <v>#REF!</v>
      </c>
    </row>
    <row r="109" spans="1:916" x14ac:dyDescent="0.35">
      <c r="F109" s="168" t="str">
        <f t="shared" si="0"/>
        <v>Total fix capital per annun</v>
      </c>
      <c r="H109" s="186" t="e">
        <f t="shared" si="1"/>
        <v>#REF!</v>
      </c>
    </row>
    <row r="110" spans="1:916" x14ac:dyDescent="0.35">
      <c r="F110" s="168" t="str">
        <f t="shared" si="0"/>
        <v>Total direct production costs (€)</v>
      </c>
      <c r="H110" s="186" t="e">
        <f t="shared" si="1"/>
        <v>#REF!</v>
      </c>
    </row>
    <row r="111" spans="1:916" x14ac:dyDescent="0.35">
      <c r="F111" s="168" t="str">
        <f t="shared" si="0"/>
        <v>Total production costs (€)</v>
      </c>
      <c r="H111" s="186" t="e">
        <f t="shared" si="1"/>
        <v>#REF!</v>
      </c>
    </row>
    <row r="112" spans="1:916" x14ac:dyDescent="0.35">
      <c r="F112" s="168"/>
      <c r="H112" s="186"/>
    </row>
    <row r="114" spans="6:8" x14ac:dyDescent="0.35">
      <c r="F114" s="168"/>
      <c r="H114" s="187"/>
    </row>
    <row r="115" spans="6:8" x14ac:dyDescent="0.35">
      <c r="F115" s="168"/>
      <c r="H115" s="187"/>
    </row>
    <row r="116" spans="6:8" x14ac:dyDescent="0.35">
      <c r="F116" s="168"/>
      <c r="H116" s="187"/>
    </row>
    <row r="117" spans="6:8" x14ac:dyDescent="0.35">
      <c r="F117" s="168"/>
      <c r="H117" s="187"/>
    </row>
    <row r="118" spans="6:8" x14ac:dyDescent="0.35">
      <c r="F118" s="168"/>
      <c r="H118" s="187"/>
    </row>
    <row r="119" spans="6:8" x14ac:dyDescent="0.35">
      <c r="F119" s="168"/>
      <c r="H119" s="187"/>
    </row>
    <row r="120" spans="6:8" x14ac:dyDescent="0.35">
      <c r="F120" s="168"/>
      <c r="H120" s="187"/>
    </row>
  </sheetData>
  <mergeCells count="7">
    <mergeCell ref="F1:H2"/>
    <mergeCell ref="F3:H3"/>
    <mergeCell ref="C6:H6"/>
    <mergeCell ref="C22:H22"/>
    <mergeCell ref="C31:H31"/>
    <mergeCell ref="F27:F28"/>
    <mergeCell ref="F29:F30"/>
  </mergeCells>
  <pageMargins left="0.70866141732283472" right="0.70866141732283472" top="0.74803149606299213" bottom="0.74803149606299213" header="0.31496062992125984" footer="0.31496062992125984"/>
  <pageSetup paperSize="9" scale="46"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4:AX96"/>
  <sheetViews>
    <sheetView tabSelected="1" zoomScale="70" zoomScaleNormal="70" workbookViewId="0">
      <selection activeCell="F6" sqref="F6"/>
    </sheetView>
  </sheetViews>
  <sheetFormatPr baseColWidth="10" defaultColWidth="11.453125" defaultRowHeight="12.5" x14ac:dyDescent="0.25"/>
  <cols>
    <col min="1" max="1" width="35.453125" style="6" customWidth="1"/>
    <col min="2" max="2" width="19.1796875" style="6" bestFit="1" customWidth="1"/>
    <col min="3" max="3" width="16.54296875" style="6" bestFit="1" customWidth="1"/>
    <col min="4" max="4" width="23.26953125" style="6" bestFit="1" customWidth="1"/>
    <col min="5" max="5" width="26.7265625" style="6" customWidth="1"/>
    <col min="6" max="6" width="18.453125" style="6" bestFit="1" customWidth="1"/>
    <col min="7" max="7" width="12.81640625" style="6" customWidth="1"/>
    <col min="8" max="8" width="11.54296875" style="6" bestFit="1" customWidth="1"/>
    <col min="9" max="9" width="16.1796875" style="6" bestFit="1" customWidth="1"/>
    <col min="10" max="10" width="13.1796875" style="6" bestFit="1" customWidth="1"/>
    <col min="11" max="11" width="7.1796875" style="6" customWidth="1"/>
    <col min="12" max="12" width="8.7265625" style="6" customWidth="1"/>
    <col min="13" max="13" width="98.81640625" style="6" bestFit="1" customWidth="1"/>
    <col min="14" max="14" width="15.1796875" style="6" bestFit="1" customWidth="1"/>
    <col min="15" max="15" width="17.26953125" style="6" customWidth="1"/>
    <col min="16" max="16" width="16.453125" style="6" customWidth="1"/>
    <col min="17" max="17" width="12.54296875" style="6" customWidth="1"/>
    <col min="18" max="18" width="21.1796875" style="6" bestFit="1" customWidth="1"/>
    <col min="19" max="19" width="10.81640625" style="6" bestFit="1" customWidth="1"/>
    <col min="20" max="20" width="6.54296875" style="6" bestFit="1" customWidth="1"/>
    <col min="21" max="21" width="4" style="6" customWidth="1"/>
    <col min="22" max="22" width="20.26953125" style="6" bestFit="1" customWidth="1"/>
    <col min="23" max="23" width="11" style="6" bestFit="1" customWidth="1"/>
    <col min="24" max="24" width="10" style="6" bestFit="1" customWidth="1"/>
    <col min="25" max="16384" width="11.453125" style="6"/>
  </cols>
  <sheetData>
    <row r="4" spans="1:50" ht="13" thickBot="1" x14ac:dyDescent="0.3">
      <c r="AI4" s="7"/>
      <c r="AJ4" s="7"/>
      <c r="AK4" s="7"/>
      <c r="AL4" s="7"/>
      <c r="AM4" s="7"/>
      <c r="AN4" s="7"/>
      <c r="AO4" s="7"/>
    </row>
    <row r="5" spans="1:50" ht="15" customHeight="1" thickBot="1" x14ac:dyDescent="0.4">
      <c r="A5" s="307" t="str">
        <f>+'[1]Block 1 (Model)'!D5</f>
        <v>Technical parameters</v>
      </c>
      <c r="B5" s="308"/>
      <c r="C5" s="309"/>
      <c r="E5" s="58" t="s">
        <v>80</v>
      </c>
      <c r="F5" s="9"/>
      <c r="G5" s="10"/>
      <c r="L5" s="112"/>
      <c r="M5" s="55" t="s">
        <v>79</v>
      </c>
      <c r="N5" s="51"/>
      <c r="O5" s="54"/>
      <c r="AI5" s="11"/>
      <c r="AJ5" s="11"/>
      <c r="AK5" s="11"/>
      <c r="AL5" s="11"/>
      <c r="AM5" s="11"/>
      <c r="AN5" s="11"/>
      <c r="AO5" s="11"/>
    </row>
    <row r="6" spans="1:50" ht="13" x14ac:dyDescent="0.3">
      <c r="A6" s="310" t="s">
        <v>219</v>
      </c>
      <c r="B6" s="311"/>
      <c r="C6" s="312"/>
      <c r="D6" s="140"/>
      <c r="E6" s="148" t="s">
        <v>229</v>
      </c>
      <c r="F6" s="149">
        <f>'Block 2 (Model)'!E16</f>
        <v>19.940000000000001</v>
      </c>
      <c r="G6" s="130" t="s">
        <v>87</v>
      </c>
      <c r="L6" s="148">
        <v>1</v>
      </c>
      <c r="M6" s="113" t="s">
        <v>204</v>
      </c>
      <c r="N6" s="129" t="s">
        <v>220</v>
      </c>
      <c r="O6" s="130">
        <v>365</v>
      </c>
      <c r="P6" s="12"/>
    </row>
    <row r="7" spans="1:50" ht="13" x14ac:dyDescent="0.3">
      <c r="A7" s="124" t="str">
        <f>'Block 2 (Model)'!F7</f>
        <v>Inlet flow (stream 7)</v>
      </c>
      <c r="B7" s="253" t="str">
        <f>'Block 2 (Model)'!G7</f>
        <v>m3/day</v>
      </c>
      <c r="C7" s="236">
        <f>'Block 2 (Model)'!H7</f>
        <v>116.52996575342462</v>
      </c>
      <c r="D7" s="140"/>
      <c r="E7" s="28" t="s">
        <v>230</v>
      </c>
      <c r="F7" s="29">
        <f>'Block 2 (Model)'!E17</f>
        <v>35.79</v>
      </c>
      <c r="G7" s="30" t="s">
        <v>87</v>
      </c>
      <c r="L7" s="28">
        <v>2</v>
      </c>
      <c r="M7" s="22" t="s">
        <v>268</v>
      </c>
      <c r="N7" s="29" t="s">
        <v>222</v>
      </c>
      <c r="O7" s="237">
        <f>C19*365</f>
        <v>38709.732168654285</v>
      </c>
      <c r="P7" s="12"/>
      <c r="AI7" s="16"/>
      <c r="AJ7" s="16"/>
      <c r="AK7" s="16"/>
      <c r="AL7" s="16"/>
      <c r="AM7" s="16"/>
      <c r="AN7" s="16"/>
      <c r="AO7" s="16"/>
    </row>
    <row r="8" spans="1:50" ht="13" x14ac:dyDescent="0.3">
      <c r="A8" s="124" t="str">
        <f>'Block 2 (Model)'!F8</f>
        <v>Reactor volume</v>
      </c>
      <c r="B8" s="253" t="str">
        <f>'Block 2 (Model)'!G8</f>
        <v>m3</v>
      </c>
      <c r="C8" s="236">
        <f>'Block 2 (Model)'!H8</f>
        <v>14.566245719178077</v>
      </c>
      <c r="D8" s="140"/>
      <c r="E8" s="28" t="s">
        <v>221</v>
      </c>
      <c r="F8" s="29">
        <f>C9+C11</f>
        <v>419.50787671232865</v>
      </c>
      <c r="G8" s="141" t="s">
        <v>201</v>
      </c>
      <c r="L8" s="28">
        <v>3</v>
      </c>
      <c r="M8" s="22" t="s">
        <v>224</v>
      </c>
      <c r="N8" s="29" t="s">
        <v>222</v>
      </c>
      <c r="O8" s="237">
        <f>'Block 2 (Model)'!E10*(365/1000)</f>
        <v>1701.3374999999996</v>
      </c>
      <c r="P8" s="12"/>
      <c r="AI8" s="16"/>
      <c r="AJ8" s="16"/>
      <c r="AK8" s="16"/>
      <c r="AL8" s="16"/>
      <c r="AM8" s="16"/>
      <c r="AN8" s="16"/>
      <c r="AO8" s="16"/>
    </row>
    <row r="9" spans="1:50" ht="15" x14ac:dyDescent="0.3">
      <c r="A9" s="124" t="str">
        <f>'Block 2 (Model)'!F9</f>
        <v>Alcalase consumption</v>
      </c>
      <c r="B9" s="253" t="str">
        <f>'Block 2 (Model)'!G9</f>
        <v>kg/day</v>
      </c>
      <c r="C9" s="236">
        <f>'Block 2 (Model)'!H9</f>
        <v>186.44794520547941</v>
      </c>
      <c r="D9" s="140"/>
      <c r="E9" s="28" t="s">
        <v>165</v>
      </c>
      <c r="F9" s="29">
        <v>0.15</v>
      </c>
      <c r="G9" s="30" t="s">
        <v>149</v>
      </c>
      <c r="L9" s="28">
        <v>4</v>
      </c>
      <c r="M9" s="22" t="s">
        <v>238</v>
      </c>
      <c r="N9" s="22" t="s">
        <v>269</v>
      </c>
      <c r="O9" s="237">
        <f>C19*5</f>
        <v>530.27030368019575</v>
      </c>
      <c r="P9" s="20"/>
      <c r="AI9" s="16"/>
      <c r="AJ9" s="16"/>
      <c r="AK9" s="16"/>
      <c r="AL9" s="16"/>
      <c r="AM9" s="16"/>
      <c r="AN9" s="16"/>
      <c r="AO9" s="16"/>
    </row>
    <row r="10" spans="1:50" ht="13" x14ac:dyDescent="0.3">
      <c r="A10" s="124" t="str">
        <f>'Block 2 (Model)'!F10</f>
        <v>Alcalase process cost</v>
      </c>
      <c r="B10" s="253" t="str">
        <f>'Block 2 (Model)'!G10</f>
        <v>€/day</v>
      </c>
      <c r="C10" s="236">
        <f>'Block 2 (Model)'!H10</f>
        <v>3717.7720273972595</v>
      </c>
      <c r="E10" s="28" t="s">
        <v>223</v>
      </c>
      <c r="F10" s="29">
        <v>0.05</v>
      </c>
      <c r="G10" s="30" t="s">
        <v>149</v>
      </c>
      <c r="I10" s="21"/>
      <c r="J10" s="21"/>
      <c r="K10" s="21"/>
      <c r="L10" s="28"/>
      <c r="M10" s="22"/>
      <c r="N10" s="29"/>
      <c r="O10" s="237"/>
      <c r="P10" s="20"/>
      <c r="AI10" s="16"/>
      <c r="AJ10" s="16"/>
      <c r="AK10" s="16"/>
      <c r="AL10" s="16"/>
      <c r="AM10" s="16"/>
      <c r="AN10" s="16"/>
      <c r="AO10" s="16"/>
    </row>
    <row r="11" spans="1:50" ht="13" x14ac:dyDescent="0.3">
      <c r="A11" s="124" t="str">
        <f>'Block 2 (Model)'!F11</f>
        <v>Flavourzyme consumption</v>
      </c>
      <c r="B11" s="253" t="str">
        <f>'Block 2 (Model)'!G11</f>
        <v>kg/day</v>
      </c>
      <c r="C11" s="236">
        <f>'Block 2 (Model)'!H11</f>
        <v>233.05993150684927</v>
      </c>
      <c r="E11" s="28"/>
      <c r="F11" s="29"/>
      <c r="G11" s="141"/>
      <c r="I11" s="21"/>
      <c r="J11" s="21"/>
      <c r="K11" s="21"/>
      <c r="L11" s="28"/>
      <c r="M11" s="22"/>
      <c r="N11" s="34"/>
      <c r="O11" s="262"/>
      <c r="P11" s="24"/>
    </row>
    <row r="12" spans="1:50" ht="13.5" thickBot="1" x14ac:dyDescent="0.35">
      <c r="A12" s="124" t="str">
        <f>'Block 2 (Model)'!F12</f>
        <v>Flavourzyme process cost</v>
      </c>
      <c r="B12" s="253" t="str">
        <f>'Block 2 (Model)'!G12</f>
        <v>€/day</v>
      </c>
      <c r="C12" s="236">
        <f>'Block 2 (Model)'!H12</f>
        <v>8341.214948630135</v>
      </c>
      <c r="E12" s="86"/>
      <c r="F12" s="150"/>
      <c r="G12" s="151"/>
      <c r="I12" s="81"/>
      <c r="J12" s="25"/>
      <c r="K12" s="25"/>
      <c r="L12" s="28"/>
      <c r="M12" s="22"/>
      <c r="N12" s="29"/>
      <c r="O12" s="30"/>
      <c r="P12" s="24"/>
      <c r="S12" s="26"/>
    </row>
    <row r="13" spans="1:50" ht="13" x14ac:dyDescent="0.3">
      <c r="A13" s="124" t="str">
        <f>'Block 2 (Model)'!F13</f>
        <v>Heat power reactor</v>
      </c>
      <c r="B13" s="253" t="str">
        <f>'Block 2 (Model)'!G13</f>
        <v>kWh/day</v>
      </c>
      <c r="C13" s="236">
        <f>'Block 2 (Model)'!H13</f>
        <v>4059.1271404109575</v>
      </c>
      <c r="I13" s="81"/>
      <c r="J13" s="21"/>
      <c r="K13" s="21"/>
      <c r="L13" s="13"/>
      <c r="M13" s="14"/>
      <c r="N13" s="12"/>
      <c r="O13" s="15"/>
      <c r="P13" s="12"/>
      <c r="Q13" s="22"/>
      <c r="R13" s="27"/>
      <c r="AI13" s="11"/>
      <c r="AJ13" s="11"/>
      <c r="AK13" s="11"/>
      <c r="AL13" s="11"/>
      <c r="AM13" s="11"/>
      <c r="AN13" s="11"/>
      <c r="AO13" s="11"/>
      <c r="AR13" s="11"/>
      <c r="AS13" s="11"/>
      <c r="AT13" s="11"/>
      <c r="AU13" s="11"/>
      <c r="AV13" s="11"/>
      <c r="AW13" s="11"/>
      <c r="AX13" s="11"/>
    </row>
    <row r="14" spans="1:50" x14ac:dyDescent="0.25">
      <c r="A14" s="124" t="str">
        <f>'Block 2 (Model)'!F14</f>
        <v>Mixing power reactor</v>
      </c>
      <c r="B14" s="253" t="str">
        <f>'Block 2 (Model)'!G14</f>
        <v>kWh/day</v>
      </c>
      <c r="C14" s="236">
        <f>'Block 2 (Model)'!H14</f>
        <v>349.58989726027386</v>
      </c>
      <c r="L14" s="28"/>
      <c r="M14" s="22"/>
      <c r="N14" s="29"/>
      <c r="O14" s="30"/>
      <c r="P14" s="29"/>
      <c r="Q14" s="22"/>
      <c r="V14" s="22"/>
      <c r="W14" s="31"/>
      <c r="X14" s="23"/>
      <c r="AI14" s="11"/>
      <c r="AJ14" s="11"/>
      <c r="AK14" s="11"/>
      <c r="AL14" s="11"/>
      <c r="AM14" s="11"/>
      <c r="AN14" s="11"/>
      <c r="AO14" s="11"/>
      <c r="AR14" s="11"/>
      <c r="AS14" s="11"/>
      <c r="AT14" s="11"/>
      <c r="AU14" s="11"/>
      <c r="AV14" s="11"/>
      <c r="AW14" s="11"/>
      <c r="AX14" s="11"/>
    </row>
    <row r="15" spans="1:50" ht="13.5" thickBot="1" x14ac:dyDescent="0.35">
      <c r="A15" s="319" t="str">
        <f>'Block 2 (Model)'!C22</f>
        <v>Solid separation</v>
      </c>
      <c r="B15" s="320"/>
      <c r="C15" s="321"/>
      <c r="I15" s="32"/>
      <c r="J15" s="32"/>
      <c r="K15" s="32"/>
      <c r="L15" s="33"/>
      <c r="M15" s="22"/>
      <c r="N15" s="34"/>
      <c r="O15" s="30"/>
      <c r="P15" s="34"/>
      <c r="Q15" s="22"/>
      <c r="U15" s="26"/>
      <c r="X15" s="23"/>
      <c r="AI15" s="11"/>
      <c r="AJ15" s="11"/>
      <c r="AK15" s="11"/>
      <c r="AL15" s="11"/>
      <c r="AM15" s="11"/>
      <c r="AN15" s="11"/>
      <c r="AO15" s="11"/>
      <c r="AR15" s="11"/>
      <c r="AS15" s="11"/>
      <c r="AT15" s="11"/>
      <c r="AU15" s="11"/>
      <c r="AV15" s="11"/>
      <c r="AW15" s="11"/>
      <c r="AX15" s="11"/>
    </row>
    <row r="16" spans="1:50" ht="13.5" thickBot="1" x14ac:dyDescent="0.35">
      <c r="A16" s="124" t="str">
        <f>'Block 2 (Model)'!F23</f>
        <v>Inlet flow (stream 10)</v>
      </c>
      <c r="B16" s="253" t="str">
        <f>'Block 2 (Model)'!G23</f>
        <v>m3/h</v>
      </c>
      <c r="C16" s="236">
        <f>'Block 2 (Model)'!H23</f>
        <v>4.8729005222493473</v>
      </c>
      <c r="L16" s="13"/>
      <c r="M16" s="14"/>
      <c r="N16" s="24"/>
      <c r="O16" s="15"/>
      <c r="P16" s="29"/>
      <c r="Q16" s="22"/>
      <c r="U16" s="35"/>
      <c r="V16" s="36" t="s">
        <v>102</v>
      </c>
      <c r="W16" s="36"/>
      <c r="X16" s="37"/>
      <c r="AI16" s="11"/>
      <c r="AJ16" s="11"/>
      <c r="AK16" s="11"/>
      <c r="AL16" s="11"/>
      <c r="AM16" s="11"/>
      <c r="AN16" s="11"/>
      <c r="AO16" s="11"/>
      <c r="AR16" s="11"/>
      <c r="AS16" s="11"/>
      <c r="AT16" s="11"/>
      <c r="AU16" s="11"/>
      <c r="AV16" s="11"/>
      <c r="AW16" s="11"/>
      <c r="AX16" s="11"/>
    </row>
    <row r="17" spans="1:24" ht="13.5" thickBot="1" x14ac:dyDescent="0.35">
      <c r="A17" s="124" t="str">
        <f>'Block 2 (Model)'!F24</f>
        <v>Centrifuge energy</v>
      </c>
      <c r="B17" s="253" t="str">
        <f>'Block 2 (Model)'!G24</f>
        <v>kWh/day</v>
      </c>
      <c r="C17" s="236">
        <f>'Block 2 (Model)'!H24</f>
        <v>48.72900522249347</v>
      </c>
      <c r="L17" s="17"/>
      <c r="M17" s="18"/>
      <c r="N17" s="131"/>
      <c r="O17" s="19"/>
      <c r="P17" s="34"/>
      <c r="Q17" s="38"/>
      <c r="R17" s="38"/>
      <c r="U17" s="39"/>
      <c r="V17" s="40" t="s">
        <v>104</v>
      </c>
      <c r="W17" s="41" t="e">
        <f>+O95</f>
        <v>#REF!</v>
      </c>
      <c r="X17" s="42"/>
    </row>
    <row r="18" spans="1:24" ht="13.5" thickBot="1" x14ac:dyDescent="0.35">
      <c r="A18" s="124" t="str">
        <f>'Block 2 (Model)'!F27</f>
        <v>Outlet solid flow</v>
      </c>
      <c r="B18" s="253" t="str">
        <f>'Block 2 (Model)'!G28</f>
        <v>m3/day</v>
      </c>
      <c r="C18" s="236">
        <f>'Block 2 (Model)'!H28</f>
        <v>10.895551797945203</v>
      </c>
      <c r="I18" s="22"/>
      <c r="J18" s="22"/>
      <c r="K18" s="22"/>
      <c r="M18" s="47"/>
      <c r="N18" s="47"/>
      <c r="O18" s="47"/>
      <c r="Q18" s="38"/>
      <c r="R18" s="38"/>
      <c r="U18" s="43"/>
      <c r="V18" s="44" t="s">
        <v>105</v>
      </c>
      <c r="W18" s="44" t="s">
        <v>84</v>
      </c>
      <c r="X18" s="45"/>
    </row>
    <row r="19" spans="1:24" ht="13.5" thickBot="1" x14ac:dyDescent="0.35">
      <c r="A19" s="124" t="str">
        <f>'Block 2 (Model)'!F29</f>
        <v>Outlet liquid flow</v>
      </c>
      <c r="B19" s="253" t="str">
        <f>'Block 2 (Model)'!G30</f>
        <v>m3/day</v>
      </c>
      <c r="C19" s="236">
        <f>'Block 2 (Model)'!H30</f>
        <v>106.05406073603915</v>
      </c>
      <c r="H19" s="22"/>
      <c r="I19" s="22"/>
      <c r="J19" s="22"/>
      <c r="K19" s="22"/>
      <c r="L19" s="29"/>
      <c r="M19" s="47"/>
      <c r="N19" s="47"/>
      <c r="O19" s="47"/>
      <c r="Q19" s="38"/>
      <c r="R19" s="38"/>
      <c r="U19" s="46"/>
      <c r="V19" s="47" t="s">
        <v>56</v>
      </c>
      <c r="W19" s="48" t="e">
        <f>+P88</f>
        <v>#REF!</v>
      </c>
      <c r="X19" s="49"/>
    </row>
    <row r="20" spans="1:24" ht="13.5" thickBot="1" x14ac:dyDescent="0.35">
      <c r="A20" s="319" t="str">
        <f>'Block 2 (Model)'!C31</f>
        <v>High Pressure Homogenization</v>
      </c>
      <c r="B20" s="320"/>
      <c r="C20" s="321"/>
      <c r="E20" s="50" t="s">
        <v>106</v>
      </c>
      <c r="F20" s="51"/>
      <c r="G20" s="52">
        <v>0.85</v>
      </c>
      <c r="O20" s="53"/>
      <c r="U20" s="46"/>
      <c r="V20" s="47" t="s">
        <v>62</v>
      </c>
      <c r="W20" s="48" t="e">
        <f>+P89</f>
        <v>#REF!</v>
      </c>
      <c r="X20" s="49"/>
    </row>
    <row r="21" spans="1:24" ht="13.5" thickBot="1" x14ac:dyDescent="0.35">
      <c r="A21" s="124" t="str">
        <f>'Block 2 (Model)'!F32</f>
        <v>Inlet flow (stream 6)</v>
      </c>
      <c r="B21" s="253" t="str">
        <f>'Block 2 (Model)'!G32</f>
        <v>m3/h</v>
      </c>
      <c r="C21" s="236">
        <f>'Block 2 (Model)'!H32</f>
        <v>4.8554152397260255</v>
      </c>
      <c r="E21" s="50" t="s">
        <v>107</v>
      </c>
      <c r="F21" s="51"/>
      <c r="G21" s="51"/>
      <c r="H21" s="51"/>
      <c r="I21" s="51"/>
      <c r="J21" s="54"/>
      <c r="L21" s="50" t="s">
        <v>107</v>
      </c>
      <c r="M21" s="51"/>
      <c r="N21" s="55"/>
      <c r="O21" s="55"/>
      <c r="P21" s="55"/>
      <c r="Q21" s="55"/>
      <c r="R21" s="56"/>
      <c r="S21" s="54"/>
      <c r="U21" s="46"/>
      <c r="V21" s="47" t="s">
        <v>64</v>
      </c>
      <c r="W21" s="48" t="e">
        <f>+P90</f>
        <v>#REF!</v>
      </c>
      <c r="X21" s="49"/>
    </row>
    <row r="22" spans="1:24" ht="13.5" thickBot="1" x14ac:dyDescent="0.35">
      <c r="A22" s="124" t="str">
        <f>'Block 2 (Model)'!F33</f>
        <v>HPH energy</v>
      </c>
      <c r="B22" s="253" t="str">
        <f>'Block 2 (Model)'!G33</f>
        <v>kWh/day</v>
      </c>
      <c r="C22" s="236">
        <f>'Block 2 (Model)'!H33</f>
        <v>218.49368578767115</v>
      </c>
      <c r="E22" s="57" t="s">
        <v>108</v>
      </c>
      <c r="F22" s="9" t="s">
        <v>109</v>
      </c>
      <c r="G22" s="9"/>
      <c r="H22" s="9" t="s">
        <v>110</v>
      </c>
      <c r="I22" s="9" t="s">
        <v>111</v>
      </c>
      <c r="J22" s="10"/>
      <c r="L22" s="58" t="s">
        <v>112</v>
      </c>
      <c r="M22" s="8" t="s">
        <v>113</v>
      </c>
      <c r="N22" s="8" t="s">
        <v>111</v>
      </c>
      <c r="O22" s="8"/>
      <c r="P22" s="8" t="s">
        <v>114</v>
      </c>
      <c r="Q22" s="8" t="s">
        <v>115</v>
      </c>
      <c r="R22" s="59" t="s">
        <v>116</v>
      </c>
      <c r="S22" s="60" t="s">
        <v>117</v>
      </c>
      <c r="T22" s="61"/>
      <c r="U22" s="62"/>
      <c r="V22" s="63" t="s">
        <v>67</v>
      </c>
      <c r="W22" s="64" t="e">
        <f>+P91</f>
        <v>#REF!</v>
      </c>
      <c r="X22" s="65"/>
    </row>
    <row r="23" spans="1:24" ht="15" x14ac:dyDescent="0.3">
      <c r="A23" s="124"/>
      <c r="B23" s="253"/>
      <c r="C23" s="236"/>
      <c r="E23" s="197">
        <v>1</v>
      </c>
      <c r="F23" s="51">
        <v>1</v>
      </c>
      <c r="G23" s="51" t="str">
        <f>+O23</f>
        <v>m3</v>
      </c>
      <c r="H23" s="51">
        <v>6000</v>
      </c>
      <c r="I23" s="276">
        <f>C8</f>
        <v>14.566245719178077</v>
      </c>
      <c r="J23" s="52" t="str">
        <f>+G23</f>
        <v>m3</v>
      </c>
      <c r="K23" s="27"/>
      <c r="L23" s="33">
        <v>1</v>
      </c>
      <c r="M23" s="6" t="s">
        <v>225</v>
      </c>
      <c r="N23" s="69">
        <f t="shared" ref="N23:N26" si="0">+IF(I23/F23&lt;1,F23,IF(I23/F23&lt;10,I23,I23/(1+INT(I23/(F23*10)))))</f>
        <v>7.2831228595890387</v>
      </c>
      <c r="O23" s="22" t="s">
        <v>269</v>
      </c>
      <c r="P23" s="70">
        <f t="shared" ref="P23:P25" si="1">H23*(N23/F23)^$G$20</f>
        <v>32443.017523285358</v>
      </c>
      <c r="Q23" s="29">
        <f>+IF(E23=1,ROUNDUP(I23/N23,0),0)</f>
        <v>2</v>
      </c>
      <c r="R23" s="238">
        <f t="shared" ref="R23:R24" si="2">Q23*P23</f>
        <v>64886.035046570716</v>
      </c>
      <c r="S23" s="72">
        <f t="shared" ref="S23:S33" si="3">R23/R$33</f>
        <v>0.54378442974675933</v>
      </c>
      <c r="X23" s="26"/>
    </row>
    <row r="24" spans="1:24" ht="15" x14ac:dyDescent="0.3">
      <c r="A24" s="254"/>
      <c r="B24" s="254"/>
      <c r="C24" s="254"/>
      <c r="E24" s="66">
        <v>1</v>
      </c>
      <c r="F24" s="6">
        <v>5</v>
      </c>
      <c r="G24" s="6" t="str">
        <f t="shared" ref="G24:G26" si="4">+O24</f>
        <v>m3/h</v>
      </c>
      <c r="H24" s="6">
        <v>12000</v>
      </c>
      <c r="I24" s="67">
        <f>C16</f>
        <v>4.8729005222493473</v>
      </c>
      <c r="J24" s="73" t="str">
        <f>+G24</f>
        <v>m3/h</v>
      </c>
      <c r="L24" s="33">
        <v>2</v>
      </c>
      <c r="M24" s="6" t="s">
        <v>226</v>
      </c>
      <c r="N24" s="69">
        <f t="shared" si="0"/>
        <v>5</v>
      </c>
      <c r="O24" s="22" t="s">
        <v>270</v>
      </c>
      <c r="P24" s="70">
        <f t="shared" si="1"/>
        <v>12000</v>
      </c>
      <c r="Q24" s="29">
        <f t="shared" ref="Q24:Q25" si="5">+IF(E24=1,ROUNDUP(I24/N24,0),0)</f>
        <v>1</v>
      </c>
      <c r="R24" s="238">
        <f t="shared" si="2"/>
        <v>12000</v>
      </c>
      <c r="S24" s="72">
        <f t="shared" si="3"/>
        <v>0.10056729698890711</v>
      </c>
      <c r="U24" s="26"/>
      <c r="V24" s="26"/>
      <c r="W24" s="26"/>
    </row>
    <row r="25" spans="1:24" ht="15" x14ac:dyDescent="0.3">
      <c r="A25" s="254"/>
      <c r="B25" s="254"/>
      <c r="C25" s="255"/>
      <c r="D25" s="27"/>
      <c r="E25" s="66">
        <v>1</v>
      </c>
      <c r="F25" s="6">
        <v>1</v>
      </c>
      <c r="G25" s="6" t="str">
        <f t="shared" si="4"/>
        <v>m3/h</v>
      </c>
      <c r="H25" s="6">
        <v>10000</v>
      </c>
      <c r="I25" s="277">
        <f>C21</f>
        <v>4.8554152397260255</v>
      </c>
      <c r="J25" s="73" t="str">
        <f>+G25</f>
        <v>m3/h</v>
      </c>
      <c r="L25" s="33">
        <v>3</v>
      </c>
      <c r="M25" s="6" t="s">
        <v>235</v>
      </c>
      <c r="N25" s="69">
        <f t="shared" si="0"/>
        <v>4.8554152397260255</v>
      </c>
      <c r="O25" s="22" t="s">
        <v>270</v>
      </c>
      <c r="P25" s="70">
        <f t="shared" si="1"/>
        <v>38308.259489038333</v>
      </c>
      <c r="Q25" s="29">
        <f t="shared" si="5"/>
        <v>1</v>
      </c>
      <c r="R25" s="238">
        <f>Q25*P25</f>
        <v>38308.259489038333</v>
      </c>
      <c r="S25" s="72">
        <f t="shared" si="3"/>
        <v>0.32104650909685306</v>
      </c>
      <c r="U25" s="26"/>
      <c r="V25" s="74"/>
      <c r="W25" s="74"/>
    </row>
    <row r="26" spans="1:24" ht="14.5" x14ac:dyDescent="0.25">
      <c r="A26" s="254"/>
      <c r="B26" s="254"/>
      <c r="C26" s="255"/>
      <c r="E26" s="66">
        <v>1</v>
      </c>
      <c r="F26" s="22">
        <v>100</v>
      </c>
      <c r="G26" s="6" t="str">
        <f t="shared" si="4"/>
        <v>m3</v>
      </c>
      <c r="H26" s="6">
        <v>1000</v>
      </c>
      <c r="I26" s="67">
        <f>O9</f>
        <v>530.27030368019575</v>
      </c>
      <c r="J26" s="73" t="str">
        <f t="shared" ref="J26" si="6">+G26</f>
        <v>m3</v>
      </c>
      <c r="L26" s="33">
        <v>4</v>
      </c>
      <c r="M26" s="22" t="s">
        <v>271</v>
      </c>
      <c r="N26" s="69">
        <f t="shared" si="0"/>
        <v>530.27030368019575</v>
      </c>
      <c r="O26" s="22" t="s">
        <v>269</v>
      </c>
      <c r="P26" s="70">
        <f t="shared" ref="P26" si="7">H26*(N26/F26)^$G$20</f>
        <v>4128.7892032691943</v>
      </c>
      <c r="Q26" s="29">
        <f t="shared" ref="Q26" si="8">+IF(E26=1,ROUNDUP(I26/N26,0),0)</f>
        <v>1</v>
      </c>
      <c r="R26" s="238">
        <f>Q26*P26</f>
        <v>4128.7892032691943</v>
      </c>
      <c r="S26" s="72">
        <f t="shared" ref="S26" si="9">R26/R$33</f>
        <v>3.4601764167480516E-2</v>
      </c>
    </row>
    <row r="27" spans="1:24" x14ac:dyDescent="0.25">
      <c r="A27" s="254"/>
      <c r="B27" s="254"/>
      <c r="C27" s="255"/>
      <c r="E27" s="66"/>
      <c r="I27" s="133"/>
      <c r="J27" s="73"/>
      <c r="L27" s="33"/>
      <c r="M27" s="22"/>
      <c r="N27" s="69"/>
      <c r="O27" s="22"/>
      <c r="P27" s="70"/>
      <c r="Q27" s="29"/>
      <c r="R27" s="132"/>
      <c r="S27" s="72"/>
    </row>
    <row r="28" spans="1:24" ht="14.5" customHeight="1" thickBot="1" x14ac:dyDescent="0.4">
      <c r="A28" s="313" t="str">
        <f>+'[1]Block 1 (Model)'!D28</f>
        <v>Equipment Capacity</v>
      </c>
      <c r="B28" s="314"/>
      <c r="C28" s="315"/>
      <c r="E28" s="66"/>
      <c r="I28" s="133"/>
      <c r="J28" s="73"/>
      <c r="L28" s="33"/>
      <c r="N28" s="69"/>
      <c r="O28" s="22"/>
      <c r="P28" s="70"/>
      <c r="Q28" s="29"/>
      <c r="R28" s="132"/>
      <c r="S28" s="72"/>
    </row>
    <row r="29" spans="1:24" ht="13" thickBot="1" x14ac:dyDescent="0.3">
      <c r="A29" s="239" t="str">
        <f>M23</f>
        <v>Enzymatic reactor</v>
      </c>
      <c r="B29" s="240" t="str">
        <f>O23</f>
        <v>m3</v>
      </c>
      <c r="C29" s="241">
        <f>+I23</f>
        <v>14.566245719178077</v>
      </c>
      <c r="E29" s="66"/>
      <c r="I29" s="133"/>
      <c r="J29" s="73"/>
      <c r="L29" s="33"/>
      <c r="N29" s="69"/>
      <c r="O29" s="22"/>
      <c r="P29" s="70"/>
      <c r="Q29" s="29"/>
      <c r="R29" s="132"/>
      <c r="S29" s="72"/>
    </row>
    <row r="30" spans="1:24" ht="13" thickBot="1" x14ac:dyDescent="0.3">
      <c r="A30" s="239" t="str">
        <f t="shared" ref="A30:A32" si="10">M24</f>
        <v>Centrifuge</v>
      </c>
      <c r="B30" s="240" t="str">
        <f t="shared" ref="B30:B32" si="11">O24</f>
        <v>m3/h</v>
      </c>
      <c r="C30" s="242">
        <f>+I24</f>
        <v>4.8729005222493473</v>
      </c>
      <c r="E30" s="66"/>
      <c r="I30" s="133"/>
      <c r="J30" s="73"/>
      <c r="L30" s="33"/>
      <c r="N30" s="69"/>
      <c r="O30" s="69"/>
      <c r="P30" s="70"/>
      <c r="Q30" s="29"/>
      <c r="R30" s="132"/>
      <c r="S30" s="72"/>
    </row>
    <row r="31" spans="1:24" ht="13" thickBot="1" x14ac:dyDescent="0.3">
      <c r="A31" s="239" t="str">
        <f t="shared" si="10"/>
        <v>High Pressure Homogenization</v>
      </c>
      <c r="B31" s="240" t="str">
        <f t="shared" si="11"/>
        <v>m3/h</v>
      </c>
      <c r="C31" s="242">
        <f>+I25</f>
        <v>4.8554152397260255</v>
      </c>
      <c r="E31" s="66"/>
      <c r="I31" s="133"/>
      <c r="J31" s="73"/>
      <c r="L31" s="33"/>
      <c r="N31" s="69"/>
      <c r="O31" s="22"/>
      <c r="P31" s="70"/>
      <c r="Q31" s="29"/>
      <c r="R31" s="132"/>
      <c r="S31" s="72"/>
    </row>
    <row r="32" spans="1:24" ht="13" thickBot="1" x14ac:dyDescent="0.3">
      <c r="A32" s="239" t="str">
        <f t="shared" si="10"/>
        <v>Final tank</v>
      </c>
      <c r="B32" s="240" t="str">
        <f t="shared" si="11"/>
        <v>m3</v>
      </c>
      <c r="C32" s="242">
        <f>+I26</f>
        <v>530.27030368019575</v>
      </c>
      <c r="E32" s="75"/>
      <c r="F32" s="76"/>
      <c r="G32" s="76"/>
      <c r="H32" s="76"/>
      <c r="I32" s="134"/>
      <c r="J32" s="77"/>
      <c r="L32" s="33"/>
      <c r="N32" s="69"/>
      <c r="O32" s="22"/>
      <c r="P32" s="70"/>
      <c r="Q32" s="29"/>
      <c r="R32" s="132"/>
      <c r="S32" s="72"/>
    </row>
    <row r="33" spans="1:20" ht="13.5" thickBot="1" x14ac:dyDescent="0.35">
      <c r="A33" s="135"/>
      <c r="B33" s="136"/>
      <c r="C33" s="138"/>
      <c r="L33" s="58"/>
      <c r="M33" s="8" t="s">
        <v>121</v>
      </c>
      <c r="N33" s="8"/>
      <c r="O33" s="8"/>
      <c r="P33" s="59"/>
      <c r="Q33" s="8"/>
      <c r="R33" s="78">
        <f>SUM(R23:R32)</f>
        <v>119323.08373887824</v>
      </c>
      <c r="S33" s="79">
        <f t="shared" si="3"/>
        <v>1</v>
      </c>
      <c r="T33" s="80"/>
    </row>
    <row r="34" spans="1:20" ht="13" thickBot="1" x14ac:dyDescent="0.3">
      <c r="A34" s="135"/>
      <c r="B34" s="136"/>
      <c r="C34" s="138"/>
    </row>
    <row r="35" spans="1:20" ht="13.5" thickBot="1" x14ac:dyDescent="0.35">
      <c r="A35" s="135"/>
      <c r="B35" s="136"/>
      <c r="C35" s="138"/>
      <c r="N35" s="69"/>
      <c r="O35" s="22"/>
      <c r="P35" s="25"/>
      <c r="Q35" s="22"/>
      <c r="R35" s="81"/>
      <c r="S35" s="82"/>
      <c r="T35" s="82"/>
    </row>
    <row r="36" spans="1:20" ht="13.5" thickBot="1" x14ac:dyDescent="0.35">
      <c r="A36" s="135"/>
      <c r="B36" s="136"/>
      <c r="C36" s="138"/>
      <c r="G36" s="35" t="s">
        <v>122</v>
      </c>
      <c r="H36" s="51"/>
      <c r="I36" s="51"/>
      <c r="J36" s="54"/>
      <c r="L36" s="58" t="s">
        <v>123</v>
      </c>
      <c r="M36" s="9"/>
      <c r="N36" s="9"/>
      <c r="O36" s="9"/>
      <c r="P36" s="9"/>
      <c r="Q36" s="10"/>
    </row>
    <row r="37" spans="1:20" ht="13.5" thickBot="1" x14ac:dyDescent="0.35">
      <c r="A37" s="135"/>
      <c r="B37" s="136"/>
      <c r="C37" s="138"/>
      <c r="G37" s="43" t="s">
        <v>124</v>
      </c>
      <c r="H37" s="44" t="s">
        <v>125</v>
      </c>
      <c r="I37" s="44" t="s">
        <v>126</v>
      </c>
      <c r="J37" s="45" t="s">
        <v>127</v>
      </c>
      <c r="L37" s="58" t="s">
        <v>112</v>
      </c>
      <c r="M37" s="8" t="s">
        <v>113</v>
      </c>
      <c r="N37" s="8" t="s">
        <v>128</v>
      </c>
      <c r="O37" s="8"/>
      <c r="P37" s="83" t="s">
        <v>129</v>
      </c>
      <c r="Q37" s="60" t="s">
        <v>117</v>
      </c>
    </row>
    <row r="38" spans="1:20" ht="13" thickBot="1" x14ac:dyDescent="0.3">
      <c r="A38" s="135"/>
      <c r="B38" s="136"/>
      <c r="C38" s="137"/>
      <c r="G38" s="33"/>
      <c r="J38" s="68">
        <v>1</v>
      </c>
      <c r="L38" s="33">
        <v>1</v>
      </c>
      <c r="M38" s="6" t="s">
        <v>42</v>
      </c>
      <c r="N38" s="27">
        <v>1</v>
      </c>
      <c r="P38" s="71">
        <f>R33*N38</f>
        <v>119323.08373887824</v>
      </c>
      <c r="Q38" s="84">
        <f>P38/P$51</f>
        <v>0.30546803047960003</v>
      </c>
    </row>
    <row r="39" spans="1:20" ht="15" customHeight="1" thickBot="1" x14ac:dyDescent="0.4">
      <c r="A39" s="307" t="str">
        <f>+'[1]Block 1 (Model)'!D39</f>
        <v>Equipment Costs</v>
      </c>
      <c r="B39" s="308"/>
      <c r="C39" s="309"/>
      <c r="G39" s="33">
        <v>0.5</v>
      </c>
      <c r="H39" s="6">
        <v>0.2</v>
      </c>
      <c r="I39" s="6">
        <v>1.5</v>
      </c>
      <c r="J39" s="85">
        <f>0.4/2</f>
        <v>0.2</v>
      </c>
      <c r="L39" s="33">
        <v>2</v>
      </c>
      <c r="M39" s="6" t="s">
        <v>43</v>
      </c>
      <c r="N39" s="29">
        <f t="shared" ref="N39:N45" si="12">+H39</f>
        <v>0.2</v>
      </c>
      <c r="P39" s="67">
        <f t="shared" ref="P39:P47" si="13">P$38*N39</f>
        <v>23864.61674777565</v>
      </c>
      <c r="Q39" s="72">
        <f t="shared" ref="Q39:Q51" si="14">P39/P$51</f>
        <v>6.109360609592001E-2</v>
      </c>
    </row>
    <row r="40" spans="1:20" ht="13" thickBot="1" x14ac:dyDescent="0.3">
      <c r="A40" s="135" t="str">
        <f>M23</f>
        <v>Enzymatic reactor</v>
      </c>
      <c r="B40" s="136" t="str">
        <f>+'[1]Block 1 (Model)'!E40</f>
        <v>€</v>
      </c>
      <c r="C40" s="243">
        <f>+R23</f>
        <v>64886.035046570716</v>
      </c>
      <c r="G40" s="33">
        <v>0.35</v>
      </c>
      <c r="H40" s="6">
        <v>0.2</v>
      </c>
      <c r="I40" s="6">
        <v>0.6</v>
      </c>
      <c r="J40" s="68">
        <v>0.15</v>
      </c>
      <c r="L40" s="33">
        <v>3</v>
      </c>
      <c r="M40" s="6" t="s">
        <v>44</v>
      </c>
      <c r="N40" s="29">
        <f t="shared" si="12"/>
        <v>0.2</v>
      </c>
      <c r="P40" s="67">
        <f t="shared" si="13"/>
        <v>23864.61674777565</v>
      </c>
      <c r="Q40" s="72">
        <f t="shared" si="14"/>
        <v>6.109360609592001E-2</v>
      </c>
    </row>
    <row r="41" spans="1:20" ht="13" thickBot="1" x14ac:dyDescent="0.3">
      <c r="A41" s="135" t="str">
        <f t="shared" ref="A41:A43" si="15">M24</f>
        <v>Centrifuge</v>
      </c>
      <c r="B41" s="136" t="str">
        <f>+'[1]Block 1 (Model)'!E41</f>
        <v>€</v>
      </c>
      <c r="C41" s="243">
        <f t="shared" ref="C41:C43" si="16">+R24</f>
        <v>12000</v>
      </c>
      <c r="G41" s="33">
        <v>0.4</v>
      </c>
      <c r="H41" s="6">
        <v>0.3</v>
      </c>
      <c r="I41" s="6">
        <v>0.6</v>
      </c>
      <c r="J41" s="85">
        <f>0.4/2</f>
        <v>0.2</v>
      </c>
      <c r="L41" s="33">
        <v>4</v>
      </c>
      <c r="M41" s="6" t="s">
        <v>45</v>
      </c>
      <c r="N41" s="29">
        <f t="shared" si="12"/>
        <v>0.3</v>
      </c>
      <c r="P41" s="67">
        <f t="shared" si="13"/>
        <v>35796.925121663473</v>
      </c>
      <c r="Q41" s="72">
        <f t="shared" si="14"/>
        <v>9.1640409143880011E-2</v>
      </c>
    </row>
    <row r="42" spans="1:20" ht="13" thickBot="1" x14ac:dyDescent="0.3">
      <c r="A42" s="135" t="str">
        <f t="shared" si="15"/>
        <v>High Pressure Homogenization</v>
      </c>
      <c r="B42" s="136" t="str">
        <f>+'[1]Block 1 (Model)'!E42</f>
        <v>€</v>
      </c>
      <c r="C42" s="243">
        <f t="shared" si="16"/>
        <v>38308.259489038333</v>
      </c>
      <c r="G42" s="33">
        <v>0.15</v>
      </c>
      <c r="H42" s="6">
        <v>0.1</v>
      </c>
      <c r="I42" s="6">
        <v>0.2</v>
      </c>
      <c r="J42" s="68">
        <v>0.1</v>
      </c>
      <c r="L42" s="33">
        <v>5</v>
      </c>
      <c r="M42" s="6" t="s">
        <v>46</v>
      </c>
      <c r="N42" s="29">
        <f t="shared" si="12"/>
        <v>0.1</v>
      </c>
      <c r="P42" s="67">
        <f t="shared" si="13"/>
        <v>11932.308373887825</v>
      </c>
      <c r="Q42" s="72">
        <f t="shared" si="14"/>
        <v>3.0546803047960005E-2</v>
      </c>
    </row>
    <row r="43" spans="1:20" ht="13" thickBot="1" x14ac:dyDescent="0.3">
      <c r="A43" s="135" t="str">
        <f t="shared" si="15"/>
        <v>Final tank</v>
      </c>
      <c r="B43" s="136" t="str">
        <f>+'[1]Block 1 (Model)'!E43</f>
        <v>€</v>
      </c>
      <c r="C43" s="243">
        <f t="shared" si="16"/>
        <v>4128.7892032691943</v>
      </c>
      <c r="G43" s="33">
        <v>0.45</v>
      </c>
      <c r="H43" s="6">
        <v>0.1</v>
      </c>
      <c r="I43" s="6">
        <v>2</v>
      </c>
      <c r="J43" s="85">
        <f>0.45/2</f>
        <v>0.22500000000000001</v>
      </c>
      <c r="L43" s="33">
        <v>6</v>
      </c>
      <c r="M43" s="6" t="s">
        <v>47</v>
      </c>
      <c r="N43" s="29">
        <f t="shared" si="12"/>
        <v>0.1</v>
      </c>
      <c r="P43" s="67">
        <f t="shared" si="13"/>
        <v>11932.308373887825</v>
      </c>
      <c r="Q43" s="72">
        <f t="shared" si="14"/>
        <v>3.0546803047960005E-2</v>
      </c>
    </row>
    <row r="44" spans="1:20" ht="13" thickBot="1" x14ac:dyDescent="0.3">
      <c r="A44" s="135"/>
      <c r="B44" s="136"/>
      <c r="C44" s="138"/>
      <c r="G44" s="33">
        <v>0.15</v>
      </c>
      <c r="H44" s="6">
        <v>0.05</v>
      </c>
      <c r="I44" s="6">
        <v>0.2</v>
      </c>
      <c r="J44" s="68">
        <v>0.12</v>
      </c>
      <c r="L44" s="33">
        <v>7</v>
      </c>
      <c r="M44" s="6" t="s">
        <v>48</v>
      </c>
      <c r="N44" s="29">
        <f t="shared" si="12"/>
        <v>0.05</v>
      </c>
      <c r="P44" s="67">
        <f t="shared" si="13"/>
        <v>5966.1541869439125</v>
      </c>
      <c r="Q44" s="72">
        <f t="shared" si="14"/>
        <v>1.5273401523980002E-2</v>
      </c>
    </row>
    <row r="45" spans="1:20" ht="13" thickBot="1" x14ac:dyDescent="0.3">
      <c r="A45" s="135"/>
      <c r="B45" s="136"/>
      <c r="C45" s="138"/>
      <c r="G45" s="33">
        <v>0.5</v>
      </c>
      <c r="H45" s="6">
        <v>0.2</v>
      </c>
      <c r="I45" s="6">
        <v>1</v>
      </c>
      <c r="J45" s="68">
        <v>0.2</v>
      </c>
      <c r="L45" s="33">
        <v>8</v>
      </c>
      <c r="M45" s="6" t="s">
        <v>49</v>
      </c>
      <c r="N45" s="29">
        <f t="shared" si="12"/>
        <v>0.2</v>
      </c>
      <c r="P45" s="67">
        <f t="shared" si="13"/>
        <v>23864.61674777565</v>
      </c>
      <c r="Q45" s="72">
        <f t="shared" si="14"/>
        <v>6.109360609592001E-2</v>
      </c>
    </row>
    <row r="46" spans="1:20" ht="13" thickBot="1" x14ac:dyDescent="0.3">
      <c r="A46" s="135"/>
      <c r="B46" s="136"/>
      <c r="C46" s="138"/>
      <c r="G46" s="33"/>
      <c r="J46" s="68">
        <v>0.06</v>
      </c>
      <c r="L46" s="33">
        <v>9</v>
      </c>
      <c r="M46" s="6" t="s">
        <v>50</v>
      </c>
      <c r="N46" s="29"/>
      <c r="P46" s="67">
        <f t="shared" si="13"/>
        <v>0</v>
      </c>
      <c r="Q46" s="72">
        <f t="shared" si="14"/>
        <v>0</v>
      </c>
    </row>
    <row r="47" spans="1:20" ht="13" thickBot="1" x14ac:dyDescent="0.3">
      <c r="A47" s="135"/>
      <c r="B47" s="136"/>
      <c r="C47" s="138"/>
      <c r="G47" s="33">
        <v>0.25</v>
      </c>
      <c r="H47" s="6">
        <v>0.2</v>
      </c>
      <c r="I47" s="6">
        <v>0.3</v>
      </c>
      <c r="J47" s="68">
        <v>0.3</v>
      </c>
      <c r="L47" s="33">
        <v>10</v>
      </c>
      <c r="M47" s="6" t="s">
        <v>51</v>
      </c>
      <c r="N47" s="29">
        <f>+H47</f>
        <v>0.2</v>
      </c>
      <c r="P47" s="67">
        <f t="shared" si="13"/>
        <v>23864.61674777565</v>
      </c>
      <c r="Q47" s="72">
        <f t="shared" si="14"/>
        <v>6.109360609592001E-2</v>
      </c>
    </row>
    <row r="48" spans="1:20" ht="13" thickBot="1" x14ac:dyDescent="0.3">
      <c r="A48" s="135"/>
      <c r="B48" s="136"/>
      <c r="C48" s="138"/>
      <c r="G48" s="33">
        <v>0.35</v>
      </c>
      <c r="H48" s="6">
        <v>0.3</v>
      </c>
      <c r="I48" s="6">
        <v>0.4</v>
      </c>
      <c r="J48" s="85">
        <f>0.1/2</f>
        <v>0.05</v>
      </c>
      <c r="L48" s="33">
        <v>11</v>
      </c>
      <c r="M48" s="6" t="s">
        <v>52</v>
      </c>
      <c r="N48" s="29">
        <f>+H48</f>
        <v>0.3</v>
      </c>
      <c r="P48" s="67">
        <f>N$48*SUM(P38:P46)</f>
        <v>76963.389011576466</v>
      </c>
      <c r="Q48" s="72">
        <f t="shared" si="14"/>
        <v>0.19702687965934201</v>
      </c>
    </row>
    <row r="49" spans="1:20" ht="13" thickBot="1" x14ac:dyDescent="0.3">
      <c r="A49" s="135"/>
      <c r="B49" s="136"/>
      <c r="C49" s="137"/>
      <c r="G49" s="33">
        <v>0.05</v>
      </c>
      <c r="H49" s="6">
        <v>0.03</v>
      </c>
      <c r="I49" s="6">
        <v>0.08</v>
      </c>
      <c r="J49" s="85">
        <f>0.05/2</f>
        <v>2.5000000000000001E-2</v>
      </c>
      <c r="L49" s="33">
        <v>12</v>
      </c>
      <c r="M49" s="6" t="s">
        <v>53</v>
      </c>
      <c r="N49" s="29">
        <f>+H49</f>
        <v>0.03</v>
      </c>
      <c r="P49" s="67">
        <f>N$49*SUM(P38:P46)</f>
        <v>7696.3389011576464</v>
      </c>
      <c r="Q49" s="72">
        <f t="shared" si="14"/>
        <v>1.9702687965934201E-2</v>
      </c>
    </row>
    <row r="50" spans="1:20" ht="15" customHeight="1" thickBot="1" x14ac:dyDescent="0.4">
      <c r="A50" s="307" t="str">
        <f>+'[1]Block 1 (Model)'!D50</f>
        <v>Fix Capital Costs</v>
      </c>
      <c r="B50" s="308"/>
      <c r="C50" s="309"/>
      <c r="G50" s="86">
        <v>0.1</v>
      </c>
      <c r="H50" s="76">
        <v>7.0000000000000007E-2</v>
      </c>
      <c r="I50" s="76">
        <v>0.15</v>
      </c>
      <c r="J50" s="87">
        <v>0.08</v>
      </c>
      <c r="L50" s="33">
        <v>13</v>
      </c>
      <c r="M50" s="6" t="s">
        <v>54</v>
      </c>
      <c r="N50" s="29">
        <f>+H50</f>
        <v>7.0000000000000007E-2</v>
      </c>
      <c r="P50" s="67">
        <f>N$50*SUM(P38:P49)</f>
        <v>25554.828228936865</v>
      </c>
      <c r="Q50" s="72">
        <f t="shared" si="14"/>
        <v>6.5420560747663559E-2</v>
      </c>
    </row>
    <row r="51" spans="1:20" ht="13.5" thickBot="1" x14ac:dyDescent="0.35">
      <c r="A51" s="135" t="str">
        <f>+'[1]Block 1 (Model)'!D51</f>
        <v>Major purchased equipment</v>
      </c>
      <c r="B51" s="136" t="s">
        <v>40</v>
      </c>
      <c r="C51" s="243">
        <f>+P38</f>
        <v>119323.08373887824</v>
      </c>
      <c r="L51" s="88"/>
      <c r="M51" s="8" t="s">
        <v>130</v>
      </c>
      <c r="N51" s="89"/>
      <c r="O51" s="89"/>
      <c r="P51" s="78">
        <f>SUM(P38:P50)</f>
        <v>390623.80292803491</v>
      </c>
      <c r="Q51" s="90">
        <f t="shared" si="14"/>
        <v>1</v>
      </c>
    </row>
    <row r="52" spans="1:20" ht="13" thickBot="1" x14ac:dyDescent="0.3">
      <c r="A52" s="135" t="str">
        <f>+'[1]Block 1 (Model)'!D52</f>
        <v>Installation costs</v>
      </c>
      <c r="B52" s="136" t="s">
        <v>40</v>
      </c>
      <c r="C52" s="243">
        <f t="shared" ref="C52:C63" si="17">+P39</f>
        <v>23864.61674777565</v>
      </c>
      <c r="R52" s="11"/>
    </row>
    <row r="53" spans="1:20" ht="13.5" thickBot="1" x14ac:dyDescent="0.35">
      <c r="A53" s="135" t="str">
        <f>+'[1]Block 1 (Model)'!D53</f>
        <v>Instrumentation and control</v>
      </c>
      <c r="B53" s="136" t="s">
        <v>40</v>
      </c>
      <c r="C53" s="243">
        <f t="shared" si="17"/>
        <v>23864.61674777565</v>
      </c>
      <c r="L53" s="50" t="s">
        <v>131</v>
      </c>
      <c r="M53" s="55"/>
      <c r="N53" s="91"/>
      <c r="O53" s="91"/>
      <c r="P53" s="91"/>
      <c r="Q53" s="54"/>
      <c r="R53" s="92"/>
      <c r="S53" s="11"/>
      <c r="T53" s="11"/>
    </row>
    <row r="54" spans="1:20" ht="13.5" thickBot="1" x14ac:dyDescent="0.35">
      <c r="A54" s="135" t="str">
        <f>+'[1]Block 1 (Model)'!D54</f>
        <v>Piping</v>
      </c>
      <c r="B54" s="136" t="s">
        <v>40</v>
      </c>
      <c r="C54" s="243">
        <f t="shared" si="17"/>
        <v>35796.925121663473</v>
      </c>
      <c r="H54" s="26"/>
      <c r="I54" s="93"/>
      <c r="J54" s="61"/>
      <c r="L54" s="58" t="s">
        <v>112</v>
      </c>
      <c r="M54" s="94" t="s">
        <v>113</v>
      </c>
      <c r="N54" s="83"/>
      <c r="O54" s="8"/>
      <c r="P54" s="8" t="s">
        <v>129</v>
      </c>
      <c r="Q54" s="95" t="s">
        <v>117</v>
      </c>
      <c r="S54" s="11"/>
      <c r="T54" s="11"/>
    </row>
    <row r="55" spans="1:20" ht="13" thickBot="1" x14ac:dyDescent="0.3">
      <c r="A55" s="135" t="str">
        <f>+'[1]Block 1 (Model)'!D55</f>
        <v>Electrical</v>
      </c>
      <c r="B55" s="136" t="s">
        <v>40</v>
      </c>
      <c r="C55" s="243">
        <f t="shared" si="17"/>
        <v>11932.308373887825</v>
      </c>
      <c r="L55" s="33"/>
      <c r="M55" s="6" t="s">
        <v>55</v>
      </c>
      <c r="N55" s="6">
        <v>10</v>
      </c>
      <c r="Q55" s="96"/>
      <c r="S55" s="11"/>
      <c r="T55" s="11"/>
    </row>
    <row r="56" spans="1:20" ht="13" thickBot="1" x14ac:dyDescent="0.3">
      <c r="A56" s="135" t="str">
        <f>+'[1]Block 1 (Model)'!D56</f>
        <v>Buildings</v>
      </c>
      <c r="B56" s="136" t="s">
        <v>40</v>
      </c>
      <c r="C56" s="243">
        <f t="shared" si="17"/>
        <v>11932.308373887825</v>
      </c>
      <c r="L56" s="33"/>
      <c r="M56" s="6" t="s">
        <v>56</v>
      </c>
      <c r="P56" s="97">
        <f>+(P51-P44)/N55</f>
        <v>38465.764874109103</v>
      </c>
      <c r="Q56" s="96">
        <f t="shared" ref="Q56:Q60" si="18">+P56/P$60</f>
        <v>0.84854948922699236</v>
      </c>
      <c r="S56" s="11"/>
      <c r="T56" s="11"/>
    </row>
    <row r="57" spans="1:20" ht="13" thickBot="1" x14ac:dyDescent="0.3">
      <c r="A57" s="135" t="str">
        <f>+'[1]Block 1 (Model)'!D57</f>
        <v>Yard improvements</v>
      </c>
      <c r="B57" s="136" t="s">
        <v>40</v>
      </c>
      <c r="C57" s="243">
        <f t="shared" si="17"/>
        <v>5966.1541869439125</v>
      </c>
      <c r="L57" s="33"/>
      <c r="M57" s="6" t="s">
        <v>57</v>
      </c>
      <c r="N57" s="98">
        <v>0.01</v>
      </c>
      <c r="P57" s="97">
        <f>0.01*P56</f>
        <v>384.65764874109107</v>
      </c>
      <c r="Q57" s="96">
        <f t="shared" si="18"/>
        <v>8.4854948922699243E-3</v>
      </c>
      <c r="S57" s="11"/>
      <c r="T57" s="11"/>
    </row>
    <row r="58" spans="1:20" ht="13" thickBot="1" x14ac:dyDescent="0.3">
      <c r="A58" s="135" t="str">
        <f>+'[1]Block 1 (Model)'!D58</f>
        <v>Service facilities</v>
      </c>
      <c r="B58" s="136" t="s">
        <v>40</v>
      </c>
      <c r="C58" s="243">
        <f t="shared" si="17"/>
        <v>23864.61674777565</v>
      </c>
      <c r="L58" s="33"/>
      <c r="M58" s="6" t="s">
        <v>58</v>
      </c>
      <c r="N58" s="98">
        <v>6.0000000000000001E-3</v>
      </c>
      <c r="P58" s="97">
        <f>0.006*P56</f>
        <v>230.79458924465462</v>
      </c>
      <c r="Q58" s="96">
        <f t="shared" si="18"/>
        <v>5.0912969353619541E-3</v>
      </c>
      <c r="S58" s="11"/>
      <c r="T58" s="11"/>
    </row>
    <row r="59" spans="1:20" ht="13" thickBot="1" x14ac:dyDescent="0.3">
      <c r="A59" s="135" t="str">
        <f>+'[1]Block 1 (Model)'!D59</f>
        <v>Land</v>
      </c>
      <c r="B59" s="136" t="s">
        <v>40</v>
      </c>
      <c r="C59" s="243">
        <f t="shared" si="17"/>
        <v>0</v>
      </c>
      <c r="L59" s="33"/>
      <c r="M59" s="6" t="s">
        <v>59</v>
      </c>
      <c r="N59" s="98">
        <v>0.16</v>
      </c>
      <c r="P59" s="97">
        <f>0.16*(P51/N55)</f>
        <v>6249.9808468485589</v>
      </c>
      <c r="Q59" s="96">
        <f t="shared" si="18"/>
        <v>0.13787371894537587</v>
      </c>
      <c r="S59" s="11"/>
      <c r="T59" s="11"/>
    </row>
    <row r="60" spans="1:20" ht="13.5" thickBot="1" x14ac:dyDescent="0.35">
      <c r="A60" s="135" t="str">
        <f>+'[1]Block 1 (Model)'!D60</f>
        <v>Engineering and supervision</v>
      </c>
      <c r="B60" s="136" t="s">
        <v>40</v>
      </c>
      <c r="C60" s="243">
        <f t="shared" si="17"/>
        <v>23864.61674777565</v>
      </c>
      <c r="L60" s="58"/>
      <c r="M60" s="8" t="s">
        <v>132</v>
      </c>
      <c r="N60" s="8"/>
      <c r="O60" s="8"/>
      <c r="P60" s="99">
        <f>SUM(P55:P59)</f>
        <v>45331.197958943405</v>
      </c>
      <c r="Q60" s="100">
        <f t="shared" si="18"/>
        <v>1</v>
      </c>
    </row>
    <row r="61" spans="1:20" ht="13" thickBot="1" x14ac:dyDescent="0.3">
      <c r="A61" s="135" t="str">
        <f>+'[1]Block 1 (Model)'!D61</f>
        <v>Construction expenses</v>
      </c>
      <c r="B61" s="136" t="s">
        <v>40</v>
      </c>
      <c r="C61" s="243">
        <f t="shared" si="17"/>
        <v>76963.389011576466</v>
      </c>
      <c r="Q61" s="16"/>
      <c r="S61" s="11"/>
      <c r="T61" s="11"/>
    </row>
    <row r="62" spans="1:20" ht="13.5" thickBot="1" x14ac:dyDescent="0.35">
      <c r="A62" s="135" t="str">
        <f>+'[1]Block 1 (Model)'!D62</f>
        <v>Contractor's fee</v>
      </c>
      <c r="B62" s="136" t="s">
        <v>40</v>
      </c>
      <c r="C62" s="243">
        <f t="shared" si="17"/>
        <v>7696.3389011576464</v>
      </c>
      <c r="L62" s="50" t="s">
        <v>133</v>
      </c>
      <c r="M62" s="55"/>
      <c r="N62" s="51"/>
      <c r="O62" s="51"/>
      <c r="P62" s="51"/>
      <c r="Q62" s="101"/>
    </row>
    <row r="63" spans="1:20" ht="13.5" thickBot="1" x14ac:dyDescent="0.35">
      <c r="A63" s="135" t="str">
        <f>+'[1]Block 1 (Model)'!D63</f>
        <v>Contingency</v>
      </c>
      <c r="B63" s="136" t="s">
        <v>40</v>
      </c>
      <c r="C63" s="243">
        <f t="shared" si="17"/>
        <v>25554.828228936865</v>
      </c>
      <c r="L63" s="58" t="s">
        <v>112</v>
      </c>
      <c r="M63" s="8" t="s">
        <v>62</v>
      </c>
      <c r="N63" s="8" t="s">
        <v>134</v>
      </c>
      <c r="O63" s="8" t="s">
        <v>135</v>
      </c>
      <c r="P63" s="8" t="s">
        <v>129</v>
      </c>
      <c r="Q63" s="102" t="s">
        <v>117</v>
      </c>
    </row>
    <row r="64" spans="1:20" ht="13.5" thickBot="1" x14ac:dyDescent="0.35">
      <c r="A64" s="244" t="str">
        <f>+'[1]Block 1 (Model)'!D64</f>
        <v>Total fix capital</v>
      </c>
      <c r="B64" s="245" t="s">
        <v>40</v>
      </c>
      <c r="C64" s="246">
        <f>+P51</f>
        <v>390623.80292803491</v>
      </c>
      <c r="H64" s="26"/>
      <c r="I64" s="93"/>
      <c r="J64" s="61"/>
      <c r="L64" s="33"/>
      <c r="M64" s="22" t="s">
        <v>231</v>
      </c>
      <c r="N64" s="103">
        <f>C9*O6</f>
        <v>68053.499999999985</v>
      </c>
      <c r="O64" s="67">
        <f>F6</f>
        <v>19.940000000000001</v>
      </c>
      <c r="P64" s="67">
        <f>N64*O64</f>
        <v>1356986.7899999998</v>
      </c>
      <c r="Q64" s="96" t="e">
        <f>+P64/P$81</f>
        <v>#REF!</v>
      </c>
    </row>
    <row r="65" spans="1:17" ht="13" thickBot="1" x14ac:dyDescent="0.3">
      <c r="A65" s="135"/>
      <c r="B65" s="136"/>
      <c r="C65" s="139"/>
      <c r="L65" s="33"/>
      <c r="M65" s="22" t="s">
        <v>232</v>
      </c>
      <c r="N65" s="103">
        <f>C11*O6</f>
        <v>85066.874999999985</v>
      </c>
      <c r="O65" s="67">
        <f>F7</f>
        <v>35.79</v>
      </c>
      <c r="P65" s="67">
        <f>N65*O65</f>
        <v>3044543.4562499993</v>
      </c>
      <c r="Q65" s="96" t="e">
        <f>P65/P81</f>
        <v>#REF!</v>
      </c>
    </row>
    <row r="66" spans="1:17" ht="15" customHeight="1" thickBot="1" x14ac:dyDescent="0.4">
      <c r="A66" s="307" t="str">
        <f>+'[1]Block 1 (Model)'!D66</f>
        <v>Fix Capital Costs per annun</v>
      </c>
      <c r="B66" s="308"/>
      <c r="C66" s="309"/>
      <c r="L66" s="33"/>
      <c r="M66" s="22" t="s">
        <v>233</v>
      </c>
      <c r="N66" s="103">
        <f>O8*1000</f>
        <v>1701337.4999999995</v>
      </c>
      <c r="O66" s="67" t="e">
        <f>#REF!-0.3</f>
        <v>#REF!</v>
      </c>
      <c r="P66" s="67" t="e">
        <f>N66*O66</f>
        <v>#REF!</v>
      </c>
      <c r="Q66" s="96" t="e">
        <f>P66/P81</f>
        <v>#REF!</v>
      </c>
    </row>
    <row r="67" spans="1:17" ht="13.5" thickBot="1" x14ac:dyDescent="0.35">
      <c r="A67" s="135" t="str">
        <f>+'[1]Block 1 (Model)'!D67</f>
        <v>Lifetime</v>
      </c>
      <c r="B67" s="136"/>
      <c r="C67" s="137">
        <f>+N55</f>
        <v>10</v>
      </c>
      <c r="L67" s="58" t="str">
        <f>+L63</f>
        <v>Item</v>
      </c>
      <c r="M67" s="8" t="s">
        <v>64</v>
      </c>
      <c r="N67" s="8" t="s">
        <v>134</v>
      </c>
      <c r="O67" s="8" t="s">
        <v>135</v>
      </c>
      <c r="P67" s="8" t="s">
        <v>129</v>
      </c>
      <c r="Q67" s="102" t="s">
        <v>117</v>
      </c>
    </row>
    <row r="68" spans="1:17" ht="13" thickBot="1" x14ac:dyDescent="0.3">
      <c r="A68" s="135" t="str">
        <f>+'[1]Block 1 (Model)'!D68</f>
        <v>Depreciation</v>
      </c>
      <c r="B68" s="136" t="s">
        <v>40</v>
      </c>
      <c r="C68" s="243">
        <f>+P56</f>
        <v>38465.764874109103</v>
      </c>
      <c r="L68" s="33"/>
      <c r="M68" s="6" t="s">
        <v>227</v>
      </c>
      <c r="N68" s="103">
        <f>(C14+C17+C22)*O6</f>
        <v>225136.59471871005</v>
      </c>
      <c r="O68" s="67">
        <f>F9</f>
        <v>0.15</v>
      </c>
      <c r="P68" s="67">
        <f>+O68*N68</f>
        <v>33770.48920780651</v>
      </c>
      <c r="Q68" s="96">
        <f>+P68/P$82</f>
        <v>0.31312588904406252</v>
      </c>
    </row>
    <row r="69" spans="1:17" ht="13" thickBot="1" x14ac:dyDescent="0.3">
      <c r="A69" s="135" t="str">
        <f>+'[1]Block 1 (Model)'!D69</f>
        <v>Property tax (@ 0.01 depreciation)</v>
      </c>
      <c r="B69" s="136" t="s">
        <v>40</v>
      </c>
      <c r="C69" s="243">
        <f t="shared" ref="C69:C71" si="19">+P57</f>
        <v>384.65764874109107</v>
      </c>
      <c r="L69" s="33"/>
      <c r="M69" s="6" t="s">
        <v>228</v>
      </c>
      <c r="N69" s="103">
        <f>C13*O6</f>
        <v>1481581.4062499995</v>
      </c>
      <c r="O69" s="67">
        <f>F10</f>
        <v>0.05</v>
      </c>
      <c r="P69" s="67">
        <f>N69*O69</f>
        <v>74079.070312499985</v>
      </c>
      <c r="Q69" s="96">
        <f>+P69/P$82</f>
        <v>0.68687411095593742</v>
      </c>
    </row>
    <row r="70" spans="1:17" ht="13" thickBot="1" x14ac:dyDescent="0.3">
      <c r="A70" s="135" t="str">
        <f>+'[1]Block 1 (Model)'!D70</f>
        <v>Insurance (@ 0.006 depreciation)</v>
      </c>
      <c r="B70" s="136" t="s">
        <v>40</v>
      </c>
      <c r="C70" s="243">
        <f t="shared" si="19"/>
        <v>230.79458924465462</v>
      </c>
      <c r="L70" s="33"/>
      <c r="N70" s="103"/>
      <c r="O70" s="67"/>
      <c r="P70" s="67"/>
      <c r="Q70" s="96"/>
    </row>
    <row r="71" spans="1:17" ht="13.5" thickBot="1" x14ac:dyDescent="0.35">
      <c r="A71" s="135" t="str">
        <f>+'[1]Block 1 (Model)'!D71</f>
        <v>Purchase tax (@ 0.16 of items 1-12/10)</v>
      </c>
      <c r="B71" s="136" t="s">
        <v>40</v>
      </c>
      <c r="C71" s="243">
        <f t="shared" si="19"/>
        <v>6249.9808468485589</v>
      </c>
      <c r="L71" s="58" t="str">
        <f>+L67</f>
        <v>Item</v>
      </c>
      <c r="M71" s="8" t="s">
        <v>66</v>
      </c>
      <c r="N71" s="8" t="s">
        <v>134</v>
      </c>
      <c r="O71" s="8" t="s">
        <v>135</v>
      </c>
      <c r="P71" s="8" t="s">
        <v>129</v>
      </c>
      <c r="Q71" s="102" t="s">
        <v>117</v>
      </c>
    </row>
    <row r="72" spans="1:17" ht="13" thickBot="1" x14ac:dyDescent="0.3">
      <c r="A72" s="135"/>
      <c r="B72" s="136"/>
      <c r="C72" s="137"/>
      <c r="L72" s="33">
        <f>+L70+1</f>
        <v>1</v>
      </c>
      <c r="M72" s="6" t="s">
        <v>67</v>
      </c>
      <c r="N72" s="27">
        <v>1</v>
      </c>
      <c r="O72" s="67">
        <v>30000</v>
      </c>
      <c r="P72" s="67">
        <f t="shared" ref="P72:P80" si="20">N72*O72</f>
        <v>30000</v>
      </c>
      <c r="Q72" s="96" t="e">
        <f>+P72/P$83</f>
        <v>#REF!</v>
      </c>
    </row>
    <row r="73" spans="1:17" ht="15" customHeight="1" thickBot="1" x14ac:dyDescent="0.4">
      <c r="A73" s="307" t="str">
        <f>+'[1]Block 1 (Model)'!D73</f>
        <v>Direct Production Costs</v>
      </c>
      <c r="B73" s="308"/>
      <c r="C73" s="309"/>
      <c r="L73" s="33">
        <f t="shared" ref="L73:L80" si="21">+L72+1</f>
        <v>2</v>
      </c>
      <c r="M73" s="6" t="s">
        <v>68</v>
      </c>
      <c r="N73" s="27">
        <v>0.2</v>
      </c>
      <c r="O73" s="211">
        <f>O72</f>
        <v>30000</v>
      </c>
      <c r="P73" s="67">
        <f t="shared" si="20"/>
        <v>6000</v>
      </c>
      <c r="Q73" s="96" t="e">
        <f t="shared" ref="Q73:Q80" si="22">+P73/P$83</f>
        <v>#REF!</v>
      </c>
    </row>
    <row r="74" spans="1:17" ht="15" customHeight="1" thickBot="1" x14ac:dyDescent="0.3">
      <c r="A74" s="316" t="str">
        <f>+'[1]Block 1 (Model)'!D74</f>
        <v>Raw materials</v>
      </c>
      <c r="B74" s="317"/>
      <c r="C74" s="318"/>
      <c r="L74" s="33">
        <f t="shared" si="21"/>
        <v>3</v>
      </c>
      <c r="M74" s="6" t="s">
        <v>69</v>
      </c>
      <c r="N74" s="27">
        <v>0.25</v>
      </c>
      <c r="O74" s="67">
        <f>O72+O73</f>
        <v>60000</v>
      </c>
      <c r="P74" s="67">
        <f t="shared" si="20"/>
        <v>15000</v>
      </c>
      <c r="Q74" s="96" t="e">
        <f t="shared" si="22"/>
        <v>#REF!</v>
      </c>
    </row>
    <row r="75" spans="1:17" ht="13" thickBot="1" x14ac:dyDescent="0.3">
      <c r="A75" s="135" t="str">
        <f>M64</f>
        <v>Alcalase (kg)</v>
      </c>
      <c r="B75" s="136" t="s">
        <v>40</v>
      </c>
      <c r="C75" s="243">
        <f>+P64</f>
        <v>1356986.7899999998</v>
      </c>
      <c r="L75" s="33">
        <f t="shared" si="21"/>
        <v>4</v>
      </c>
      <c r="M75" s="6" t="s">
        <v>70</v>
      </c>
      <c r="N75" s="27">
        <v>0.04</v>
      </c>
      <c r="O75" s="67">
        <f>P38</f>
        <v>119323.08373887824</v>
      </c>
      <c r="P75" s="67">
        <f t="shared" si="20"/>
        <v>4772.9233495551298</v>
      </c>
      <c r="Q75" s="96" t="e">
        <f t="shared" si="22"/>
        <v>#REF!</v>
      </c>
    </row>
    <row r="76" spans="1:17" ht="13" thickBot="1" x14ac:dyDescent="0.3">
      <c r="A76" s="135" t="str">
        <f t="shared" ref="A76" si="23">M65</f>
        <v>Flavourzyme (kg)</v>
      </c>
      <c r="B76" s="136" t="s">
        <v>40</v>
      </c>
      <c r="C76" s="243">
        <f t="shared" ref="C76:C94" si="24">+P65</f>
        <v>3044543.4562499993</v>
      </c>
      <c r="L76" s="33">
        <f t="shared" si="21"/>
        <v>5</v>
      </c>
      <c r="M76" s="6" t="s">
        <v>193</v>
      </c>
      <c r="N76" s="27">
        <v>4.0000000000000001E-3</v>
      </c>
      <c r="O76" s="67" t="e">
        <f>SUM(P64:P66)</f>
        <v>#REF!</v>
      </c>
      <c r="P76" s="67" t="e">
        <f t="shared" si="20"/>
        <v>#REF!</v>
      </c>
      <c r="Q76" s="96" t="e">
        <f t="shared" si="22"/>
        <v>#REF!</v>
      </c>
    </row>
    <row r="77" spans="1:17" ht="13" thickBot="1" x14ac:dyDescent="0.3">
      <c r="A77" s="135" t="str">
        <f>M66</f>
        <v>Microalgae (kg)</v>
      </c>
      <c r="B77" s="136" t="s">
        <v>40</v>
      </c>
      <c r="C77" s="243" t="e">
        <f>P66</f>
        <v>#REF!</v>
      </c>
      <c r="L77" s="33">
        <f t="shared" si="21"/>
        <v>6</v>
      </c>
      <c r="M77" s="6" t="s">
        <v>72</v>
      </c>
      <c r="N77" s="27">
        <v>0.55000000000000004</v>
      </c>
      <c r="O77" s="67">
        <f>O72+O73+O75</f>
        <v>179323.08373887825</v>
      </c>
      <c r="P77" s="67">
        <f t="shared" si="20"/>
        <v>98627.696056383051</v>
      </c>
      <c r="Q77" s="96" t="e">
        <f t="shared" si="22"/>
        <v>#REF!</v>
      </c>
    </row>
    <row r="78" spans="1:17" ht="15" customHeight="1" thickBot="1" x14ac:dyDescent="0.3">
      <c r="A78" s="316" t="str">
        <f>+'[1]Block 1 (Model)'!D78</f>
        <v>Utilities</v>
      </c>
      <c r="B78" s="317"/>
      <c r="C78" s="318"/>
      <c r="L78" s="33">
        <f t="shared" si="21"/>
        <v>7</v>
      </c>
      <c r="M78" s="6" t="s">
        <v>194</v>
      </c>
      <c r="N78" s="27">
        <v>0.16</v>
      </c>
      <c r="O78" s="67" t="e">
        <f>SUM(P64:P66)+SUM(P68:P70)+O75+O76</f>
        <v>#REF!</v>
      </c>
      <c r="P78" s="67" t="e">
        <f t="shared" si="20"/>
        <v>#REF!</v>
      </c>
      <c r="Q78" s="96" t="e">
        <f t="shared" si="22"/>
        <v>#REF!</v>
      </c>
    </row>
    <row r="79" spans="1:17" ht="13" thickBot="1" x14ac:dyDescent="0.3">
      <c r="A79" s="135" t="str">
        <f>M68</f>
        <v>Power consumption mixing (kWh)</v>
      </c>
      <c r="B79" s="136" t="s">
        <v>40</v>
      </c>
      <c r="C79" s="243">
        <f t="shared" si="24"/>
        <v>33770.48920780651</v>
      </c>
      <c r="L79" s="33">
        <f t="shared" si="21"/>
        <v>8</v>
      </c>
      <c r="M79" s="6" t="s">
        <v>195</v>
      </c>
      <c r="N79" s="27">
        <v>0.05</v>
      </c>
      <c r="O79" s="67" t="e">
        <f>SUM(P64:P66)+SUM(P68:P70)</f>
        <v>#REF!</v>
      </c>
      <c r="P79" s="67" t="e">
        <f t="shared" si="20"/>
        <v>#REF!</v>
      </c>
      <c r="Q79" s="96" t="e">
        <f t="shared" si="22"/>
        <v>#REF!</v>
      </c>
    </row>
    <row r="80" spans="1:17" ht="13" thickBot="1" x14ac:dyDescent="0.3">
      <c r="A80" s="135" t="str">
        <f t="shared" ref="A80" si="25">M69</f>
        <v>Power consumption heating (kWh)</v>
      </c>
      <c r="B80" s="136" t="s">
        <v>40</v>
      </c>
      <c r="C80" s="243">
        <f t="shared" si="24"/>
        <v>74079.070312499985</v>
      </c>
      <c r="L80" s="33">
        <f t="shared" si="21"/>
        <v>9</v>
      </c>
      <c r="M80" s="6" t="s">
        <v>196</v>
      </c>
      <c r="N80" s="27">
        <v>0.05</v>
      </c>
      <c r="O80" s="67" t="e">
        <f>SUM(P64:P66)+SUM(P68:P70)+SUM(P72:P77)</f>
        <v>#REF!</v>
      </c>
      <c r="P80" s="67" t="e">
        <f t="shared" si="20"/>
        <v>#REF!</v>
      </c>
      <c r="Q80" s="96" t="e">
        <f t="shared" si="22"/>
        <v>#REF!</v>
      </c>
    </row>
    <row r="81" spans="1:20" ht="13.5" thickBot="1" x14ac:dyDescent="0.35">
      <c r="A81" s="135"/>
      <c r="B81" s="136"/>
      <c r="C81" s="139"/>
      <c r="L81" s="50"/>
      <c r="M81" s="55" t="s">
        <v>76</v>
      </c>
      <c r="N81" s="55"/>
      <c r="O81" s="55"/>
      <c r="P81" s="104" t="e">
        <f>+SUM(P64:P66)</f>
        <v>#REF!</v>
      </c>
      <c r="Q81" s="101"/>
    </row>
    <row r="82" spans="1:20" ht="15" customHeight="1" thickBot="1" x14ac:dyDescent="0.35">
      <c r="A82" s="316" t="str">
        <f>+'[1]Block 1 (Model)'!D82</f>
        <v>Labor and others</v>
      </c>
      <c r="B82" s="317"/>
      <c r="C82" s="318"/>
      <c r="L82" s="105"/>
      <c r="M82" s="26" t="s">
        <v>77</v>
      </c>
      <c r="N82" s="26"/>
      <c r="O82" s="26"/>
      <c r="P82" s="106">
        <f>+SUM(P68:P70)</f>
        <v>107849.5595203065</v>
      </c>
      <c r="Q82" s="96"/>
      <c r="R82" s="11"/>
    </row>
    <row r="83" spans="1:20" ht="13.5" thickBot="1" x14ac:dyDescent="0.35">
      <c r="A83" s="135" t="str">
        <f>M72</f>
        <v>Labor</v>
      </c>
      <c r="B83" s="136" t="str">
        <f>+'[1]Block 1 (Model)'!E83</f>
        <v>€</v>
      </c>
      <c r="C83" s="243">
        <f t="shared" si="24"/>
        <v>30000</v>
      </c>
      <c r="L83" s="107"/>
      <c r="M83" s="108" t="s">
        <v>78</v>
      </c>
      <c r="N83" s="108"/>
      <c r="O83" s="108"/>
      <c r="P83" s="109" t="e">
        <f>+SUM(P72:P80)</f>
        <v>#REF!</v>
      </c>
      <c r="Q83" s="110"/>
      <c r="R83" s="11"/>
    </row>
    <row r="84" spans="1:20" ht="13" thickBot="1" x14ac:dyDescent="0.3">
      <c r="A84" s="135" t="str">
        <f t="shared" ref="A84:A91" si="26">M73</f>
        <v>Supervision (@ 0.2 labor)</v>
      </c>
      <c r="B84" s="136" t="str">
        <f>+'[1]Block 1 (Model)'!E84</f>
        <v>€</v>
      </c>
      <c r="C84" s="243">
        <f t="shared" si="24"/>
        <v>6000</v>
      </c>
    </row>
    <row r="85" spans="1:20" ht="13" thickBot="1" x14ac:dyDescent="0.3">
      <c r="A85" s="135" t="str">
        <f t="shared" si="26"/>
        <v>Payroll charges (@ 0.25 (labor + supervision))</v>
      </c>
      <c r="B85" s="136" t="str">
        <f>+'[1]Block 1 (Model)'!E85</f>
        <v>€</v>
      </c>
      <c r="C85" s="243">
        <f t="shared" si="24"/>
        <v>15000</v>
      </c>
      <c r="R85" s="11"/>
    </row>
    <row r="86" spans="1:20" ht="13.5" thickBot="1" x14ac:dyDescent="0.35">
      <c r="A86" s="135" t="str">
        <f t="shared" si="26"/>
        <v>Maintenance (@ 0.04 MEC)</v>
      </c>
      <c r="B86" s="136" t="str">
        <f>+'[1]Block 1 (Model)'!E86</f>
        <v>€</v>
      </c>
      <c r="C86" s="243">
        <f t="shared" si="24"/>
        <v>4772.9233495551298</v>
      </c>
      <c r="L86" s="58" t="s">
        <v>136</v>
      </c>
      <c r="M86" s="8"/>
      <c r="N86" s="8"/>
      <c r="O86" s="8"/>
      <c r="P86" s="111"/>
      <c r="R86" s="11"/>
    </row>
    <row r="87" spans="1:20" ht="13.5" thickBot="1" x14ac:dyDescent="0.35">
      <c r="A87" s="135" t="str">
        <f t="shared" si="26"/>
        <v>Operating supplies (@ 0.004 items raw material)</v>
      </c>
      <c r="B87" s="136" t="str">
        <f>+'[1]Block 1 (Model)'!E87</f>
        <v>€</v>
      </c>
      <c r="C87" s="243" t="e">
        <f t="shared" si="24"/>
        <v>#REF!</v>
      </c>
      <c r="L87" s="58" t="s">
        <v>112</v>
      </c>
      <c r="M87" s="8" t="s">
        <v>137</v>
      </c>
      <c r="N87" s="8"/>
      <c r="O87" s="8" t="s">
        <v>129</v>
      </c>
      <c r="P87" s="111" t="s">
        <v>84</v>
      </c>
      <c r="S87" s="25"/>
      <c r="T87" s="25"/>
    </row>
    <row r="88" spans="1:20" ht="13" thickBot="1" x14ac:dyDescent="0.3">
      <c r="A88" s="135" t="str">
        <f t="shared" si="26"/>
        <v>General plant overheads (@ 0.55 (labor + supervision + maintenance))</v>
      </c>
      <c r="B88" s="136" t="str">
        <f>+'[1]Block 1 (Model)'!E88</f>
        <v>€</v>
      </c>
      <c r="C88" s="243">
        <f t="shared" si="24"/>
        <v>98627.696056383051</v>
      </c>
      <c r="L88" s="112">
        <v>1</v>
      </c>
      <c r="M88" s="113" t="str">
        <f>+M60</f>
        <v>Total fix capital per annun</v>
      </c>
      <c r="N88" s="113"/>
      <c r="O88" s="247">
        <f>+P60</f>
        <v>45331.197958943405</v>
      </c>
      <c r="P88" s="115" t="e">
        <f>+O88/O$94</f>
        <v>#REF!</v>
      </c>
    </row>
    <row r="89" spans="1:20" ht="13" thickBot="1" x14ac:dyDescent="0.3">
      <c r="A89" s="135" t="str">
        <f t="shared" si="26"/>
        <v>Tax (@ 0.16 items raw material + utilities + maintance + operating supply)</v>
      </c>
      <c r="B89" s="136" t="str">
        <f>+'[1]Block 1 (Model)'!E89</f>
        <v>€</v>
      </c>
      <c r="C89" s="243" t="e">
        <f t="shared" si="24"/>
        <v>#REF!</v>
      </c>
      <c r="L89" s="33">
        <v>2</v>
      </c>
      <c r="M89" s="22" t="str">
        <f>+M81</f>
        <v>Total raw materials</v>
      </c>
      <c r="N89" s="22"/>
      <c r="O89" s="238" t="e">
        <f>+P81</f>
        <v>#REF!</v>
      </c>
      <c r="P89" s="116" t="e">
        <f>+O89/O$94</f>
        <v>#REF!</v>
      </c>
    </row>
    <row r="90" spans="1:20" ht="13" thickBot="1" x14ac:dyDescent="0.3">
      <c r="A90" s="135" t="str">
        <f t="shared" si="26"/>
        <v>Contingency (@ 0.05 items raw material + utilities)</v>
      </c>
      <c r="B90" s="136" t="str">
        <f>+'[1]Block 1 (Model)'!E90</f>
        <v>€</v>
      </c>
      <c r="C90" s="243" t="e">
        <f t="shared" si="24"/>
        <v>#REF!</v>
      </c>
      <c r="L90" s="33">
        <v>3</v>
      </c>
      <c r="M90" s="22" t="str">
        <f>+M82</f>
        <v>Total utilities</v>
      </c>
      <c r="N90" s="22"/>
      <c r="O90" s="238">
        <f>+P82</f>
        <v>107849.5595203065</v>
      </c>
      <c r="P90" s="116" t="e">
        <f>+O90/O$94</f>
        <v>#REF!</v>
      </c>
    </row>
    <row r="91" spans="1:20" ht="13" thickBot="1" x14ac:dyDescent="0.3">
      <c r="A91" s="135" t="str">
        <f t="shared" si="26"/>
        <v>Marketing (@ 0.05 items raw material + utilities + supervision + payroll + maintance + operating + general overheads)</v>
      </c>
      <c r="B91" s="136" t="str">
        <f>+'[1]Block 1 (Model)'!E91</f>
        <v>€</v>
      </c>
      <c r="C91" s="243" t="e">
        <f t="shared" si="24"/>
        <v>#REF!</v>
      </c>
      <c r="L91" s="33">
        <v>4</v>
      </c>
      <c r="M91" s="22" t="str">
        <f>+M83</f>
        <v>Total labor and others</v>
      </c>
      <c r="N91" s="22"/>
      <c r="O91" s="248" t="e">
        <f>+P83</f>
        <v>#REF!</v>
      </c>
      <c r="P91" s="116" t="e">
        <f>+O91/O$94</f>
        <v>#REF!</v>
      </c>
    </row>
    <row r="92" spans="1:20" ht="13.5" thickBot="1" x14ac:dyDescent="0.35">
      <c r="A92" s="244" t="str">
        <f>M81</f>
        <v>Total raw materials</v>
      </c>
      <c r="B92" s="245" t="str">
        <f>+'[1]Block 1 (Model)'!E92</f>
        <v>€</v>
      </c>
      <c r="C92" s="246" t="e">
        <f t="shared" si="24"/>
        <v>#REF!</v>
      </c>
      <c r="L92" s="35"/>
      <c r="M92" s="55" t="str">
        <f>+M88</f>
        <v>Total fix capital per annun</v>
      </c>
      <c r="N92" s="55"/>
      <c r="O92" s="249">
        <f>+O88</f>
        <v>45331.197958943405</v>
      </c>
      <c r="P92" s="117" t="e">
        <f>+O92/O94</f>
        <v>#REF!</v>
      </c>
    </row>
    <row r="93" spans="1:20" ht="13.5" thickBot="1" x14ac:dyDescent="0.35">
      <c r="A93" s="244" t="str">
        <f>M82</f>
        <v>Total utilities</v>
      </c>
      <c r="B93" s="245" t="str">
        <f>+'[1]Block 1 (Model)'!E93</f>
        <v>€</v>
      </c>
      <c r="C93" s="246">
        <f t="shared" si="24"/>
        <v>107849.5595203065</v>
      </c>
      <c r="L93" s="105"/>
      <c r="M93" s="26" t="s">
        <v>138</v>
      </c>
      <c r="N93" s="26"/>
      <c r="O93" s="249" t="e">
        <f>+P83+P82+P81</f>
        <v>#REF!</v>
      </c>
      <c r="P93" s="118" t="e">
        <f>+O93/O94</f>
        <v>#REF!</v>
      </c>
    </row>
    <row r="94" spans="1:20" ht="13.5" thickBot="1" x14ac:dyDescent="0.35">
      <c r="A94" s="244" t="str">
        <f>M83</f>
        <v>Total labor and others</v>
      </c>
      <c r="B94" s="245" t="str">
        <f>+'[1]Block 1 (Model)'!E94</f>
        <v>€</v>
      </c>
      <c r="C94" s="246" t="e">
        <f t="shared" si="24"/>
        <v>#REF!</v>
      </c>
      <c r="L94" s="58"/>
      <c r="M94" s="8" t="s">
        <v>139</v>
      </c>
      <c r="N94" s="8"/>
      <c r="O94" s="250" t="e">
        <f>+O93+P60</f>
        <v>#REF!</v>
      </c>
      <c r="P94" s="119"/>
    </row>
    <row r="95" spans="1:20" ht="13.5" thickBot="1" x14ac:dyDescent="0.35">
      <c r="A95" s="244" t="str">
        <f>M92</f>
        <v>Total fix capital per annun</v>
      </c>
      <c r="B95" s="245" t="str">
        <f>+'[1]Block 1 (Model)'!E95</f>
        <v>€</v>
      </c>
      <c r="C95" s="251">
        <f>O92</f>
        <v>45331.197958943405</v>
      </c>
      <c r="L95" s="107"/>
      <c r="M95" s="108" t="s">
        <v>234</v>
      </c>
      <c r="N95" s="108"/>
      <c r="O95" s="143" t="e">
        <f>+O94/(O7*1000)</f>
        <v>#REF!</v>
      </c>
      <c r="P95" s="120"/>
    </row>
    <row r="96" spans="1:20" ht="15" thickBot="1" x14ac:dyDescent="0.4">
      <c r="A96" s="135" t="str">
        <f>M95</f>
        <v>Unit cost of producing bioestimulant (€/kg)</v>
      </c>
      <c r="B96" s="136" t="s">
        <v>87</v>
      </c>
      <c r="C96" s="252" t="e">
        <f>+O95</f>
        <v>#REF!</v>
      </c>
    </row>
  </sheetData>
  <mergeCells count="12">
    <mergeCell ref="A5:C5"/>
    <mergeCell ref="A6:C6"/>
    <mergeCell ref="A28:C28"/>
    <mergeCell ref="A82:C82"/>
    <mergeCell ref="A15:C15"/>
    <mergeCell ref="A39:C39"/>
    <mergeCell ref="A50:C50"/>
    <mergeCell ref="A66:C66"/>
    <mergeCell ref="A73:C73"/>
    <mergeCell ref="A74:C74"/>
    <mergeCell ref="A78:C78"/>
    <mergeCell ref="A20:C20"/>
  </mergeCells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Abstract</vt:lpstr>
      <vt:lpstr>Model</vt:lpstr>
      <vt:lpstr>Fertilizer</vt:lpstr>
      <vt:lpstr>Manure</vt:lpstr>
      <vt:lpstr>Manpower</vt:lpstr>
      <vt:lpstr>Productivity</vt:lpstr>
      <vt:lpstr>Reactor</vt:lpstr>
      <vt:lpstr>Block 2 (Model)</vt:lpstr>
      <vt:lpstr>Block 2 (Bioestimulant)</vt:lpstr>
    </vt:vector>
  </TitlesOfParts>
  <Company>Imperial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DXX09</dc:creator>
  <cp:lastModifiedBy>SILVIA BOLADO RODRIGUEZ</cp:lastModifiedBy>
  <cp:lastPrinted>2011-06-03T07:35:09Z</cp:lastPrinted>
  <dcterms:created xsi:type="dcterms:W3CDTF">2011-06-01T12:25:11Z</dcterms:created>
  <dcterms:modified xsi:type="dcterms:W3CDTF">2025-07-19T10:28:13Z</dcterms:modified>
</cp:coreProperties>
</file>