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0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vaes-my.sharepoint.com/personal/elenamaria_rojo_uva_es/Documents/Doctorado/TEA y LCA/TEA GREENFARM/Final/"/>
    </mc:Choice>
  </mc:AlternateContent>
  <xr:revisionPtr revIDLastSave="378" documentId="13_ncr:1_{E505B1A6-0FBD-42C3-9C16-BE4A7599557F}" xr6:coauthVersionLast="47" xr6:coauthVersionMax="47" xr10:uidLastSave="{8892FA0A-15CD-49B7-AAFE-2E5F66FC6ED5}"/>
  <bookViews>
    <workbookView xWindow="-21720" yWindow="-120" windowWidth="21840" windowHeight="13140" firstSheet="4" activeTab="7" xr2:uid="{00000000-000D-0000-FFFF-FFFF00000000}"/>
  </bookViews>
  <sheets>
    <sheet name="Sensibilidad proceso 1" sheetId="9" r:id="rId1"/>
    <sheet name="Sensibilidad proceso 2" sheetId="12" r:id="rId2"/>
    <sheet name="Sensibilidad proceso 3" sheetId="21" r:id="rId3"/>
    <sheet name="Sensibilidad proceso 4" sheetId="74" r:id="rId4"/>
    <sheet name="Graficas (OK)" sheetId="76" r:id="rId5"/>
    <sheet name="Escenario 1" sheetId="51" r:id="rId6"/>
    <sheet name="Escenario 2" sheetId="7" r:id="rId7"/>
    <sheet name="Escenario 3 (acet)" sheetId="92" r:id="rId8"/>
    <sheet name="Escenario 4 (acet)" sheetId="93" r:id="rId9"/>
    <sheet name="Escenario 3 (acet) (2)" sheetId="94" r:id="rId10"/>
    <sheet name="Escenario 4 (acet) (2)" sheetId="95" r:id="rId11"/>
    <sheet name="ASPEN" sheetId="80" r:id="rId12"/>
  </sheets>
  <definedNames>
    <definedName name="solver_adj" localSheetId="5" hidden="1">'Escenario 1'!$O$63</definedName>
    <definedName name="solver_adj" localSheetId="6" hidden="1">'Escenario 2'!$O$63</definedName>
    <definedName name="solver_adj" localSheetId="7" hidden="1">'Escenario 3 (acet)'!$X$15</definedName>
    <definedName name="solver_adj" localSheetId="9" hidden="1">'Escenario 3 (acet) (2)'!$O$69</definedName>
    <definedName name="solver_adj" localSheetId="8" hidden="1">'Escenario 4 (acet)'!$O$69</definedName>
    <definedName name="solver_adj" localSheetId="10" hidden="1">'Escenario 4 (acet) (2)'!$O$69</definedName>
    <definedName name="solver_adj" localSheetId="4" hidden="1">'Graficas (OK)'!$F$49</definedName>
    <definedName name="solver_cvg" localSheetId="5" hidden="1">0.0001</definedName>
    <definedName name="solver_cvg" localSheetId="6" hidden="1">0.0001</definedName>
    <definedName name="solver_cvg" localSheetId="7" hidden="1">0.0001</definedName>
    <definedName name="solver_cvg" localSheetId="9" hidden="1">0.0001</definedName>
    <definedName name="solver_cvg" localSheetId="8" hidden="1">0.0001</definedName>
    <definedName name="solver_cvg" localSheetId="10" hidden="1">0.0001</definedName>
    <definedName name="solver_cvg" localSheetId="4" hidden="1">0.0001</definedName>
    <definedName name="solver_drv" localSheetId="5" hidden="1">1</definedName>
    <definedName name="solver_drv" localSheetId="6" hidden="1">1</definedName>
    <definedName name="solver_drv" localSheetId="7" hidden="1">1</definedName>
    <definedName name="solver_drv" localSheetId="9" hidden="1">1</definedName>
    <definedName name="solver_drv" localSheetId="8" hidden="1">1</definedName>
    <definedName name="solver_drv" localSheetId="10" hidden="1">1</definedName>
    <definedName name="solver_drv" localSheetId="4" hidden="1">2</definedName>
    <definedName name="solver_eng" localSheetId="5" hidden="1">1</definedName>
    <definedName name="solver_eng" localSheetId="6" hidden="1">1</definedName>
    <definedName name="solver_eng" localSheetId="7" hidden="1">1</definedName>
    <definedName name="solver_eng" localSheetId="9" hidden="1">1</definedName>
    <definedName name="solver_eng" localSheetId="8" hidden="1">1</definedName>
    <definedName name="solver_eng" localSheetId="10" hidden="1">1</definedName>
    <definedName name="solver_eng" localSheetId="4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9" hidden="1">1</definedName>
    <definedName name="solver_est" localSheetId="8" hidden="1">1</definedName>
    <definedName name="solver_est" localSheetId="10" hidden="1">1</definedName>
    <definedName name="solver_est" localSheetId="4" hidden="1">1</definedName>
    <definedName name="solver_itr" localSheetId="5" hidden="1">2147483647</definedName>
    <definedName name="solver_itr" localSheetId="6" hidden="1">2147483647</definedName>
    <definedName name="solver_itr" localSheetId="7" hidden="1">2147483647</definedName>
    <definedName name="solver_itr" localSheetId="9" hidden="1">2147483647</definedName>
    <definedName name="solver_itr" localSheetId="8" hidden="1">2147483647</definedName>
    <definedName name="solver_itr" localSheetId="10" hidden="1">2147483647</definedName>
    <definedName name="solver_itr" localSheetId="4" hidden="1">2147483647</definedName>
    <definedName name="solver_lhs1" localSheetId="5" hidden="1">'Escenario 1'!$C$180</definedName>
    <definedName name="solver_lhs1" localSheetId="6" hidden="1">'Escenario 2'!$C$180</definedName>
    <definedName name="solver_lhs1" localSheetId="7" hidden="1">'Escenario 3 (acet)'!$C$203</definedName>
    <definedName name="solver_lhs1" localSheetId="9" hidden="1">'Escenario 3 (acet) (2)'!$C$203</definedName>
    <definedName name="solver_lhs1" localSheetId="8" hidden="1">'Escenario 4 (acet)'!$C$203</definedName>
    <definedName name="solver_lhs1" localSheetId="10" hidden="1">'Escenario 4 (acet) (2)'!$C$203</definedName>
    <definedName name="solver_lhs2" localSheetId="7" hidden="1">'Escenario 3 (acet)'!$Y$17</definedName>
    <definedName name="solver_lhs2" localSheetId="9" hidden="1">'Escenario 3 (acet) (2)'!$Y$17</definedName>
    <definedName name="solver_lhs2" localSheetId="8" hidden="1">'Escenario 4 (acet)'!$Y$17</definedName>
    <definedName name="solver_lhs2" localSheetId="10" hidden="1">'Escenario 4 (acet) (2)'!$Y$17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9" hidden="1">2147483647</definedName>
    <definedName name="solver_mip" localSheetId="8" hidden="1">2147483647</definedName>
    <definedName name="solver_mip" localSheetId="10" hidden="1">2147483647</definedName>
    <definedName name="solver_mip" localSheetId="4" hidden="1">2147483647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9" hidden="1">30</definedName>
    <definedName name="solver_mni" localSheetId="8" hidden="1">30</definedName>
    <definedName name="solver_mni" localSheetId="10" hidden="1">30</definedName>
    <definedName name="solver_mni" localSheetId="4" hidden="1">30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9" hidden="1">0.075</definedName>
    <definedName name="solver_mrt" localSheetId="8" hidden="1">0.075</definedName>
    <definedName name="solver_mrt" localSheetId="10" hidden="1">0.075</definedName>
    <definedName name="solver_mrt" localSheetId="4" hidden="1">0.075</definedName>
    <definedName name="solver_msl" localSheetId="5" hidden="1">2</definedName>
    <definedName name="solver_msl" localSheetId="6" hidden="1">2</definedName>
    <definedName name="solver_msl" localSheetId="7" hidden="1">2</definedName>
    <definedName name="solver_msl" localSheetId="9" hidden="1">2</definedName>
    <definedName name="solver_msl" localSheetId="8" hidden="1">2</definedName>
    <definedName name="solver_msl" localSheetId="10" hidden="1">2</definedName>
    <definedName name="solver_msl" localSheetId="4" hidden="1">2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9" hidden="1">1</definedName>
    <definedName name="solver_neg" localSheetId="8" hidden="1">1</definedName>
    <definedName name="solver_neg" localSheetId="10" hidden="1">1</definedName>
    <definedName name="solver_neg" localSheetId="4" hidden="1">1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9" hidden="1">2147483647</definedName>
    <definedName name="solver_nod" localSheetId="8" hidden="1">2147483647</definedName>
    <definedName name="solver_nod" localSheetId="10" hidden="1">2147483647</definedName>
    <definedName name="solver_nod" localSheetId="4" hidden="1">2147483647</definedName>
    <definedName name="solver_num" localSheetId="5" hidden="1">1</definedName>
    <definedName name="solver_num" localSheetId="6" hidden="1">1</definedName>
    <definedName name="solver_num" localSheetId="7" hidden="1">0</definedName>
    <definedName name="solver_num" localSheetId="9" hidden="1">0</definedName>
    <definedName name="solver_num" localSheetId="8" hidden="1">0</definedName>
    <definedName name="solver_num" localSheetId="10" hidden="1">0</definedName>
    <definedName name="solver_num" localSheetId="4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9" hidden="1">1</definedName>
    <definedName name="solver_nwt" localSheetId="8" hidden="1">1</definedName>
    <definedName name="solver_nwt" localSheetId="10" hidden="1">1</definedName>
    <definedName name="solver_nwt" localSheetId="4" hidden="1">1</definedName>
    <definedName name="solver_opt" localSheetId="5" hidden="1">'Escenario 1'!$N$163</definedName>
    <definedName name="solver_opt" localSheetId="6" hidden="1">'Escenario 2'!$N$163</definedName>
    <definedName name="solver_opt" localSheetId="7" hidden="1">'Escenario 3 (acet)'!$AG$15</definedName>
    <definedName name="solver_opt" localSheetId="9" hidden="1">'Escenario 3 (acet) (2)'!$N$184</definedName>
    <definedName name="solver_opt" localSheetId="8" hidden="1">'Escenario 4 (acet)'!$N$184</definedName>
    <definedName name="solver_opt" localSheetId="10" hidden="1">'Escenario 4 (acet) (2)'!$N$184</definedName>
    <definedName name="solver_opt" localSheetId="4" hidden="1">'Graficas (OK)'!$F$55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pre" localSheetId="9" hidden="1">0.000001</definedName>
    <definedName name="solver_pre" localSheetId="8" hidden="1">0.000001</definedName>
    <definedName name="solver_pre" localSheetId="10" hidden="1">0.000001</definedName>
    <definedName name="solver_pre" localSheetId="4" hidden="1">0.000001</definedName>
    <definedName name="solver_rbv" localSheetId="5" hidden="1">1</definedName>
    <definedName name="solver_rbv" localSheetId="6" hidden="1">1</definedName>
    <definedName name="solver_rbv" localSheetId="7" hidden="1">1</definedName>
    <definedName name="solver_rbv" localSheetId="9" hidden="1">1</definedName>
    <definedName name="solver_rbv" localSheetId="8" hidden="1">1</definedName>
    <definedName name="solver_rbv" localSheetId="10" hidden="1">1</definedName>
    <definedName name="solver_rbv" localSheetId="4" hidden="1">2</definedName>
    <definedName name="solver_rel1" localSheetId="5" hidden="1">3</definedName>
    <definedName name="solver_rel1" localSheetId="6" hidden="1">3</definedName>
    <definedName name="solver_rel1" localSheetId="7" hidden="1">3</definedName>
    <definedName name="solver_rel1" localSheetId="9" hidden="1">3</definedName>
    <definedName name="solver_rel1" localSheetId="8" hidden="1">3</definedName>
    <definedName name="solver_rel1" localSheetId="10" hidden="1">3</definedName>
    <definedName name="solver_rel2" localSheetId="7" hidden="1">3</definedName>
    <definedName name="solver_rel2" localSheetId="9" hidden="1">3</definedName>
    <definedName name="solver_rel2" localSheetId="8" hidden="1">3</definedName>
    <definedName name="solver_rel2" localSheetId="10" hidden="1">3</definedName>
    <definedName name="solver_rhs1" localSheetId="5" hidden="1">0</definedName>
    <definedName name="solver_rhs1" localSheetId="6" hidden="1">0</definedName>
    <definedName name="solver_rhs1" localSheetId="7" hidden="1">0</definedName>
    <definedName name="solver_rhs1" localSheetId="9" hidden="1">0</definedName>
    <definedName name="solver_rhs1" localSheetId="8" hidden="1">0</definedName>
    <definedName name="solver_rhs1" localSheetId="10" hidden="1">0</definedName>
    <definedName name="solver_rhs2" localSheetId="7" hidden="1">0</definedName>
    <definedName name="solver_rhs2" localSheetId="9" hidden="1">0</definedName>
    <definedName name="solver_rhs2" localSheetId="8" hidden="1">0</definedName>
    <definedName name="solver_rhs2" localSheetId="10" hidden="1">0</definedName>
    <definedName name="solver_rlx" localSheetId="5" hidden="1">2</definedName>
    <definedName name="solver_rlx" localSheetId="6" hidden="1">2</definedName>
    <definedName name="solver_rlx" localSheetId="7" hidden="1">2</definedName>
    <definedName name="solver_rlx" localSheetId="9" hidden="1">2</definedName>
    <definedName name="solver_rlx" localSheetId="8" hidden="1">2</definedName>
    <definedName name="solver_rlx" localSheetId="10" hidden="1">2</definedName>
    <definedName name="solver_rlx" localSheetId="4" hidden="1">2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9" hidden="1">0</definedName>
    <definedName name="solver_rsd" localSheetId="8" hidden="1">0</definedName>
    <definedName name="solver_rsd" localSheetId="10" hidden="1">0</definedName>
    <definedName name="solver_rsd" localSheetId="4" hidden="1">0</definedName>
    <definedName name="solver_scl" localSheetId="5" hidden="1">1</definedName>
    <definedName name="solver_scl" localSheetId="6" hidden="1">1</definedName>
    <definedName name="solver_scl" localSheetId="7" hidden="1">1</definedName>
    <definedName name="solver_scl" localSheetId="9" hidden="1">1</definedName>
    <definedName name="solver_scl" localSheetId="8" hidden="1">1</definedName>
    <definedName name="solver_scl" localSheetId="10" hidden="1">1</definedName>
    <definedName name="solver_scl" localSheetId="4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9" hidden="1">2</definedName>
    <definedName name="solver_sho" localSheetId="8" hidden="1">2</definedName>
    <definedName name="solver_sho" localSheetId="10" hidden="1">2</definedName>
    <definedName name="solver_sho" localSheetId="4" hidden="1">2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9" hidden="1">100</definedName>
    <definedName name="solver_ssz" localSheetId="8" hidden="1">100</definedName>
    <definedName name="solver_ssz" localSheetId="10" hidden="1">100</definedName>
    <definedName name="solver_ssz" localSheetId="4" hidden="1">100</definedName>
    <definedName name="solver_tim" localSheetId="5" hidden="1">2147483647</definedName>
    <definedName name="solver_tim" localSheetId="6" hidden="1">2147483647</definedName>
    <definedName name="solver_tim" localSheetId="7" hidden="1">2147483647</definedName>
    <definedName name="solver_tim" localSheetId="9" hidden="1">2147483647</definedName>
    <definedName name="solver_tim" localSheetId="8" hidden="1">2147483647</definedName>
    <definedName name="solver_tim" localSheetId="10" hidden="1">2147483647</definedName>
    <definedName name="solver_tim" localSheetId="4" hidden="1">2147483647</definedName>
    <definedName name="solver_tol" localSheetId="5" hidden="1">0.01</definedName>
    <definedName name="solver_tol" localSheetId="6" hidden="1">0.01</definedName>
    <definedName name="solver_tol" localSheetId="7" hidden="1">0.01</definedName>
    <definedName name="solver_tol" localSheetId="9" hidden="1">0.01</definedName>
    <definedName name="solver_tol" localSheetId="8" hidden="1">0.01</definedName>
    <definedName name="solver_tol" localSheetId="10" hidden="1">0.01</definedName>
    <definedName name="solver_tol" localSheetId="4" hidden="1">0.01</definedName>
    <definedName name="solver_typ" localSheetId="5" hidden="1">3</definedName>
    <definedName name="solver_typ" localSheetId="6" hidden="1">3</definedName>
    <definedName name="solver_typ" localSheetId="7" hidden="1">3</definedName>
    <definedName name="solver_typ" localSheetId="9" hidden="1">3</definedName>
    <definedName name="solver_typ" localSheetId="8" hidden="1">3</definedName>
    <definedName name="solver_typ" localSheetId="10" hidden="1">3</definedName>
    <definedName name="solver_typ" localSheetId="4" hidden="1">3</definedName>
    <definedName name="solver_val" localSheetId="5" hidden="1">14.4</definedName>
    <definedName name="solver_val" localSheetId="6" hidden="1">14.4</definedName>
    <definedName name="solver_val" localSheetId="7" hidden="1">0</definedName>
    <definedName name="solver_val" localSheetId="9" hidden="1">14.4</definedName>
    <definedName name="solver_val" localSheetId="8" hidden="1">14.4</definedName>
    <definedName name="solver_val" localSheetId="10" hidden="1">14.4</definedName>
    <definedName name="solver_val" localSheetId="4" hidden="1">82.7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9" hidden="1">3</definedName>
    <definedName name="solver_ver" localSheetId="8" hidden="1">3</definedName>
    <definedName name="solver_ver" localSheetId="10" hidden="1">3</definedName>
    <definedName name="solver_ver" localSheetId="4" hidden="1">3</definedName>
  </definedNames>
  <calcPr calcId="191028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2" i="92" l="1"/>
  <c r="D27" i="51"/>
  <c r="W9" i="92"/>
  <c r="C239" i="95" l="1"/>
  <c r="C235" i="95"/>
  <c r="D220" i="95"/>
  <c r="D221" i="95" s="1"/>
  <c r="D207" i="95"/>
  <c r="K193" i="95"/>
  <c r="L192" i="95"/>
  <c r="K192" i="95"/>
  <c r="M183" i="95"/>
  <c r="M182" i="95"/>
  <c r="Q180" i="95"/>
  <c r="Q183" i="95" s="1"/>
  <c r="O180" i="95"/>
  <c r="O184" i="95" s="1"/>
  <c r="C179" i="95"/>
  <c r="C167" i="95"/>
  <c r="C166" i="95"/>
  <c r="C165" i="95"/>
  <c r="C164" i="95"/>
  <c r="C163" i="95"/>
  <c r="C162" i="95"/>
  <c r="C161" i="95"/>
  <c r="C160" i="95"/>
  <c r="C159" i="95"/>
  <c r="C158" i="95"/>
  <c r="C157" i="95"/>
  <c r="K156" i="95"/>
  <c r="M150" i="95"/>
  <c r="L151" i="95" s="1"/>
  <c r="M151" i="95" s="1"/>
  <c r="L147" i="95"/>
  <c r="C147" i="95"/>
  <c r="L140" i="95"/>
  <c r="K139" i="95"/>
  <c r="M138" i="95"/>
  <c r="C137" i="95"/>
  <c r="E106" i="95"/>
  <c r="E101" i="95"/>
  <c r="E97" i="95"/>
  <c r="E94" i="95"/>
  <c r="E93" i="95"/>
  <c r="E92" i="95"/>
  <c r="E91" i="95"/>
  <c r="E90" i="95"/>
  <c r="AC87" i="95"/>
  <c r="AC86" i="95"/>
  <c r="E85" i="95"/>
  <c r="AC70" i="95"/>
  <c r="Y69" i="95"/>
  <c r="G71" i="95" s="1"/>
  <c r="Y67" i="95"/>
  <c r="AC69" i="95" s="1"/>
  <c r="C67" i="95"/>
  <c r="K66" i="95"/>
  <c r="AC54" i="95"/>
  <c r="AC53" i="95"/>
  <c r="Y53" i="95"/>
  <c r="Y48" i="95"/>
  <c r="AC46" i="95"/>
  <c r="D43" i="95"/>
  <c r="F41" i="95"/>
  <c r="D41" i="95"/>
  <c r="D39" i="95"/>
  <c r="D37" i="95"/>
  <c r="D36" i="95"/>
  <c r="D35" i="95"/>
  <c r="I33" i="95"/>
  <c r="D28" i="95"/>
  <c r="D42" i="95" s="1"/>
  <c r="C57" i="95" s="1"/>
  <c r="AB19" i="95"/>
  <c r="AD19" i="95" s="1"/>
  <c r="AB18" i="95"/>
  <c r="AD18" i="95" s="1"/>
  <c r="C239" i="94"/>
  <c r="C235" i="94"/>
  <c r="D220" i="94"/>
  <c r="D221" i="94" s="1"/>
  <c r="D207" i="94"/>
  <c r="Q184" i="94"/>
  <c r="M183" i="94"/>
  <c r="M182" i="94"/>
  <c r="Q180" i="94"/>
  <c r="O180" i="94"/>
  <c r="O184" i="94" s="1"/>
  <c r="C179" i="94"/>
  <c r="C167" i="94"/>
  <c r="C166" i="94"/>
  <c r="C165" i="94"/>
  <c r="C164" i="94"/>
  <c r="C163" i="94"/>
  <c r="C162" i="94"/>
  <c r="C161" i="94"/>
  <c r="C160" i="94"/>
  <c r="C159" i="94"/>
  <c r="C158" i="94"/>
  <c r="C157" i="94"/>
  <c r="K156" i="94"/>
  <c r="M150" i="94"/>
  <c r="L151" i="94" s="1"/>
  <c r="M151" i="94" s="1"/>
  <c r="L147" i="94"/>
  <c r="C147" i="94"/>
  <c r="L140" i="94"/>
  <c r="K139" i="94"/>
  <c r="M138" i="94"/>
  <c r="C137" i="94"/>
  <c r="E106" i="94"/>
  <c r="E100" i="94"/>
  <c r="E99" i="94"/>
  <c r="E98" i="94"/>
  <c r="E97" i="94"/>
  <c r="E96" i="94"/>
  <c r="E95" i="94"/>
  <c r="E94" i="94"/>
  <c r="E93" i="94"/>
  <c r="E92" i="94"/>
  <c r="E91" i="94"/>
  <c r="E90" i="94"/>
  <c r="E89" i="94"/>
  <c r="E88" i="94"/>
  <c r="AC87" i="94"/>
  <c r="E87" i="94"/>
  <c r="E85" i="94" s="1"/>
  <c r="AC86" i="94"/>
  <c r="E86" i="94"/>
  <c r="E84" i="94"/>
  <c r="E101" i="94" s="1"/>
  <c r="C84" i="94"/>
  <c r="C101" i="94" s="1"/>
  <c r="AC70" i="94"/>
  <c r="Y69" i="94"/>
  <c r="Y67" i="94"/>
  <c r="AC69" i="94" s="1"/>
  <c r="C67" i="94"/>
  <c r="K66" i="94"/>
  <c r="AC53" i="94"/>
  <c r="AC54" i="94" s="1"/>
  <c r="Y48" i="94"/>
  <c r="AC46" i="94"/>
  <c r="D43" i="94"/>
  <c r="F41" i="94"/>
  <c r="D41" i="94"/>
  <c r="D39" i="94"/>
  <c r="D37" i="94"/>
  <c r="D35" i="94"/>
  <c r="P34" i="94"/>
  <c r="I33" i="94"/>
  <c r="T32" i="94"/>
  <c r="D28" i="94"/>
  <c r="D40" i="94" s="1"/>
  <c r="AB19" i="94"/>
  <c r="AD19" i="94" s="1"/>
  <c r="AB18" i="94"/>
  <c r="AD18" i="94" s="1"/>
  <c r="L192" i="93"/>
  <c r="K193" i="93"/>
  <c r="K192" i="93"/>
  <c r="E85" i="93"/>
  <c r="Y69" i="93"/>
  <c r="G28" i="95" l="1"/>
  <c r="G29" i="95" s="1"/>
  <c r="D36" i="94"/>
  <c r="O183" i="94"/>
  <c r="D29" i="95"/>
  <c r="C220" i="95" s="1"/>
  <c r="C90" i="95" s="1"/>
  <c r="AC36" i="95"/>
  <c r="C169" i="95"/>
  <c r="C170" i="95" s="1"/>
  <c r="K145" i="95" s="1"/>
  <c r="O183" i="95"/>
  <c r="G28" i="94"/>
  <c r="AC36" i="94" s="1"/>
  <c r="C169" i="94"/>
  <c r="C170" i="94" s="1"/>
  <c r="K145" i="94" s="1"/>
  <c r="D38" i="95"/>
  <c r="C56" i="95"/>
  <c r="AC35" i="95"/>
  <c r="C66" i="95"/>
  <c r="F90" i="95"/>
  <c r="F102" i="95"/>
  <c r="D34" i="95"/>
  <c r="D30" i="95" s="1"/>
  <c r="D40" i="95"/>
  <c r="Q184" i="95"/>
  <c r="Q182" i="95"/>
  <c r="L152" i="95"/>
  <c r="M152" i="95" s="1"/>
  <c r="Y53" i="94"/>
  <c r="T34" i="94"/>
  <c r="D42" i="94"/>
  <c r="D38" i="94"/>
  <c r="C58" i="94"/>
  <c r="F90" i="94"/>
  <c r="F102" i="94"/>
  <c r="G71" i="94"/>
  <c r="D29" i="94"/>
  <c r="D34" i="94"/>
  <c r="Q183" i="94"/>
  <c r="L152" i="94"/>
  <c r="M152" i="94" s="1"/>
  <c r="Q182" i="94"/>
  <c r="G29" i="94" l="1"/>
  <c r="C69" i="95"/>
  <c r="C148" i="95"/>
  <c r="H28" i="95"/>
  <c r="C65" i="95"/>
  <c r="C58" i="95"/>
  <c r="K102" i="95"/>
  <c r="M102" i="95" s="1"/>
  <c r="K90" i="95"/>
  <c r="M90" i="95" s="1"/>
  <c r="K102" i="94"/>
  <c r="M102" i="94" s="1"/>
  <c r="C66" i="94"/>
  <c r="AC35" i="94"/>
  <c r="C57" i="94"/>
  <c r="C220" i="94"/>
  <c r="C90" i="94" s="1"/>
  <c r="K90" i="94" s="1"/>
  <c r="D30" i="94"/>
  <c r="C56" i="94"/>
  <c r="I28" i="95" l="1"/>
  <c r="H29" i="95"/>
  <c r="H30" i="95" s="1"/>
  <c r="F80" i="95"/>
  <c r="F82" i="95"/>
  <c r="C121" i="95"/>
  <c r="C122" i="95" s="1"/>
  <c r="F79" i="95"/>
  <c r="N90" i="95"/>
  <c r="O90" i="95" s="1"/>
  <c r="N102" i="95"/>
  <c r="O102" i="95" s="1"/>
  <c r="M90" i="94"/>
  <c r="N90" i="94"/>
  <c r="C69" i="94"/>
  <c r="C148" i="94"/>
  <c r="C65" i="94"/>
  <c r="H28" i="94"/>
  <c r="N102" i="94"/>
  <c r="O102" i="94" s="1"/>
  <c r="E24" i="76"/>
  <c r="E25" i="76"/>
  <c r="C239" i="93"/>
  <c r="C235" i="93"/>
  <c r="D220" i="93"/>
  <c r="D221" i="93" s="1"/>
  <c r="D207" i="93"/>
  <c r="M183" i="93"/>
  <c r="M182" i="93"/>
  <c r="Q180" i="93"/>
  <c r="O180" i="93"/>
  <c r="O184" i="93" s="1"/>
  <c r="C179" i="93"/>
  <c r="C167" i="93"/>
  <c r="C166" i="93"/>
  <c r="C165" i="93"/>
  <c r="C164" i="93"/>
  <c r="C163" i="93"/>
  <c r="C162" i="93"/>
  <c r="C161" i="93"/>
  <c r="C160" i="93"/>
  <c r="C159" i="93"/>
  <c r="C158" i="93"/>
  <c r="C157" i="93"/>
  <c r="K156" i="93"/>
  <c r="M150" i="93"/>
  <c r="L151" i="93" s="1"/>
  <c r="M151" i="93" s="1"/>
  <c r="L147" i="93"/>
  <c r="C147" i="93"/>
  <c r="L140" i="93"/>
  <c r="K139" i="93"/>
  <c r="M138" i="93"/>
  <c r="C137" i="93"/>
  <c r="E106" i="93"/>
  <c r="E101" i="93"/>
  <c r="E97" i="93"/>
  <c r="E94" i="93"/>
  <c r="E93" i="93"/>
  <c r="E92" i="93"/>
  <c r="E91" i="93"/>
  <c r="E90" i="93"/>
  <c r="AC87" i="93"/>
  <c r="AC86" i="93"/>
  <c r="G71" i="93"/>
  <c r="AC70" i="93"/>
  <c r="F102" i="93"/>
  <c r="Y67" i="93"/>
  <c r="AC69" i="93" s="1"/>
  <c r="C67" i="93"/>
  <c r="K66" i="93"/>
  <c r="AC53" i="93"/>
  <c r="AC54" i="93" s="1"/>
  <c r="Y48" i="93"/>
  <c r="AC46" i="93"/>
  <c r="D43" i="93"/>
  <c r="F41" i="93"/>
  <c r="D41" i="93"/>
  <c r="D39" i="93"/>
  <c r="D37" i="93"/>
  <c r="D35" i="93"/>
  <c r="D34" i="93"/>
  <c r="I33" i="93"/>
  <c r="D28" i="93"/>
  <c r="AB19" i="93"/>
  <c r="AD19" i="93" s="1"/>
  <c r="AB18" i="93"/>
  <c r="AD18" i="93" s="1"/>
  <c r="C239" i="92"/>
  <c r="C235" i="92"/>
  <c r="D221" i="92"/>
  <c r="D220" i="92"/>
  <c r="D207" i="92"/>
  <c r="M183" i="92"/>
  <c r="M182" i="92"/>
  <c r="Q180" i="92"/>
  <c r="O180" i="92"/>
  <c r="O184" i="92" s="1"/>
  <c r="C179" i="92"/>
  <c r="C167" i="92"/>
  <c r="C166" i="92"/>
  <c r="C165" i="92"/>
  <c r="C164" i="92"/>
  <c r="C163" i="92"/>
  <c r="C162" i="92"/>
  <c r="C161" i="92"/>
  <c r="C160" i="92"/>
  <c r="C159" i="92"/>
  <c r="C158" i="92"/>
  <c r="C157" i="92"/>
  <c r="K156" i="92"/>
  <c r="M150" i="92"/>
  <c r="L151" i="92" s="1"/>
  <c r="M151" i="92" s="1"/>
  <c r="L147" i="92"/>
  <c r="C147" i="92"/>
  <c r="L140" i="92"/>
  <c r="K139" i="92"/>
  <c r="M138" i="92"/>
  <c r="C137" i="92"/>
  <c r="E106" i="92"/>
  <c r="E100" i="92"/>
  <c r="E99" i="92"/>
  <c r="E98" i="92"/>
  <c r="E97" i="92"/>
  <c r="E96" i="92"/>
  <c r="E95" i="92"/>
  <c r="E94" i="92"/>
  <c r="E93" i="92"/>
  <c r="E92" i="92"/>
  <c r="E91" i="92"/>
  <c r="E90" i="92"/>
  <c r="E89" i="92"/>
  <c r="E88" i="92"/>
  <c r="AC87" i="92"/>
  <c r="E87" i="92"/>
  <c r="AC86" i="92"/>
  <c r="E86" i="92"/>
  <c r="E84" i="92"/>
  <c r="C84" i="92"/>
  <c r="C101" i="92" s="1"/>
  <c r="AC70" i="92"/>
  <c r="Y69" i="92"/>
  <c r="F102" i="92" s="1"/>
  <c r="Y67" i="92"/>
  <c r="AC69" i="92" s="1"/>
  <c r="C67" i="92"/>
  <c r="K66" i="92"/>
  <c r="AC53" i="92"/>
  <c r="Y48" i="92"/>
  <c r="AC46" i="92"/>
  <c r="D43" i="92"/>
  <c r="F41" i="92"/>
  <c r="D41" i="92"/>
  <c r="D39" i="92"/>
  <c r="D37" i="92"/>
  <c r="D35" i="92"/>
  <c r="P34" i="92"/>
  <c r="T34" i="92" s="1"/>
  <c r="I33" i="92"/>
  <c r="T32" i="92"/>
  <c r="D28" i="92"/>
  <c r="G28" i="92" s="1"/>
  <c r="AC36" i="92" s="1"/>
  <c r="AC35" i="92" s="1"/>
  <c r="H28" i="92" s="1"/>
  <c r="AB19" i="92"/>
  <c r="AD19" i="92" s="1"/>
  <c r="AB18" i="92"/>
  <c r="AD18" i="92" s="1"/>
  <c r="O183" i="92" l="1"/>
  <c r="D36" i="93"/>
  <c r="G71" i="92"/>
  <c r="D38" i="92"/>
  <c r="C56" i="92" s="1"/>
  <c r="G28" i="93"/>
  <c r="G29" i="93" s="1"/>
  <c r="O183" i="93"/>
  <c r="K82" i="95"/>
  <c r="K80" i="95"/>
  <c r="K79" i="95"/>
  <c r="F83" i="95"/>
  <c r="F84" i="95"/>
  <c r="F93" i="95"/>
  <c r="I32" i="95"/>
  <c r="F28" i="95"/>
  <c r="G65" i="95"/>
  <c r="G68" i="95" s="1"/>
  <c r="L28" i="95"/>
  <c r="J28" i="95" s="1"/>
  <c r="I29" i="95"/>
  <c r="H29" i="94"/>
  <c r="H30" i="94" s="1"/>
  <c r="I28" i="94"/>
  <c r="F79" i="94"/>
  <c r="F80" i="94"/>
  <c r="F82" i="94"/>
  <c r="C121" i="94"/>
  <c r="C122" i="94" s="1"/>
  <c r="O90" i="94"/>
  <c r="K102" i="93"/>
  <c r="M102" i="93" s="1"/>
  <c r="Q182" i="93"/>
  <c r="Q183" i="93"/>
  <c r="Q184" i="93"/>
  <c r="AC36" i="93"/>
  <c r="D42" i="93"/>
  <c r="F90" i="93"/>
  <c r="D38" i="93"/>
  <c r="D40" i="93"/>
  <c r="C169" i="93"/>
  <c r="C170" i="93" s="1"/>
  <c r="K145" i="93" s="1"/>
  <c r="D29" i="93"/>
  <c r="Y53" i="93"/>
  <c r="L152" i="93"/>
  <c r="M152" i="93" s="1"/>
  <c r="F90" i="92"/>
  <c r="D42" i="92"/>
  <c r="D34" i="92"/>
  <c r="D29" i="92"/>
  <c r="D40" i="92"/>
  <c r="D36" i="92"/>
  <c r="G29" i="92"/>
  <c r="Y53" i="92"/>
  <c r="AC54" i="92"/>
  <c r="Q182" i="92"/>
  <c r="Q183" i="92"/>
  <c r="Q184" i="92"/>
  <c r="K102" i="92"/>
  <c r="M102" i="92" s="1"/>
  <c r="C169" i="92"/>
  <c r="C170" i="92" s="1"/>
  <c r="K145" i="92" s="1"/>
  <c r="E85" i="92"/>
  <c r="E101" i="92"/>
  <c r="L152" i="92"/>
  <c r="M152" i="92" s="1"/>
  <c r="N102" i="92" l="1"/>
  <c r="J40" i="95"/>
  <c r="J29" i="95"/>
  <c r="K28" i="95"/>
  <c r="K83" i="95"/>
  <c r="F40" i="95"/>
  <c r="G40" i="95" s="1"/>
  <c r="F29" i="95"/>
  <c r="F92" i="95"/>
  <c r="E28" i="95"/>
  <c r="N80" i="95"/>
  <c r="C151" i="95"/>
  <c r="F81" i="95" s="1"/>
  <c r="I34" i="95"/>
  <c r="I35" i="95" s="1"/>
  <c r="K134" i="95"/>
  <c r="Y41" i="95"/>
  <c r="K136" i="95"/>
  <c r="N82" i="95"/>
  <c r="K84" i="95"/>
  <c r="M84" i="95" s="1"/>
  <c r="F94" i="95"/>
  <c r="L29" i="95"/>
  <c r="M28" i="95"/>
  <c r="C223" i="95"/>
  <c r="C93" i="95" s="1"/>
  <c r="K93" i="95" s="1"/>
  <c r="M93" i="95" s="1"/>
  <c r="I30" i="95"/>
  <c r="N79" i="95"/>
  <c r="K82" i="94"/>
  <c r="K80" i="94"/>
  <c r="I32" i="94"/>
  <c r="F28" i="94"/>
  <c r="L28" i="94"/>
  <c r="I29" i="94"/>
  <c r="G65" i="94"/>
  <c r="F93" i="94"/>
  <c r="F83" i="94"/>
  <c r="K79" i="94"/>
  <c r="C57" i="93"/>
  <c r="N102" i="93"/>
  <c r="O102" i="93" s="1"/>
  <c r="C220" i="93"/>
  <c r="C90" i="93" s="1"/>
  <c r="K90" i="93" s="1"/>
  <c r="D30" i="93"/>
  <c r="C58" i="93"/>
  <c r="C66" i="93"/>
  <c r="AC35" i="93"/>
  <c r="C56" i="93"/>
  <c r="C220" i="92"/>
  <c r="C90" i="92" s="1"/>
  <c r="K90" i="92" s="1"/>
  <c r="M90" i="92" s="1"/>
  <c r="D30" i="92"/>
  <c r="O102" i="92"/>
  <c r="C57" i="92"/>
  <c r="C66" i="92"/>
  <c r="C58" i="92"/>
  <c r="N83" i="95" l="1"/>
  <c r="J32" i="95"/>
  <c r="J30" i="95" s="1"/>
  <c r="L32" i="95"/>
  <c r="L30" i="95" s="1"/>
  <c r="AC50" i="95"/>
  <c r="F95" i="95"/>
  <c r="M29" i="95"/>
  <c r="H40" i="95"/>
  <c r="I40" i="95" s="1"/>
  <c r="E52" i="95" s="1"/>
  <c r="E58" i="95" s="1"/>
  <c r="K81" i="95"/>
  <c r="C224" i="95"/>
  <c r="C94" i="95" s="1"/>
  <c r="K94" i="95" s="1"/>
  <c r="K29" i="95"/>
  <c r="K40" i="95"/>
  <c r="K135" i="95"/>
  <c r="E29" i="95"/>
  <c r="C59" i="95"/>
  <c r="F91" i="95"/>
  <c r="N84" i="95"/>
  <c r="O84" i="95" s="1"/>
  <c r="N93" i="95"/>
  <c r="O93" i="95" s="1"/>
  <c r="C222" i="95"/>
  <c r="C92" i="95" s="1"/>
  <c r="K92" i="95" s="1"/>
  <c r="N79" i="94"/>
  <c r="K83" i="94"/>
  <c r="F84" i="94"/>
  <c r="G68" i="94"/>
  <c r="N80" i="94"/>
  <c r="L29" i="94"/>
  <c r="M28" i="94"/>
  <c r="F94" i="94"/>
  <c r="K134" i="94"/>
  <c r="C151" i="94"/>
  <c r="F81" i="94" s="1"/>
  <c r="Y41" i="94"/>
  <c r="K136" i="94"/>
  <c r="I34" i="94"/>
  <c r="I35" i="94" s="1"/>
  <c r="J28" i="94"/>
  <c r="N82" i="94"/>
  <c r="F92" i="94"/>
  <c r="F29" i="94"/>
  <c r="F40" i="94"/>
  <c r="G40" i="94" s="1"/>
  <c r="E28" i="94"/>
  <c r="C223" i="94"/>
  <c r="C93" i="94" s="1"/>
  <c r="K93" i="94" s="1"/>
  <c r="I30" i="94"/>
  <c r="M90" i="93"/>
  <c r="N90" i="93"/>
  <c r="H28" i="93"/>
  <c r="C65" i="93"/>
  <c r="C148" i="93"/>
  <c r="C69" i="93"/>
  <c r="C69" i="92"/>
  <c r="C148" i="92"/>
  <c r="N90" i="92"/>
  <c r="O90" i="92" s="1"/>
  <c r="C65" i="92"/>
  <c r="O90" i="93" l="1"/>
  <c r="M92" i="95"/>
  <c r="N92" i="95"/>
  <c r="M94" i="95"/>
  <c r="N94" i="95"/>
  <c r="H41" i="95"/>
  <c r="E30" i="95"/>
  <c r="C221" i="95"/>
  <c r="C91" i="95" s="1"/>
  <c r="K91" i="95" s="1"/>
  <c r="M91" i="95" s="1"/>
  <c r="L48" i="95"/>
  <c r="L44" i="95"/>
  <c r="L33" i="95"/>
  <c r="L34" i="95"/>
  <c r="L35" i="95" s="1"/>
  <c r="M32" i="95"/>
  <c r="L46" i="95"/>
  <c r="C225" i="95"/>
  <c r="C95" i="95" s="1"/>
  <c r="K95" i="95" s="1"/>
  <c r="J46" i="95"/>
  <c r="J48" i="95"/>
  <c r="J44" i="95"/>
  <c r="J33" i="95"/>
  <c r="J34" i="95"/>
  <c r="J35" i="95" s="1"/>
  <c r="N81" i="95"/>
  <c r="I41" i="95"/>
  <c r="L40" i="95"/>
  <c r="N28" i="95"/>
  <c r="N29" i="95" s="1"/>
  <c r="N31" i="95" s="1"/>
  <c r="C154" i="95"/>
  <c r="K140" i="95" s="1"/>
  <c r="M140" i="95" s="1"/>
  <c r="M93" i="94"/>
  <c r="N93" i="94"/>
  <c r="C222" i="94"/>
  <c r="C92" i="94" s="1"/>
  <c r="K92" i="94" s="1"/>
  <c r="M92" i="94" s="1"/>
  <c r="K81" i="94"/>
  <c r="N81" i="94" s="1"/>
  <c r="K84" i="94"/>
  <c r="M84" i="94" s="1"/>
  <c r="K135" i="94"/>
  <c r="F91" i="94"/>
  <c r="E29" i="94"/>
  <c r="C59" i="94"/>
  <c r="AC50" i="94"/>
  <c r="F95" i="94"/>
  <c r="M29" i="94"/>
  <c r="N83" i="94"/>
  <c r="L32" i="94"/>
  <c r="J32" i="94"/>
  <c r="J40" i="94"/>
  <c r="J29" i="94"/>
  <c r="K28" i="94"/>
  <c r="H40" i="94"/>
  <c r="C224" i="94"/>
  <c r="C94" i="94" s="1"/>
  <c r="K94" i="94" s="1"/>
  <c r="L30" i="94"/>
  <c r="H29" i="93"/>
  <c r="H30" i="93" s="1"/>
  <c r="I28" i="93"/>
  <c r="L28" i="93" s="1"/>
  <c r="F79" i="93"/>
  <c r="F80" i="93"/>
  <c r="C121" i="93"/>
  <c r="C122" i="93" s="1"/>
  <c r="F82" i="93"/>
  <c r="C121" i="92"/>
  <c r="C122" i="92" s="1"/>
  <c r="F79" i="92"/>
  <c r="F80" i="92"/>
  <c r="F82" i="92"/>
  <c r="H29" i="92"/>
  <c r="H30" i="92" s="1"/>
  <c r="I28" i="92"/>
  <c r="O92" i="95" l="1"/>
  <c r="M95" i="95"/>
  <c r="O95" i="95" s="1"/>
  <c r="N95" i="95"/>
  <c r="J30" i="94"/>
  <c r="O29" i="95"/>
  <c r="B235" i="95" s="1"/>
  <c r="M46" i="95"/>
  <c r="L47" i="95"/>
  <c r="K68" i="95"/>
  <c r="C133" i="95" s="1"/>
  <c r="C132" i="95" s="1"/>
  <c r="K144" i="95" s="1"/>
  <c r="M33" i="95"/>
  <c r="M34" i="95"/>
  <c r="O32" i="95"/>
  <c r="M40" i="95"/>
  <c r="L41" i="95"/>
  <c r="I44" i="95"/>
  <c r="I45" i="95" s="1"/>
  <c r="J45" i="95"/>
  <c r="F45" i="95" s="1"/>
  <c r="F44" i="95" s="1"/>
  <c r="G44" i="95" s="1"/>
  <c r="G45" i="95" s="1"/>
  <c r="J49" i="95"/>
  <c r="F49" i="95" s="1"/>
  <c r="F48" i="95" s="1"/>
  <c r="G48" i="95" s="1"/>
  <c r="G49" i="95" s="1"/>
  <c r="I48" i="95"/>
  <c r="I49" i="95" s="1"/>
  <c r="N91" i="95"/>
  <c r="O91" i="95" s="1"/>
  <c r="I46" i="95"/>
  <c r="I47" i="95" s="1"/>
  <c r="J47" i="95"/>
  <c r="F47" i="95" s="1"/>
  <c r="F46" i="95" s="1"/>
  <c r="G46" i="95" s="1"/>
  <c r="G47" i="95" s="1"/>
  <c r="M30" i="95"/>
  <c r="O30" i="95" s="1"/>
  <c r="O94" i="95"/>
  <c r="F33" i="95"/>
  <c r="K33" i="95"/>
  <c r="L45" i="95"/>
  <c r="M44" i="95"/>
  <c r="O31" i="95"/>
  <c r="N36" i="95"/>
  <c r="N37" i="95" s="1"/>
  <c r="M48" i="95"/>
  <c r="L49" i="95"/>
  <c r="C226" i="95"/>
  <c r="B243" i="95"/>
  <c r="O28" i="95"/>
  <c r="O24" i="95"/>
  <c r="M94" i="94"/>
  <c r="N94" i="94"/>
  <c r="N84" i="94"/>
  <c r="O84" i="94" s="1"/>
  <c r="J44" i="94"/>
  <c r="J46" i="94"/>
  <c r="J33" i="94"/>
  <c r="J34" i="94"/>
  <c r="J35" i="94" s="1"/>
  <c r="J48" i="94"/>
  <c r="C221" i="94"/>
  <c r="C91" i="94" s="1"/>
  <c r="K91" i="94" s="1"/>
  <c r="M91" i="94" s="1"/>
  <c r="E30" i="94"/>
  <c r="C154" i="94"/>
  <c r="K140" i="94" s="1"/>
  <c r="M140" i="94" s="1"/>
  <c r="N28" i="94"/>
  <c r="N29" i="94" s="1"/>
  <c r="N31" i="94" s="1"/>
  <c r="I40" i="94"/>
  <c r="L46" i="94"/>
  <c r="L48" i="94"/>
  <c r="L33" i="94"/>
  <c r="L44" i="94"/>
  <c r="L34" i="94"/>
  <c r="L35" i="94" s="1"/>
  <c r="M32" i="94"/>
  <c r="O93" i="94"/>
  <c r="N92" i="94"/>
  <c r="O92" i="94" s="1"/>
  <c r="H41" i="94"/>
  <c r="K29" i="94"/>
  <c r="K40" i="94"/>
  <c r="C225" i="94"/>
  <c r="C95" i="94" s="1"/>
  <c r="K95" i="94" s="1"/>
  <c r="M95" i="94" s="1"/>
  <c r="K80" i="93"/>
  <c r="N80" i="93" s="1"/>
  <c r="F83" i="93"/>
  <c r="K79" i="93"/>
  <c r="K82" i="93"/>
  <c r="F84" i="93"/>
  <c r="G65" i="93"/>
  <c r="G68" i="93" s="1"/>
  <c r="J28" i="93"/>
  <c r="I32" i="93"/>
  <c r="I29" i="93"/>
  <c r="F28" i="93"/>
  <c r="F93" i="93"/>
  <c r="N80" i="92"/>
  <c r="K80" i="92"/>
  <c r="K82" i="92"/>
  <c r="K79" i="92"/>
  <c r="F83" i="92"/>
  <c r="F93" i="92"/>
  <c r="G65" i="92"/>
  <c r="F28" i="92"/>
  <c r="I32" i="92"/>
  <c r="L28" i="92"/>
  <c r="I29" i="92"/>
  <c r="M35" i="95" l="1"/>
  <c r="V34" i="95"/>
  <c r="K32" i="95"/>
  <c r="K35" i="95"/>
  <c r="F35" i="95"/>
  <c r="F32" i="95"/>
  <c r="O48" i="95"/>
  <c r="M49" i="95"/>
  <c r="M45" i="95"/>
  <c r="O44" i="95"/>
  <c r="E56" i="95"/>
  <c r="E57" i="95"/>
  <c r="O33" i="95"/>
  <c r="Q28" i="95" s="1"/>
  <c r="Q29" i="95" s="1"/>
  <c r="O34" i="95"/>
  <c r="O35" i="95" s="1"/>
  <c r="Q32" i="95"/>
  <c r="P32" i="95" s="1"/>
  <c r="O23" i="95"/>
  <c r="F101" i="95"/>
  <c r="F96" i="95"/>
  <c r="O73" i="95"/>
  <c r="D59" i="95"/>
  <c r="C143" i="95"/>
  <c r="K146" i="95" s="1"/>
  <c r="O40" i="95"/>
  <c r="M41" i="95"/>
  <c r="M47" i="95"/>
  <c r="O46" i="95"/>
  <c r="K33" i="94"/>
  <c r="F33" i="94"/>
  <c r="M44" i="94"/>
  <c r="L45" i="94"/>
  <c r="K68" i="94"/>
  <c r="C133" i="94" s="1"/>
  <c r="C132" i="94" s="1"/>
  <c r="K144" i="94" s="1"/>
  <c r="M33" i="94"/>
  <c r="M34" i="94"/>
  <c r="O32" i="94"/>
  <c r="J47" i="94"/>
  <c r="F47" i="94" s="1"/>
  <c r="F46" i="94" s="1"/>
  <c r="G46" i="94" s="1"/>
  <c r="G47" i="94" s="1"/>
  <c r="I46" i="94"/>
  <c r="I47" i="94" s="1"/>
  <c r="J45" i="94"/>
  <c r="F45" i="94" s="1"/>
  <c r="F44" i="94" s="1"/>
  <c r="G44" i="94" s="1"/>
  <c r="G45" i="94" s="1"/>
  <c r="I44" i="94"/>
  <c r="I45" i="94" s="1"/>
  <c r="M30" i="94"/>
  <c r="O30" i="94" s="1"/>
  <c r="O29" i="94"/>
  <c r="N95" i="94"/>
  <c r="O95" i="94" s="1"/>
  <c r="L40" i="94"/>
  <c r="I41" i="94"/>
  <c r="L49" i="94"/>
  <c r="M48" i="94"/>
  <c r="J49" i="94"/>
  <c r="F49" i="94" s="1"/>
  <c r="F48" i="94" s="1"/>
  <c r="G48" i="94" s="1"/>
  <c r="G49" i="94" s="1"/>
  <c r="I48" i="94"/>
  <c r="I49" i="94" s="1"/>
  <c r="O94" i="94"/>
  <c r="O31" i="94"/>
  <c r="N36" i="94"/>
  <c r="N37" i="94" s="1"/>
  <c r="M46" i="94"/>
  <c r="L47" i="94"/>
  <c r="N91" i="94"/>
  <c r="O91" i="94" s="1"/>
  <c r="E52" i="94"/>
  <c r="E58" i="94" s="1"/>
  <c r="J40" i="93"/>
  <c r="J29" i="93"/>
  <c r="K28" i="93"/>
  <c r="K84" i="93"/>
  <c r="M84" i="93" s="1"/>
  <c r="N84" i="93"/>
  <c r="N82" i="93"/>
  <c r="F92" i="93"/>
  <c r="F29" i="93"/>
  <c r="E28" i="93"/>
  <c r="F40" i="93"/>
  <c r="G40" i="93" s="1"/>
  <c r="C223" i="93"/>
  <c r="C93" i="93" s="1"/>
  <c r="K93" i="93" s="1"/>
  <c r="M93" i="93" s="1"/>
  <c r="I30" i="93"/>
  <c r="N79" i="93"/>
  <c r="Y41" i="93"/>
  <c r="C151" i="93"/>
  <c r="F81" i="93" s="1"/>
  <c r="K134" i="93"/>
  <c r="K136" i="93"/>
  <c r="I34" i="93"/>
  <c r="I35" i="93" s="1"/>
  <c r="K83" i="93"/>
  <c r="F94" i="93"/>
  <c r="L29" i="93"/>
  <c r="M28" i="93"/>
  <c r="K83" i="92"/>
  <c r="F94" i="92"/>
  <c r="L29" i="92"/>
  <c r="M28" i="92"/>
  <c r="AC50" i="92" s="1"/>
  <c r="N28" i="92" s="1"/>
  <c r="N29" i="92" s="1"/>
  <c r="N79" i="92"/>
  <c r="J28" i="92"/>
  <c r="C151" i="92"/>
  <c r="F81" i="92" s="1"/>
  <c r="K134" i="92"/>
  <c r="K136" i="92"/>
  <c r="I34" i="92"/>
  <c r="I35" i="92" s="1"/>
  <c r="Y41" i="92"/>
  <c r="L32" i="92" s="1"/>
  <c r="N82" i="92"/>
  <c r="C223" i="92"/>
  <c r="C93" i="92" s="1"/>
  <c r="K93" i="92" s="1"/>
  <c r="I30" i="92"/>
  <c r="F92" i="92"/>
  <c r="F29" i="92"/>
  <c r="E28" i="92"/>
  <c r="F40" i="92"/>
  <c r="G40" i="92" s="1"/>
  <c r="F84" i="92"/>
  <c r="G68" i="92"/>
  <c r="M35" i="94" l="1"/>
  <c r="V34" i="94"/>
  <c r="T32" i="95"/>
  <c r="P34" i="95"/>
  <c r="C124" i="95"/>
  <c r="C125" i="95" s="1"/>
  <c r="F85" i="95"/>
  <c r="F86" i="95"/>
  <c r="E235" i="95"/>
  <c r="C86" i="95" s="1"/>
  <c r="C85" i="95" s="1"/>
  <c r="K96" i="95"/>
  <c r="M96" i="95" s="1"/>
  <c r="F34" i="95"/>
  <c r="G34" i="95" s="1"/>
  <c r="G35" i="95" s="1"/>
  <c r="G32" i="95"/>
  <c r="G33" i="95" s="1"/>
  <c r="F30" i="95"/>
  <c r="G30" i="95" s="1"/>
  <c r="O49" i="95"/>
  <c r="O41" i="95"/>
  <c r="D58" i="95"/>
  <c r="P28" i="95"/>
  <c r="P33" i="95" s="1"/>
  <c r="C243" i="95"/>
  <c r="C230" i="95"/>
  <c r="C99" i="95" s="1"/>
  <c r="R29" i="95"/>
  <c r="K101" i="95"/>
  <c r="M101" i="95" s="1"/>
  <c r="O45" i="95"/>
  <c r="K44" i="95"/>
  <c r="K45" i="95" s="1"/>
  <c r="K46" i="95"/>
  <c r="K47" i="95" s="1"/>
  <c r="K48" i="95"/>
  <c r="K49" i="95" s="1"/>
  <c r="K34" i="95"/>
  <c r="K30" i="95"/>
  <c r="K42" i="95" s="1"/>
  <c r="K43" i="95" s="1"/>
  <c r="J43" i="95" s="1"/>
  <c r="O47" i="95"/>
  <c r="Q44" i="95"/>
  <c r="Q48" i="95"/>
  <c r="O66" i="95"/>
  <c r="K137" i="95" s="1"/>
  <c r="Q34" i="95"/>
  <c r="R32" i="95"/>
  <c r="Q46" i="95"/>
  <c r="P46" i="95" s="1"/>
  <c r="Q33" i="95"/>
  <c r="M47" i="94"/>
  <c r="O46" i="94"/>
  <c r="C226" i="94"/>
  <c r="B235" i="94"/>
  <c r="B243" i="94"/>
  <c r="O24" i="94"/>
  <c r="O28" i="94"/>
  <c r="O33" i="94" s="1"/>
  <c r="O23" i="94"/>
  <c r="M45" i="94"/>
  <c r="O44" i="94"/>
  <c r="F35" i="94"/>
  <c r="F32" i="94"/>
  <c r="E56" i="94"/>
  <c r="O34" i="94"/>
  <c r="Q32" i="94"/>
  <c r="E57" i="94"/>
  <c r="O48" i="94"/>
  <c r="M49" i="94"/>
  <c r="K35" i="94"/>
  <c r="K32" i="94"/>
  <c r="L41" i="94"/>
  <c r="M40" i="94"/>
  <c r="N93" i="93"/>
  <c r="O93" i="93" s="1"/>
  <c r="C224" i="93"/>
  <c r="C94" i="93" s="1"/>
  <c r="K94" i="93" s="1"/>
  <c r="M94" i="93" s="1"/>
  <c r="J32" i="93"/>
  <c r="L32" i="93"/>
  <c r="L33" i="93" s="1"/>
  <c r="C222" i="93"/>
  <c r="C92" i="93" s="1"/>
  <c r="K92" i="93" s="1"/>
  <c r="M92" i="93" s="1"/>
  <c r="O84" i="93"/>
  <c r="K40" i="93"/>
  <c r="K29" i="93"/>
  <c r="H40" i="93"/>
  <c r="I40" i="93" s="1"/>
  <c r="F91" i="93"/>
  <c r="K135" i="93"/>
  <c r="E29" i="93"/>
  <c r="C59" i="93"/>
  <c r="F95" i="93"/>
  <c r="AC50" i="93"/>
  <c r="M29" i="93"/>
  <c r="N83" i="93"/>
  <c r="J30" i="93"/>
  <c r="K81" i="93"/>
  <c r="N81" i="93" s="1"/>
  <c r="M93" i="92"/>
  <c r="N93" i="92"/>
  <c r="K135" i="92"/>
  <c r="F91" i="92"/>
  <c r="E29" i="92"/>
  <c r="C59" i="92"/>
  <c r="M29" i="92"/>
  <c r="F95" i="92"/>
  <c r="H40" i="92"/>
  <c r="I40" i="92" s="1"/>
  <c r="C222" i="92"/>
  <c r="C92" i="92" s="1"/>
  <c r="K92" i="92"/>
  <c r="M92" i="92" s="1"/>
  <c r="K81" i="92"/>
  <c r="K84" i="92"/>
  <c r="M84" i="92" s="1"/>
  <c r="J40" i="92"/>
  <c r="J29" i="92"/>
  <c r="K28" i="92"/>
  <c r="N83" i="92"/>
  <c r="J32" i="92"/>
  <c r="C224" i="92"/>
  <c r="C94" i="92" s="1"/>
  <c r="K94" i="92" s="1"/>
  <c r="L30" i="92"/>
  <c r="N92" i="92" l="1"/>
  <c r="P47" i="95"/>
  <c r="K36" i="95"/>
  <c r="K37" i="95" s="1"/>
  <c r="J37" i="95" s="1"/>
  <c r="J30" i="92"/>
  <c r="O35" i="94"/>
  <c r="N101" i="95"/>
  <c r="K85" i="95"/>
  <c r="M85" i="95" s="1"/>
  <c r="P35" i="95"/>
  <c r="T34" i="95"/>
  <c r="F37" i="95"/>
  <c r="F36" i="95" s="1"/>
  <c r="G36" i="95" s="1"/>
  <c r="J36" i="95"/>
  <c r="Q45" i="95"/>
  <c r="R44" i="95"/>
  <c r="Q49" i="95"/>
  <c r="R48" i="95"/>
  <c r="N96" i="95"/>
  <c r="O96" i="95" s="1"/>
  <c r="F43" i="95"/>
  <c r="F42" i="95" s="1"/>
  <c r="G42" i="95" s="1"/>
  <c r="J42" i="95"/>
  <c r="P44" i="95"/>
  <c r="P45" i="95" s="1"/>
  <c r="R34" i="95"/>
  <c r="Q35" i="95"/>
  <c r="B248" i="95"/>
  <c r="B239" i="95"/>
  <c r="C229" i="95"/>
  <c r="C98" i="95" s="1"/>
  <c r="Y82" i="95"/>
  <c r="AC84" i="95" s="1"/>
  <c r="AC82" i="95" s="1"/>
  <c r="AC83" i="95" s="1"/>
  <c r="R28" i="95"/>
  <c r="R46" i="95"/>
  <c r="R47" i="95" s="1"/>
  <c r="Q47" i="95"/>
  <c r="K71" i="95"/>
  <c r="F103" i="95" s="1"/>
  <c r="F97" i="95"/>
  <c r="P29" i="95"/>
  <c r="Y64" i="95"/>
  <c r="L42" i="95"/>
  <c r="L36" i="95"/>
  <c r="L38" i="95"/>
  <c r="T42" i="95"/>
  <c r="K38" i="95"/>
  <c r="K39" i="95" s="1"/>
  <c r="J39" i="95" s="1"/>
  <c r="O101" i="95"/>
  <c r="P48" i="95"/>
  <c r="P49" i="95" s="1"/>
  <c r="K86" i="95"/>
  <c r="M86" i="95" s="1"/>
  <c r="P42" i="95"/>
  <c r="O45" i="94"/>
  <c r="O47" i="94"/>
  <c r="M41" i="94"/>
  <c r="O40" i="94"/>
  <c r="C73" i="94"/>
  <c r="F101" i="94" s="1"/>
  <c r="O73" i="94"/>
  <c r="F96" i="94"/>
  <c r="Q28" i="94"/>
  <c r="Q29" i="94" s="1"/>
  <c r="D59" i="94"/>
  <c r="C143" i="94"/>
  <c r="K146" i="94" s="1"/>
  <c r="K44" i="94"/>
  <c r="K45" i="94" s="1"/>
  <c r="K46" i="94"/>
  <c r="K47" i="94" s="1"/>
  <c r="K48" i="94"/>
  <c r="K49" i="94" s="1"/>
  <c r="K34" i="94"/>
  <c r="K30" i="94"/>
  <c r="K38" i="94" s="1"/>
  <c r="O49" i="94"/>
  <c r="Q48" i="94"/>
  <c r="Q44" i="94"/>
  <c r="P44" i="94" s="1"/>
  <c r="R32" i="94"/>
  <c r="Q34" i="94"/>
  <c r="O66" i="94"/>
  <c r="K137" i="94" s="1"/>
  <c r="Q46" i="94"/>
  <c r="F34" i="94"/>
  <c r="G34" i="94" s="1"/>
  <c r="G35" i="94" s="1"/>
  <c r="G32" i="94"/>
  <c r="G33" i="94" s="1"/>
  <c r="F30" i="94"/>
  <c r="G30" i="94" s="1"/>
  <c r="L48" i="93"/>
  <c r="L34" i="93"/>
  <c r="L35" i="93" s="1"/>
  <c r="L46" i="93"/>
  <c r="L44" i="93"/>
  <c r="M32" i="93"/>
  <c r="M30" i="93" s="1"/>
  <c r="O30" i="93" s="1"/>
  <c r="L40" i="93"/>
  <c r="I41" i="93"/>
  <c r="N94" i="93"/>
  <c r="O94" i="93" s="1"/>
  <c r="C225" i="93"/>
  <c r="C95" i="93" s="1"/>
  <c r="K95" i="93" s="1"/>
  <c r="E52" i="93"/>
  <c r="E58" i="93" s="1"/>
  <c r="L30" i="93"/>
  <c r="C154" i="93"/>
  <c r="K140" i="93" s="1"/>
  <c r="M140" i="93" s="1"/>
  <c r="G71" i="76" s="1"/>
  <c r="N28" i="93"/>
  <c r="N29" i="93" s="1"/>
  <c r="N31" i="93" s="1"/>
  <c r="H41" i="93"/>
  <c r="N92" i="93"/>
  <c r="O92" i="93" s="1"/>
  <c r="C221" i="93"/>
  <c r="C91" i="93" s="1"/>
  <c r="K91" i="93" s="1"/>
  <c r="M91" i="93" s="1"/>
  <c r="E30" i="93"/>
  <c r="J46" i="93"/>
  <c r="J48" i="93"/>
  <c r="J33" i="93"/>
  <c r="J44" i="93"/>
  <c r="J34" i="93"/>
  <c r="J35" i="93" s="1"/>
  <c r="M94" i="92"/>
  <c r="N94" i="92"/>
  <c r="H41" i="92"/>
  <c r="O92" i="92"/>
  <c r="E52" i="92"/>
  <c r="E58" i="92" s="1"/>
  <c r="K40" i="92"/>
  <c r="K29" i="92"/>
  <c r="L44" i="92"/>
  <c r="L46" i="92"/>
  <c r="L48" i="92"/>
  <c r="L33" i="92"/>
  <c r="L34" i="92"/>
  <c r="L35" i="92" s="1"/>
  <c r="M32" i="92"/>
  <c r="N84" i="92"/>
  <c r="O84" i="92" s="1"/>
  <c r="C225" i="92"/>
  <c r="C95" i="92" s="1"/>
  <c r="K95" i="92" s="1"/>
  <c r="C154" i="92"/>
  <c r="K140" i="92" s="1"/>
  <c r="M140" i="92" s="1"/>
  <c r="G70" i="76" s="1"/>
  <c r="N31" i="92"/>
  <c r="N36" i="92" s="1"/>
  <c r="E30" i="92"/>
  <c r="C221" i="92"/>
  <c r="C91" i="92" s="1"/>
  <c r="K91" i="92" s="1"/>
  <c r="M91" i="92" s="1"/>
  <c r="L40" i="92"/>
  <c r="I41" i="92"/>
  <c r="J44" i="92"/>
  <c r="J48" i="92"/>
  <c r="J46" i="92"/>
  <c r="J33" i="92"/>
  <c r="J34" i="92"/>
  <c r="J35" i="92" s="1"/>
  <c r="N81" i="92"/>
  <c r="O93" i="92"/>
  <c r="Q33" i="94" l="1"/>
  <c r="K36" i="94"/>
  <c r="K37" i="94" s="1"/>
  <c r="J37" i="94" s="1"/>
  <c r="N86" i="95"/>
  <c r="O86" i="95" s="1"/>
  <c r="G43" i="95"/>
  <c r="M38" i="95"/>
  <c r="L39" i="95"/>
  <c r="R51" i="95"/>
  <c r="R35" i="95"/>
  <c r="R49" i="95"/>
  <c r="D243" i="95"/>
  <c r="Y65" i="95"/>
  <c r="AC67" i="95" s="1"/>
  <c r="AC65" i="95" s="1"/>
  <c r="AC66" i="95" s="1"/>
  <c r="C227" i="95"/>
  <c r="P31" i="95"/>
  <c r="V9" i="95"/>
  <c r="P30" i="95"/>
  <c r="L37" i="95"/>
  <c r="M36" i="95"/>
  <c r="G37" i="95"/>
  <c r="K97" i="95"/>
  <c r="M97" i="95" s="1"/>
  <c r="M42" i="95"/>
  <c r="L43" i="95"/>
  <c r="F98" i="95"/>
  <c r="T70" i="95"/>
  <c r="T72" i="95" s="1"/>
  <c r="C192" i="95"/>
  <c r="Y81" i="95"/>
  <c r="O68" i="95"/>
  <c r="R33" i="95"/>
  <c r="R45" i="95"/>
  <c r="N85" i="95"/>
  <c r="S42" i="95"/>
  <c r="P43" i="95"/>
  <c r="F39" i="95"/>
  <c r="F38" i="95" s="1"/>
  <c r="G38" i="95" s="1"/>
  <c r="J38" i="95"/>
  <c r="I38" i="95" s="1"/>
  <c r="I39" i="95" s="1"/>
  <c r="C134" i="95"/>
  <c r="C138" i="95" s="1"/>
  <c r="C139" i="95" s="1"/>
  <c r="AC90" i="95"/>
  <c r="AC92" i="95" s="1"/>
  <c r="AC93" i="95" s="1"/>
  <c r="C135" i="95" s="1"/>
  <c r="K103" i="95"/>
  <c r="M103" i="95" s="1"/>
  <c r="I42" i="95"/>
  <c r="I43" i="95" s="1"/>
  <c r="I36" i="95"/>
  <c r="I37" i="95" s="1"/>
  <c r="L36" i="94"/>
  <c r="T42" i="94"/>
  <c r="L42" i="94"/>
  <c r="L38" i="94"/>
  <c r="M38" i="94" s="1"/>
  <c r="V35" i="94" s="1"/>
  <c r="V36" i="94" s="1"/>
  <c r="P42" i="94"/>
  <c r="Q49" i="94"/>
  <c r="R48" i="94"/>
  <c r="Q47" i="94"/>
  <c r="R46" i="94"/>
  <c r="E235" i="94"/>
  <c r="C86" i="94" s="1"/>
  <c r="C85" i="94" s="1"/>
  <c r="F86" i="94"/>
  <c r="C124" i="94"/>
  <c r="C125" i="94" s="1"/>
  <c r="F85" i="94"/>
  <c r="P48" i="94"/>
  <c r="F37" i="94"/>
  <c r="F36" i="94" s="1"/>
  <c r="G36" i="94" s="1"/>
  <c r="J36" i="94"/>
  <c r="Q35" i="94"/>
  <c r="R34" i="94"/>
  <c r="P28" i="94"/>
  <c r="P46" i="94"/>
  <c r="P47" i="94" s="1"/>
  <c r="K101" i="94"/>
  <c r="M101" i="94" s="1"/>
  <c r="O41" i="94"/>
  <c r="D58" i="94"/>
  <c r="K42" i="94"/>
  <c r="K43" i="94" s="1"/>
  <c r="J43" i="94" s="1"/>
  <c r="C243" i="94"/>
  <c r="C230" i="94"/>
  <c r="C99" i="94" s="1"/>
  <c r="R29" i="94"/>
  <c r="Q45" i="94"/>
  <c r="R44" i="94"/>
  <c r="K39" i="94"/>
  <c r="J39" i="94" s="1"/>
  <c r="N96" i="94"/>
  <c r="K96" i="94"/>
  <c r="M96" i="94" s="1"/>
  <c r="M95" i="93"/>
  <c r="N95" i="93"/>
  <c r="L47" i="93"/>
  <c r="M46" i="93"/>
  <c r="I44" i="93"/>
  <c r="I45" i="93" s="1"/>
  <c r="J45" i="93"/>
  <c r="F45" i="93" s="1"/>
  <c r="F44" i="93" s="1"/>
  <c r="G44" i="93" s="1"/>
  <c r="G45" i="93" s="1"/>
  <c r="K33" i="93"/>
  <c r="F33" i="93"/>
  <c r="I48" i="93"/>
  <c r="I49" i="93" s="1"/>
  <c r="J49" i="93"/>
  <c r="F49" i="93" s="1"/>
  <c r="F48" i="93" s="1"/>
  <c r="G48" i="93" s="1"/>
  <c r="G49" i="93" s="1"/>
  <c r="I46" i="93"/>
  <c r="I47" i="93" s="1"/>
  <c r="J47" i="93"/>
  <c r="F47" i="93" s="1"/>
  <c r="F46" i="93" s="1"/>
  <c r="G46" i="93" s="1"/>
  <c r="G47" i="93" s="1"/>
  <c r="M40" i="93"/>
  <c r="L41" i="93"/>
  <c r="L49" i="93"/>
  <c r="M48" i="93"/>
  <c r="M34" i="93"/>
  <c r="O32" i="93"/>
  <c r="K68" i="93"/>
  <c r="C133" i="93" s="1"/>
  <c r="C132" i="93" s="1"/>
  <c r="K144" i="93" s="1"/>
  <c r="M33" i="93"/>
  <c r="N91" i="93"/>
  <c r="O91" i="93" s="1"/>
  <c r="O31" i="93"/>
  <c r="N36" i="93"/>
  <c r="N37" i="93" s="1"/>
  <c r="O29" i="93"/>
  <c r="L45" i="93"/>
  <c r="M44" i="93"/>
  <c r="M95" i="92"/>
  <c r="N95" i="92"/>
  <c r="J49" i="92"/>
  <c r="F49" i="92" s="1"/>
  <c r="F48" i="92" s="1"/>
  <c r="G48" i="92" s="1"/>
  <c r="G49" i="92" s="1"/>
  <c r="I48" i="92"/>
  <c r="I49" i="92" s="1"/>
  <c r="J45" i="92"/>
  <c r="F45" i="92" s="1"/>
  <c r="F44" i="92" s="1"/>
  <c r="G44" i="92" s="1"/>
  <c r="G45" i="92" s="1"/>
  <c r="I44" i="92"/>
  <c r="I45" i="92" s="1"/>
  <c r="K68" i="92"/>
  <c r="C133" i="92" s="1"/>
  <c r="C132" i="92" s="1"/>
  <c r="K144" i="92" s="1"/>
  <c r="M33" i="92"/>
  <c r="M34" i="92"/>
  <c r="O32" i="92"/>
  <c r="N91" i="92"/>
  <c r="O91" i="92" s="1"/>
  <c r="M30" i="92"/>
  <c r="O30" i="92" s="1"/>
  <c r="O29" i="92"/>
  <c r="L41" i="92"/>
  <c r="M40" i="92"/>
  <c r="L49" i="92"/>
  <c r="M48" i="92"/>
  <c r="K33" i="92"/>
  <c r="F33" i="92"/>
  <c r="M46" i="92"/>
  <c r="L47" i="92"/>
  <c r="N37" i="92"/>
  <c r="O31" i="92"/>
  <c r="J47" i="92"/>
  <c r="F47" i="92" s="1"/>
  <c r="F46" i="92" s="1"/>
  <c r="G46" i="92" s="1"/>
  <c r="G47" i="92" s="1"/>
  <c r="I46" i="92"/>
  <c r="I47" i="92" s="1"/>
  <c r="M44" i="92"/>
  <c r="L45" i="92"/>
  <c r="O94" i="92"/>
  <c r="I36" i="94" l="1"/>
  <c r="I37" i="94" s="1"/>
  <c r="P49" i="94"/>
  <c r="Q32" i="93"/>
  <c r="P32" i="93"/>
  <c r="O38" i="95"/>
  <c r="V35" i="95"/>
  <c r="V36" i="95" s="1"/>
  <c r="M35" i="93"/>
  <c r="V32" i="93"/>
  <c r="N101" i="94"/>
  <c r="O101" i="94" s="1"/>
  <c r="N97" i="95"/>
  <c r="M35" i="92"/>
  <c r="H38" i="95"/>
  <c r="G39" i="95"/>
  <c r="G41" i="95" s="1"/>
  <c r="C212" i="95"/>
  <c r="C211" i="95" s="1"/>
  <c r="O97" i="95"/>
  <c r="V8" i="95"/>
  <c r="W8" i="95" s="1"/>
  <c r="Q31" i="95"/>
  <c r="R31" i="95" s="1"/>
  <c r="P36" i="95"/>
  <c r="P37" i="95" s="1"/>
  <c r="M39" i="95"/>
  <c r="E248" i="95"/>
  <c r="F89" i="95"/>
  <c r="C127" i="95"/>
  <c r="C128" i="95" s="1"/>
  <c r="C129" i="95" s="1"/>
  <c r="K143" i="95" s="1"/>
  <c r="F87" i="95"/>
  <c r="E239" i="95"/>
  <c r="C87" i="95" s="1"/>
  <c r="N103" i="95"/>
  <c r="K98" i="95"/>
  <c r="M98" i="95" s="1"/>
  <c r="H36" i="95"/>
  <c r="H37" i="95" s="1"/>
  <c r="C140" i="95"/>
  <c r="AC73" i="95"/>
  <c r="AC75" i="95" s="1"/>
  <c r="AC76" i="95" s="1"/>
  <c r="C141" i="95" s="1"/>
  <c r="K147" i="95" s="1"/>
  <c r="M147" i="95" s="1"/>
  <c r="H42" i="95"/>
  <c r="V7" i="95"/>
  <c r="W7" i="95" s="1"/>
  <c r="Q30" i="95"/>
  <c r="R30" i="95" s="1"/>
  <c r="C136" i="95"/>
  <c r="O103" i="95"/>
  <c r="M43" i="95"/>
  <c r="O42" i="95"/>
  <c r="O36" i="95"/>
  <c r="M37" i="95"/>
  <c r="M42" i="94"/>
  <c r="L43" i="94"/>
  <c r="J38" i="94"/>
  <c r="I38" i="94" s="1"/>
  <c r="I39" i="94" s="1"/>
  <c r="F39" i="94"/>
  <c r="F38" i="94" s="1"/>
  <c r="G38" i="94" s="1"/>
  <c r="G37" i="94"/>
  <c r="H36" i="94"/>
  <c r="H37" i="94" s="1"/>
  <c r="K85" i="94"/>
  <c r="N85" i="94" s="1"/>
  <c r="L39" i="94"/>
  <c r="B248" i="94"/>
  <c r="B239" i="94"/>
  <c r="C229" i="94"/>
  <c r="C98" i="94" s="1"/>
  <c r="Y82" i="94"/>
  <c r="AC84" i="94" s="1"/>
  <c r="AC82" i="94" s="1"/>
  <c r="AC83" i="94" s="1"/>
  <c r="R28" i="94"/>
  <c r="F97" i="94"/>
  <c r="K71" i="94"/>
  <c r="F103" i="94" s="1"/>
  <c r="Y64" i="94"/>
  <c r="P29" i="94"/>
  <c r="P33" i="94"/>
  <c r="P35" i="94"/>
  <c r="K86" i="94"/>
  <c r="M86" i="94" s="1"/>
  <c r="L37" i="94"/>
  <c r="M36" i="94"/>
  <c r="O96" i="94"/>
  <c r="F43" i="94"/>
  <c r="F42" i="94" s="1"/>
  <c r="G42" i="94" s="1"/>
  <c r="J42" i="94"/>
  <c r="I42" i="94" s="1"/>
  <c r="I43" i="94" s="1"/>
  <c r="R51" i="94"/>
  <c r="P43" i="94"/>
  <c r="S42" i="94"/>
  <c r="P45" i="94"/>
  <c r="M45" i="93"/>
  <c r="O44" i="93"/>
  <c r="M47" i="93"/>
  <c r="O46" i="93"/>
  <c r="C226" i="93"/>
  <c r="B235" i="93"/>
  <c r="B243" i="93"/>
  <c r="O24" i="93"/>
  <c r="O28" i="93"/>
  <c r="O23" i="93"/>
  <c r="E57" i="93"/>
  <c r="O34" i="93"/>
  <c r="E56" i="93"/>
  <c r="F35" i="93"/>
  <c r="F32" i="93"/>
  <c r="O40" i="93"/>
  <c r="M41" i="93"/>
  <c r="K35" i="93"/>
  <c r="K32" i="93"/>
  <c r="O95" i="93"/>
  <c r="E14" i="76" s="1"/>
  <c r="M49" i="93"/>
  <c r="O48" i="93"/>
  <c r="M45" i="92"/>
  <c r="O44" i="92"/>
  <c r="O46" i="92"/>
  <c r="M47" i="92"/>
  <c r="K32" i="92"/>
  <c r="K35" i="92"/>
  <c r="C226" i="92"/>
  <c r="B235" i="92"/>
  <c r="B243" i="92"/>
  <c r="O24" i="92"/>
  <c r="O23" i="92"/>
  <c r="O28" i="92"/>
  <c r="C143" i="92" s="1"/>
  <c r="K146" i="92" s="1"/>
  <c r="E57" i="92"/>
  <c r="E56" i="92"/>
  <c r="O34" i="92"/>
  <c r="Q32" i="92"/>
  <c r="F35" i="92"/>
  <c r="F32" i="92"/>
  <c r="O40" i="92"/>
  <c r="M41" i="92"/>
  <c r="O48" i="92"/>
  <c r="M49" i="92"/>
  <c r="O95" i="92"/>
  <c r="E11" i="76" s="1"/>
  <c r="O35" i="92" l="1"/>
  <c r="V38" i="95"/>
  <c r="V39" i="95"/>
  <c r="Q38" i="95" s="1"/>
  <c r="P38" i="95" s="1"/>
  <c r="T32" i="93"/>
  <c r="P34" i="93"/>
  <c r="T34" i="93" s="1"/>
  <c r="O35" i="93"/>
  <c r="Q44" i="93"/>
  <c r="R44" i="93" s="1"/>
  <c r="Q34" i="93"/>
  <c r="R34" i="93" s="1"/>
  <c r="R32" i="93"/>
  <c r="Q46" i="93"/>
  <c r="R46" i="93" s="1"/>
  <c r="Q48" i="93"/>
  <c r="R48" i="93" s="1"/>
  <c r="Q36" i="95"/>
  <c r="O37" i="95"/>
  <c r="W9" i="95"/>
  <c r="X7" i="95" s="1"/>
  <c r="H43" i="95"/>
  <c r="D57" i="95"/>
  <c r="O43" i="95"/>
  <c r="Q42" i="95"/>
  <c r="O39" i="95"/>
  <c r="K89" i="95"/>
  <c r="M89" i="95" s="1"/>
  <c r="K87" i="95"/>
  <c r="M87" i="95" s="1"/>
  <c r="N98" i="95"/>
  <c r="O98" i="95" s="1"/>
  <c r="H39" i="95"/>
  <c r="D56" i="95"/>
  <c r="AC90" i="94"/>
  <c r="AC92" i="94" s="1"/>
  <c r="AC93" i="94" s="1"/>
  <c r="C135" i="94" s="1"/>
  <c r="C134" i="94"/>
  <c r="C138" i="94" s="1"/>
  <c r="C139" i="94" s="1"/>
  <c r="O38" i="94"/>
  <c r="M39" i="94"/>
  <c r="G39" i="94"/>
  <c r="G41" i="94" s="1"/>
  <c r="H38" i="94"/>
  <c r="G43" i="94"/>
  <c r="H42" i="94"/>
  <c r="F98" i="94"/>
  <c r="C192" i="94"/>
  <c r="T70" i="94"/>
  <c r="T72" i="94" s="1"/>
  <c r="O68" i="94"/>
  <c r="Y81" i="94"/>
  <c r="R33" i="94"/>
  <c r="N86" i="94"/>
  <c r="O86" i="94" s="1"/>
  <c r="C227" i="94"/>
  <c r="D243" i="94"/>
  <c r="Y65" i="94"/>
  <c r="AC67" i="94" s="1"/>
  <c r="AC65" i="94" s="1"/>
  <c r="AC66" i="94" s="1"/>
  <c r="P30" i="94"/>
  <c r="V38" i="94" s="1"/>
  <c r="P31" i="94"/>
  <c r="V9" i="94"/>
  <c r="R49" i="94"/>
  <c r="O42" i="94"/>
  <c r="M43" i="94"/>
  <c r="R47" i="94"/>
  <c r="O36" i="94"/>
  <c r="O37" i="94" s="1"/>
  <c r="M37" i="94"/>
  <c r="K103" i="94"/>
  <c r="M103" i="94" s="1"/>
  <c r="R45" i="94"/>
  <c r="R35" i="94"/>
  <c r="N97" i="94"/>
  <c r="K97" i="94"/>
  <c r="M97" i="94" s="1"/>
  <c r="O73" i="93"/>
  <c r="C143" i="93"/>
  <c r="K146" i="93" s="1"/>
  <c r="O66" i="93"/>
  <c r="K137" i="93" s="1"/>
  <c r="O41" i="93"/>
  <c r="D58" i="93"/>
  <c r="O47" i="93"/>
  <c r="F34" i="93"/>
  <c r="G34" i="93" s="1"/>
  <c r="G35" i="93" s="1"/>
  <c r="G32" i="93"/>
  <c r="G33" i="93" s="1"/>
  <c r="F30" i="93"/>
  <c r="G30" i="93" s="1"/>
  <c r="F101" i="93"/>
  <c r="F96" i="93"/>
  <c r="D59" i="93"/>
  <c r="O45" i="93"/>
  <c r="K46" i="93"/>
  <c r="K47" i="93" s="1"/>
  <c r="K48" i="93"/>
  <c r="K49" i="93" s="1"/>
  <c r="K44" i="93"/>
  <c r="K45" i="93" s="1"/>
  <c r="K34" i="93"/>
  <c r="K30" i="93"/>
  <c r="O49" i="93"/>
  <c r="O33" i="93"/>
  <c r="Q28" i="93" s="1"/>
  <c r="K44" i="92"/>
  <c r="K45" i="92" s="1"/>
  <c r="K46" i="92"/>
  <c r="K47" i="92" s="1"/>
  <c r="K48" i="92"/>
  <c r="K49" i="92" s="1"/>
  <c r="K34" i="92"/>
  <c r="K30" i="92"/>
  <c r="Q48" i="92"/>
  <c r="P48" i="92" s="1"/>
  <c r="O66" i="92"/>
  <c r="K137" i="92" s="1"/>
  <c r="Q46" i="92"/>
  <c r="P46" i="92" s="1"/>
  <c r="R32" i="92"/>
  <c r="Q44" i="92"/>
  <c r="Q34" i="92"/>
  <c r="F96" i="92"/>
  <c r="O73" i="92"/>
  <c r="C73" i="92"/>
  <c r="F101" i="92" s="1"/>
  <c r="D59" i="92"/>
  <c r="O49" i="92"/>
  <c r="F34" i="92"/>
  <c r="G34" i="92" s="1"/>
  <c r="G35" i="92" s="1"/>
  <c r="G32" i="92"/>
  <c r="G33" i="92" s="1"/>
  <c r="F30" i="92"/>
  <c r="G30" i="92" s="1"/>
  <c r="O47" i="92"/>
  <c r="O45" i="92"/>
  <c r="O41" i="92"/>
  <c r="D58" i="92"/>
  <c r="O33" i="92"/>
  <c r="Q28" i="92" s="1"/>
  <c r="X8" i="95" l="1"/>
  <c r="T38" i="95"/>
  <c r="V32" i="95"/>
  <c r="P39" i="95"/>
  <c r="S38" i="95"/>
  <c r="L36" i="92"/>
  <c r="K42" i="92"/>
  <c r="K43" i="92" s="1"/>
  <c r="J43" i="92" s="1"/>
  <c r="K38" i="92"/>
  <c r="K39" i="92" s="1"/>
  <c r="J39" i="92" s="1"/>
  <c r="J38" i="92" s="1"/>
  <c r="P46" i="93"/>
  <c r="K36" i="92"/>
  <c r="K37" i="92" s="1"/>
  <c r="J37" i="92" s="1"/>
  <c r="J36" i="92" s="1"/>
  <c r="P44" i="93"/>
  <c r="P48" i="93"/>
  <c r="Z9" i="95"/>
  <c r="AC9" i="95" s="1"/>
  <c r="Q39" i="95"/>
  <c r="R38" i="95"/>
  <c r="AD7" i="95"/>
  <c r="X9" i="95"/>
  <c r="AG13" i="95"/>
  <c r="N89" i="95"/>
  <c r="O89" i="95" s="1"/>
  <c r="Q43" i="95"/>
  <c r="R42" i="95"/>
  <c r="N87" i="95"/>
  <c r="O87" i="95" s="1"/>
  <c r="R36" i="95"/>
  <c r="Q37" i="95"/>
  <c r="AD8" i="95"/>
  <c r="AA8" i="95" s="1"/>
  <c r="AG14" i="95"/>
  <c r="N103" i="94"/>
  <c r="O103" i="94" s="1"/>
  <c r="C140" i="94"/>
  <c r="AC73" i="94"/>
  <c r="AC75" i="94" s="1"/>
  <c r="AC76" i="94" s="1"/>
  <c r="C141" i="94" s="1"/>
  <c r="K147" i="94" s="1"/>
  <c r="M147" i="94" s="1"/>
  <c r="H75" i="76" s="1"/>
  <c r="E248" i="94"/>
  <c r="C89" i="94" s="1"/>
  <c r="F89" i="94"/>
  <c r="D56" i="94"/>
  <c r="H39" i="94"/>
  <c r="C212" i="94"/>
  <c r="C211" i="94" s="1"/>
  <c r="O97" i="94"/>
  <c r="K98" i="94"/>
  <c r="M98" i="94" s="1"/>
  <c r="O39" i="94"/>
  <c r="V8" i="94"/>
  <c r="W8" i="94" s="1"/>
  <c r="Q31" i="94"/>
  <c r="R31" i="94" s="1"/>
  <c r="P36" i="94"/>
  <c r="P37" i="94" s="1"/>
  <c r="F87" i="94"/>
  <c r="E239" i="94"/>
  <c r="C87" i="94" s="1"/>
  <c r="C127" i="94"/>
  <c r="C128" i="94" s="1"/>
  <c r="C129" i="94" s="1"/>
  <c r="K143" i="94" s="1"/>
  <c r="O43" i="94"/>
  <c r="Q42" i="94"/>
  <c r="D57" i="94"/>
  <c r="H43" i="94"/>
  <c r="V7" i="94"/>
  <c r="W7" i="94" s="1"/>
  <c r="Q30" i="94"/>
  <c r="C136" i="94"/>
  <c r="Q33" i="93"/>
  <c r="Q47" i="93"/>
  <c r="Q45" i="93"/>
  <c r="Q35" i="93"/>
  <c r="Q29" i="93"/>
  <c r="R29" i="93" s="1"/>
  <c r="Q49" i="93"/>
  <c r="P28" i="93"/>
  <c r="P42" i="93"/>
  <c r="T42" i="93" s="1"/>
  <c r="K38" i="93"/>
  <c r="K39" i="93" s="1"/>
  <c r="J39" i="93" s="1"/>
  <c r="F39" i="93" s="1"/>
  <c r="F38" i="93" s="1"/>
  <c r="G38" i="93" s="1"/>
  <c r="K42" i="93"/>
  <c r="K43" i="93" s="1"/>
  <c r="J43" i="93" s="1"/>
  <c r="F43" i="93" s="1"/>
  <c r="F42" i="93" s="1"/>
  <c r="G42" i="93" s="1"/>
  <c r="K96" i="93"/>
  <c r="M96" i="93" s="1"/>
  <c r="F85" i="93"/>
  <c r="E235" i="93"/>
  <c r="C86" i="93" s="1"/>
  <c r="C85" i="93" s="1"/>
  <c r="F86" i="93"/>
  <c r="C124" i="93"/>
  <c r="C125" i="93" s="1"/>
  <c r="L36" i="93"/>
  <c r="L38" i="93"/>
  <c r="L42" i="93"/>
  <c r="K101" i="93"/>
  <c r="M101" i="93" s="1"/>
  <c r="K36" i="93"/>
  <c r="K37" i="93" s="1"/>
  <c r="J37" i="93" s="1"/>
  <c r="Q29" i="92"/>
  <c r="Q33" i="92"/>
  <c r="P28" i="92"/>
  <c r="P49" i="92" s="1"/>
  <c r="Q45" i="92"/>
  <c r="R44" i="92"/>
  <c r="E235" i="92"/>
  <c r="C86" i="92" s="1"/>
  <c r="C85" i="92" s="1"/>
  <c r="F85" i="92"/>
  <c r="F86" i="92"/>
  <c r="C124" i="92"/>
  <c r="C125" i="92" s="1"/>
  <c r="F43" i="92"/>
  <c r="F42" i="92" s="1"/>
  <c r="G42" i="92" s="1"/>
  <c r="J42" i="92"/>
  <c r="F37" i="92"/>
  <c r="F36" i="92" s="1"/>
  <c r="G36" i="92" s="1"/>
  <c r="K96" i="92"/>
  <c r="M96" i="92" s="1"/>
  <c r="K101" i="92"/>
  <c r="M101" i="92" s="1"/>
  <c r="P44" i="92"/>
  <c r="Q35" i="92"/>
  <c r="R34" i="92"/>
  <c r="Q49" i="92"/>
  <c r="R48" i="92"/>
  <c r="Q47" i="92"/>
  <c r="R46" i="92"/>
  <c r="L38" i="92"/>
  <c r="L42" i="92"/>
  <c r="P42" i="92"/>
  <c r="T42" i="92" s="1"/>
  <c r="N101" i="93" l="1"/>
  <c r="F39" i="92"/>
  <c r="F38" i="92" s="1"/>
  <c r="G38" i="92" s="1"/>
  <c r="Q36" i="94"/>
  <c r="I36" i="92"/>
  <c r="J38" i="93"/>
  <c r="R30" i="94"/>
  <c r="V31" i="94"/>
  <c r="V39" i="94"/>
  <c r="Q38" i="94" s="1"/>
  <c r="P38" i="94" s="1"/>
  <c r="R28" i="93"/>
  <c r="R47" i="93" s="1"/>
  <c r="R51" i="93"/>
  <c r="Z8" i="95"/>
  <c r="Y8" i="95" s="1"/>
  <c r="AC8" i="95"/>
  <c r="AB8" i="95" s="1"/>
  <c r="T31" i="95" s="1"/>
  <c r="AC7" i="95"/>
  <c r="AB7" i="95" s="1"/>
  <c r="L179" i="95"/>
  <c r="R43" i="95"/>
  <c r="AD9" i="95"/>
  <c r="AA7" i="95"/>
  <c r="AA9" i="95" s="1"/>
  <c r="AG15" i="95"/>
  <c r="L177" i="95"/>
  <c r="R37" i="95"/>
  <c r="R39" i="95"/>
  <c r="L178" i="95"/>
  <c r="K87" i="94"/>
  <c r="M87" i="94" s="1"/>
  <c r="K89" i="94"/>
  <c r="M89" i="94" s="1"/>
  <c r="W9" i="94"/>
  <c r="X7" i="94" s="1"/>
  <c r="Q37" i="94"/>
  <c r="R36" i="94"/>
  <c r="R37" i="94" s="1"/>
  <c r="N98" i="94"/>
  <c r="O98" i="94" s="1"/>
  <c r="R42" i="94"/>
  <c r="Q43" i="94"/>
  <c r="N96" i="92"/>
  <c r="O96" i="92" s="1"/>
  <c r="P47" i="92"/>
  <c r="P45" i="92"/>
  <c r="N101" i="92"/>
  <c r="O101" i="92" s="1"/>
  <c r="O101" i="93"/>
  <c r="P35" i="93"/>
  <c r="P29" i="93"/>
  <c r="P33" i="93"/>
  <c r="P45" i="93"/>
  <c r="P47" i="93"/>
  <c r="P49" i="93"/>
  <c r="J42" i="93"/>
  <c r="I42" i="93" s="1"/>
  <c r="I43" i="93" s="1"/>
  <c r="P43" i="93"/>
  <c r="S42" i="93"/>
  <c r="M38" i="93"/>
  <c r="V34" i="93" s="1"/>
  <c r="V36" i="93" s="1"/>
  <c r="L39" i="93"/>
  <c r="K85" i="93"/>
  <c r="M85" i="93" s="1"/>
  <c r="I38" i="93"/>
  <c r="I39" i="93" s="1"/>
  <c r="G39" i="93"/>
  <c r="G41" i="93" s="1"/>
  <c r="F37" i="93"/>
  <c r="F36" i="93" s="1"/>
  <c r="G36" i="93" s="1"/>
  <c r="J36" i="93"/>
  <c r="I36" i="93" s="1"/>
  <c r="I37" i="93" s="1"/>
  <c r="N96" i="93"/>
  <c r="O96" i="93" s="1"/>
  <c r="F97" i="93"/>
  <c r="Y64" i="93"/>
  <c r="K71" i="93"/>
  <c r="F103" i="93" s="1"/>
  <c r="G43" i="93"/>
  <c r="M42" i="93"/>
  <c r="L43" i="93"/>
  <c r="K86" i="93"/>
  <c r="M86" i="93" s="1"/>
  <c r="L37" i="93"/>
  <c r="M36" i="93"/>
  <c r="O36" i="93" s="1"/>
  <c r="C230" i="93"/>
  <c r="C99" i="93" s="1"/>
  <c r="C243" i="93"/>
  <c r="G39" i="92"/>
  <c r="G41" i="92" s="1"/>
  <c r="I38" i="92"/>
  <c r="I39" i="92" s="1"/>
  <c r="M38" i="92"/>
  <c r="V34" i="92" s="1"/>
  <c r="V36" i="92" s="1"/>
  <c r="L39" i="92"/>
  <c r="L37" i="92"/>
  <c r="M36" i="92"/>
  <c r="O36" i="92" s="1"/>
  <c r="P43" i="92"/>
  <c r="S42" i="92"/>
  <c r="K86" i="92"/>
  <c r="M86" i="92" s="1"/>
  <c r="M42" i="92"/>
  <c r="L43" i="92"/>
  <c r="I37" i="92"/>
  <c r="K85" i="92"/>
  <c r="N85" i="92" s="1"/>
  <c r="F97" i="92"/>
  <c r="Y64" i="92"/>
  <c r="K71" i="92"/>
  <c r="F103" i="92" s="1"/>
  <c r="P35" i="92"/>
  <c r="P29" i="92"/>
  <c r="P33" i="92"/>
  <c r="G37" i="92"/>
  <c r="G43" i="92"/>
  <c r="I42" i="92"/>
  <c r="I43" i="92" s="1"/>
  <c r="C230" i="92"/>
  <c r="C99" i="92" s="1"/>
  <c r="R29" i="92"/>
  <c r="C243" i="92"/>
  <c r="R38" i="94" l="1"/>
  <c r="Q39" i="94"/>
  <c r="N86" i="93"/>
  <c r="H42" i="92"/>
  <c r="V9" i="92"/>
  <c r="P31" i="92"/>
  <c r="H38" i="92"/>
  <c r="V29" i="94"/>
  <c r="T38" i="94"/>
  <c r="S38" i="94" s="1"/>
  <c r="V40" i="94" s="1"/>
  <c r="P39" i="94"/>
  <c r="R49" i="93"/>
  <c r="R33" i="93"/>
  <c r="R45" i="93"/>
  <c r="R35" i="93"/>
  <c r="N178" i="95"/>
  <c r="L183" i="95"/>
  <c r="T36" i="95"/>
  <c r="AB9" i="95"/>
  <c r="T29" i="95" s="1"/>
  <c r="T30" i="95"/>
  <c r="Z7" i="95"/>
  <c r="Y7" i="95" s="1"/>
  <c r="T8" i="95"/>
  <c r="S31" i="95"/>
  <c r="S36" i="95" s="1"/>
  <c r="AF5" i="95"/>
  <c r="L182" i="95"/>
  <c r="N177" i="95"/>
  <c r="L184" i="95"/>
  <c r="N179" i="95"/>
  <c r="N87" i="94"/>
  <c r="R39" i="94"/>
  <c r="L178" i="94"/>
  <c r="Z9" i="94"/>
  <c r="AC9" i="94"/>
  <c r="AD7" i="94"/>
  <c r="AG13" i="94"/>
  <c r="X8" i="94"/>
  <c r="N89" i="94"/>
  <c r="O89" i="94" s="1"/>
  <c r="L177" i="94"/>
  <c r="O87" i="94"/>
  <c r="L179" i="94"/>
  <c r="R43" i="94"/>
  <c r="N86" i="92"/>
  <c r="R51" i="92"/>
  <c r="N85" i="93"/>
  <c r="Y65" i="93"/>
  <c r="AC67" i="93" s="1"/>
  <c r="AC65" i="93" s="1"/>
  <c r="AC66" i="93" s="1"/>
  <c r="P30" i="93"/>
  <c r="Q30" i="93" s="1"/>
  <c r="R30" i="93" s="1"/>
  <c r="P31" i="93"/>
  <c r="P36" i="93" s="1"/>
  <c r="Q36" i="93" s="1"/>
  <c r="H38" i="93"/>
  <c r="H39" i="93" s="1"/>
  <c r="H42" i="93"/>
  <c r="H43" i="93" s="1"/>
  <c r="M37" i="93"/>
  <c r="M43" i="93"/>
  <c r="O42" i="93"/>
  <c r="G37" i="93"/>
  <c r="H36" i="93"/>
  <c r="H37" i="93" s="1"/>
  <c r="C227" i="93"/>
  <c r="D243" i="93"/>
  <c r="V9" i="93"/>
  <c r="K103" i="93"/>
  <c r="M103" i="93" s="1"/>
  <c r="O86" i="93"/>
  <c r="O38" i="93"/>
  <c r="M39" i="93"/>
  <c r="K97" i="93"/>
  <c r="M97" i="93" s="1"/>
  <c r="B248" i="93"/>
  <c r="B239" i="93"/>
  <c r="Y82" i="93"/>
  <c r="AC84" i="93" s="1"/>
  <c r="AC82" i="93" s="1"/>
  <c r="AC83" i="93" s="1"/>
  <c r="C192" i="93"/>
  <c r="C229" i="93"/>
  <c r="C98" i="93" s="1"/>
  <c r="O86" i="92"/>
  <c r="O37" i="92"/>
  <c r="M37" i="92"/>
  <c r="H43" i="92"/>
  <c r="C227" i="92"/>
  <c r="D243" i="92"/>
  <c r="Y65" i="92"/>
  <c r="AC67" i="92" s="1"/>
  <c r="AC65" i="92" s="1"/>
  <c r="AC66" i="92" s="1"/>
  <c r="P30" i="92"/>
  <c r="V7" i="92" s="1"/>
  <c r="B248" i="92"/>
  <c r="B239" i="92"/>
  <c r="Y82" i="92"/>
  <c r="AC84" i="92" s="1"/>
  <c r="AC82" i="92" s="1"/>
  <c r="AC83" i="92" s="1"/>
  <c r="C229" i="92"/>
  <c r="C98" i="92" s="1"/>
  <c r="R28" i="92"/>
  <c r="C192" i="92" s="1"/>
  <c r="H36" i="92"/>
  <c r="H37" i="92" s="1"/>
  <c r="O38" i="92"/>
  <c r="M39" i="92"/>
  <c r="K103" i="92"/>
  <c r="M103" i="92" s="1"/>
  <c r="O42" i="92"/>
  <c r="M43" i="92"/>
  <c r="K97" i="92"/>
  <c r="M97" i="92" s="1"/>
  <c r="H39" i="92"/>
  <c r="D56" i="92"/>
  <c r="V8" i="92" l="1"/>
  <c r="P36" i="92"/>
  <c r="O43" i="92"/>
  <c r="Q42" i="92"/>
  <c r="O39" i="92"/>
  <c r="D57" i="92"/>
  <c r="T24" i="95"/>
  <c r="V40" i="93"/>
  <c r="Q38" i="93" s="1"/>
  <c r="P38" i="93" s="1"/>
  <c r="V38" i="92"/>
  <c r="V38" i="93"/>
  <c r="N184" i="95"/>
  <c r="P179" i="95"/>
  <c r="P184" i="95" s="1"/>
  <c r="B247" i="95"/>
  <c r="C231" i="95"/>
  <c r="C100" i="95" s="1"/>
  <c r="T28" i="95"/>
  <c r="L189" i="95"/>
  <c r="T23" i="95"/>
  <c r="L190" i="95"/>
  <c r="L188" i="95"/>
  <c r="S30" i="95"/>
  <c r="T7" i="95"/>
  <c r="Y9" i="95"/>
  <c r="P177" i="95"/>
  <c r="P182" i="95" s="1"/>
  <c r="N182" i="95"/>
  <c r="N183" i="95"/>
  <c r="P178" i="95"/>
  <c r="P183" i="95" s="1"/>
  <c r="AC7" i="94"/>
  <c r="AB7" i="94" s="1"/>
  <c r="N177" i="94"/>
  <c r="L182" i="94"/>
  <c r="L183" i="94"/>
  <c r="N178" i="94"/>
  <c r="AG14" i="94"/>
  <c r="AG15" i="94" s="1"/>
  <c r="AD8" i="94"/>
  <c r="AA8" i="94" s="1"/>
  <c r="Z8" i="94" s="1"/>
  <c r="Y8" i="94" s="1"/>
  <c r="X9" i="94"/>
  <c r="L184" i="94"/>
  <c r="N179" i="94"/>
  <c r="AA7" i="94"/>
  <c r="N97" i="92"/>
  <c r="Q36" i="92"/>
  <c r="Q37" i="92" s="1"/>
  <c r="P37" i="92"/>
  <c r="D57" i="93"/>
  <c r="O43" i="93"/>
  <c r="Q42" i="93"/>
  <c r="Q31" i="93"/>
  <c r="R31" i="93" s="1"/>
  <c r="P37" i="93"/>
  <c r="O39" i="93"/>
  <c r="D56" i="93"/>
  <c r="O37" i="93"/>
  <c r="F30" i="76"/>
  <c r="I126" i="21"/>
  <c r="F31" i="76"/>
  <c r="I126" i="74"/>
  <c r="AC73" i="93"/>
  <c r="AC75" i="93" s="1"/>
  <c r="AC76" i="93" s="1"/>
  <c r="C141" i="93" s="1"/>
  <c r="C140" i="93"/>
  <c r="F98" i="93"/>
  <c r="T70" i="93"/>
  <c r="T72" i="93" s="1"/>
  <c r="Y81" i="93"/>
  <c r="O68" i="93"/>
  <c r="N103" i="93"/>
  <c r="O103" i="93" s="1"/>
  <c r="AC90" i="93"/>
  <c r="AC92" i="93" s="1"/>
  <c r="AC93" i="93" s="1"/>
  <c r="C135" i="93" s="1"/>
  <c r="C134" i="93"/>
  <c r="C138" i="93" s="1"/>
  <c r="C139" i="93" s="1"/>
  <c r="N97" i="93"/>
  <c r="O97" i="93" s="1"/>
  <c r="V8" i="93"/>
  <c r="W8" i="93" s="1"/>
  <c r="V7" i="93"/>
  <c r="W7" i="93" s="1"/>
  <c r="F98" i="92"/>
  <c r="O68" i="92"/>
  <c r="C127" i="92" s="1"/>
  <c r="T70" i="92"/>
  <c r="T72" i="92" s="1"/>
  <c r="Y81" i="92"/>
  <c r="R33" i="92"/>
  <c r="R49" i="92"/>
  <c r="R47" i="92"/>
  <c r="R45" i="92"/>
  <c r="R35" i="92"/>
  <c r="AC90" i="92"/>
  <c r="AC92" i="92" s="1"/>
  <c r="AC93" i="92" s="1"/>
  <c r="C135" i="92" s="1"/>
  <c r="C134" i="92"/>
  <c r="C138" i="92" s="1"/>
  <c r="C139" i="92" s="1"/>
  <c r="Q30" i="92"/>
  <c r="C140" i="92"/>
  <c r="AC73" i="92"/>
  <c r="AC75" i="92" s="1"/>
  <c r="AC76" i="92" s="1"/>
  <c r="C141" i="92" s="1"/>
  <c r="Q31" i="92"/>
  <c r="R31" i="92" s="1"/>
  <c r="N103" i="92"/>
  <c r="O103" i="92" s="1"/>
  <c r="R36" i="92"/>
  <c r="L177" i="92" s="1"/>
  <c r="O97" i="92"/>
  <c r="AA9" i="94" l="1"/>
  <c r="Z7" i="94"/>
  <c r="Y7" i="94" s="1"/>
  <c r="V42" i="93"/>
  <c r="T38" i="93"/>
  <c r="S38" i="93"/>
  <c r="P39" i="93"/>
  <c r="R30" i="92"/>
  <c r="V40" i="92"/>
  <c r="Q38" i="92" s="1"/>
  <c r="P38" i="92" s="1"/>
  <c r="AD9" i="94"/>
  <c r="R42" i="92"/>
  <c r="Q43" i="92"/>
  <c r="T9" i="95"/>
  <c r="S29" i="95"/>
  <c r="S28" i="95" s="1"/>
  <c r="F100" i="95"/>
  <c r="T65" i="95"/>
  <c r="C191" i="95"/>
  <c r="C210" i="95" s="1"/>
  <c r="T33" i="95"/>
  <c r="T35" i="95"/>
  <c r="T43" i="95"/>
  <c r="P177" i="94"/>
  <c r="P182" i="94" s="1"/>
  <c r="N182" i="94"/>
  <c r="T8" i="94"/>
  <c r="S31" i="94"/>
  <c r="S36" i="94" s="1"/>
  <c r="AF5" i="94"/>
  <c r="P178" i="94"/>
  <c r="P183" i="94" s="1"/>
  <c r="N183" i="94"/>
  <c r="T30" i="94"/>
  <c r="AC8" i="94"/>
  <c r="AB8" i="94" s="1"/>
  <c r="T31" i="94" s="1"/>
  <c r="S30" i="94"/>
  <c r="Y9" i="94"/>
  <c r="T7" i="94"/>
  <c r="N184" i="94"/>
  <c r="P179" i="94"/>
  <c r="P184" i="94" s="1"/>
  <c r="R42" i="93"/>
  <c r="Q43" i="93"/>
  <c r="R38" i="93"/>
  <c r="Q39" i="93"/>
  <c r="K147" i="93"/>
  <c r="M147" i="93" s="1"/>
  <c r="H76" i="76" s="1"/>
  <c r="E248" i="93"/>
  <c r="F89" i="93"/>
  <c r="W9" i="93"/>
  <c r="K98" i="93"/>
  <c r="M98" i="93" s="1"/>
  <c r="C127" i="93"/>
  <c r="C128" i="93" s="1"/>
  <c r="C129" i="93" s="1"/>
  <c r="K143" i="93" s="1"/>
  <c r="F87" i="93"/>
  <c r="E239" i="93"/>
  <c r="C87" i="93" s="1"/>
  <c r="C136" i="93"/>
  <c r="C212" i="93"/>
  <c r="C211" i="93" s="1"/>
  <c r="C136" i="92"/>
  <c r="K147" i="92"/>
  <c r="M147" i="92" s="1"/>
  <c r="C128" i="92"/>
  <c r="F87" i="92"/>
  <c r="E239" i="92"/>
  <c r="C87" i="92" s="1"/>
  <c r="E248" i="92"/>
  <c r="C89" i="92" s="1"/>
  <c r="F89" i="92"/>
  <c r="C212" i="92"/>
  <c r="C211" i="92" s="1"/>
  <c r="R37" i="92"/>
  <c r="C30" i="76"/>
  <c r="K98" i="92"/>
  <c r="M98" i="92" s="1"/>
  <c r="R38" i="92" l="1"/>
  <c r="Q39" i="92"/>
  <c r="L179" i="92"/>
  <c r="R43" i="92"/>
  <c r="D198" i="95"/>
  <c r="C209" i="95"/>
  <c r="K100" i="95"/>
  <c r="M100" i="95" s="1"/>
  <c r="F99" i="95"/>
  <c r="S35" i="95"/>
  <c r="S33" i="95"/>
  <c r="T39" i="95"/>
  <c r="S39" i="95"/>
  <c r="S43" i="95"/>
  <c r="T37" i="95"/>
  <c r="S37" i="95"/>
  <c r="F88" i="95"/>
  <c r="T67" i="95"/>
  <c r="E247" i="95" s="1"/>
  <c r="C88" i="95" s="1"/>
  <c r="T36" i="94"/>
  <c r="S29" i="94"/>
  <c r="S28" i="94" s="1"/>
  <c r="T9" i="94"/>
  <c r="AB9" i="94"/>
  <c r="T29" i="94" s="1"/>
  <c r="R39" i="93"/>
  <c r="L178" i="93"/>
  <c r="R36" i="93"/>
  <c r="Q37" i="93"/>
  <c r="R43" i="93"/>
  <c r="L179" i="93"/>
  <c r="N98" i="92"/>
  <c r="O98" i="92" s="1"/>
  <c r="C129" i="92"/>
  <c r="K143" i="92" s="1"/>
  <c r="Z9" i="93"/>
  <c r="AC9" i="93"/>
  <c r="K87" i="93"/>
  <c r="M87" i="93" s="1"/>
  <c r="X7" i="93"/>
  <c r="K89" i="93"/>
  <c r="M89" i="93" s="1"/>
  <c r="X8" i="93"/>
  <c r="AD8" i="93" s="1"/>
  <c r="N98" i="93"/>
  <c r="O98" i="93" s="1"/>
  <c r="K87" i="92"/>
  <c r="M87" i="92" s="1"/>
  <c r="N177" i="92"/>
  <c r="N182" i="92" s="1"/>
  <c r="L182" i="92"/>
  <c r="Z9" i="92"/>
  <c r="AC9" i="92" s="1"/>
  <c r="K89" i="92"/>
  <c r="M89" i="92" s="1"/>
  <c r="V42" i="94" l="1"/>
  <c r="V29" i="95"/>
  <c r="T38" i="92"/>
  <c r="S38" i="92" s="1"/>
  <c r="P39" i="92"/>
  <c r="E30" i="76"/>
  <c r="L184" i="92"/>
  <c r="N179" i="92"/>
  <c r="L178" i="92"/>
  <c r="R39" i="92"/>
  <c r="K88" i="95"/>
  <c r="M88" i="95" s="1"/>
  <c r="K99" i="95"/>
  <c r="M99" i="95" s="1"/>
  <c r="N99" i="95"/>
  <c r="N100" i="95"/>
  <c r="O100" i="95" s="1"/>
  <c r="L198" i="95"/>
  <c r="J198" i="95"/>
  <c r="I198" i="95"/>
  <c r="H198" i="95"/>
  <c r="M198" i="95"/>
  <c r="K198" i="95"/>
  <c r="G198" i="95"/>
  <c r="F198" i="95"/>
  <c r="E198" i="95"/>
  <c r="F99" i="94"/>
  <c r="S33" i="94"/>
  <c r="S35" i="94"/>
  <c r="T39" i="94"/>
  <c r="S43" i="94"/>
  <c r="S39" i="94"/>
  <c r="B247" i="94"/>
  <c r="C231" i="94"/>
  <c r="C100" i="94" s="1"/>
  <c r="T28" i="94"/>
  <c r="L189" i="94"/>
  <c r="T23" i="94"/>
  <c r="L190" i="94"/>
  <c r="T24" i="94"/>
  <c r="L188" i="94"/>
  <c r="T37" i="94"/>
  <c r="S37" i="94"/>
  <c r="E31" i="76"/>
  <c r="N179" i="93"/>
  <c r="L184" i="93"/>
  <c r="D31" i="76"/>
  <c r="N178" i="93"/>
  <c r="L183" i="93"/>
  <c r="R37" i="93"/>
  <c r="L177" i="93"/>
  <c r="N87" i="92"/>
  <c r="O87" i="92" s="1"/>
  <c r="N87" i="93"/>
  <c r="O87" i="93" s="1"/>
  <c r="N89" i="93"/>
  <c r="O89" i="93" s="1"/>
  <c r="AD7" i="93"/>
  <c r="X9" i="93"/>
  <c r="AG13" i="93"/>
  <c r="AG14" i="93"/>
  <c r="AA8" i="93"/>
  <c r="Z8" i="93" s="1"/>
  <c r="Y8" i="93" s="1"/>
  <c r="S31" i="93" s="1"/>
  <c r="S36" i="93" s="1"/>
  <c r="N89" i="92"/>
  <c r="O89" i="92" s="1"/>
  <c r="P177" i="92"/>
  <c r="P182" i="92" s="1"/>
  <c r="AG14" i="92"/>
  <c r="AD8" i="92"/>
  <c r="AA8" i="92" s="1"/>
  <c r="Z8" i="92" s="1"/>
  <c r="Y8" i="92" s="1"/>
  <c r="AF5" i="92" s="1"/>
  <c r="AD7" i="92"/>
  <c r="X9" i="92"/>
  <c r="AG13" i="92"/>
  <c r="D30" i="76" l="1"/>
  <c r="N178" i="92"/>
  <c r="L183" i="92"/>
  <c r="N88" i="95"/>
  <c r="O88" i="95" s="1"/>
  <c r="P179" i="92"/>
  <c r="P184" i="92" s="1"/>
  <c r="N184" i="92"/>
  <c r="AG15" i="92"/>
  <c r="O99" i="95"/>
  <c r="F100" i="94"/>
  <c r="C191" i="94"/>
  <c r="C210" i="94" s="1"/>
  <c r="T65" i="94"/>
  <c r="T33" i="94"/>
  <c r="T35" i="94"/>
  <c r="T43" i="94"/>
  <c r="K99" i="94"/>
  <c r="M99" i="94" s="1"/>
  <c r="C31" i="76"/>
  <c r="N177" i="93"/>
  <c r="L182" i="93"/>
  <c r="N183" i="93"/>
  <c r="P178" i="93"/>
  <c r="P183" i="93" s="1"/>
  <c r="N184" i="93"/>
  <c r="P179" i="93"/>
  <c r="P184" i="93" s="1"/>
  <c r="AF5" i="93"/>
  <c r="T8" i="93"/>
  <c r="AG15" i="93"/>
  <c r="AA7" i="93"/>
  <c r="AD9" i="93"/>
  <c r="AC8" i="93"/>
  <c r="AB8" i="93" s="1"/>
  <c r="T31" i="93" s="1"/>
  <c r="AC7" i="93"/>
  <c r="AB7" i="93" s="1"/>
  <c r="T30" i="93" s="1"/>
  <c r="T8" i="92"/>
  <c r="S31" i="92"/>
  <c r="S36" i="92" s="1"/>
  <c r="AD9" i="92"/>
  <c r="AA7" i="92"/>
  <c r="AC7" i="92"/>
  <c r="AB7" i="92" s="1"/>
  <c r="AC8" i="92"/>
  <c r="AB8" i="92" s="1"/>
  <c r="T31" i="92" s="1"/>
  <c r="T36" i="92" s="1"/>
  <c r="H178" i="76"/>
  <c r="T36" i="93" l="1"/>
  <c r="N183" i="92"/>
  <c r="P178" i="92"/>
  <c r="P183" i="92" s="1"/>
  <c r="N99" i="94"/>
  <c r="O99" i="94" s="1"/>
  <c r="F88" i="94"/>
  <c r="T67" i="94"/>
  <c r="E247" i="94" s="1"/>
  <c r="C88" i="94" s="1"/>
  <c r="D198" i="94"/>
  <c r="C209" i="94"/>
  <c r="K100" i="94"/>
  <c r="M100" i="94" s="1"/>
  <c r="P177" i="93"/>
  <c r="P182" i="93" s="1"/>
  <c r="N182" i="93"/>
  <c r="AA9" i="93"/>
  <c r="Z7" i="93"/>
  <c r="Y7" i="93" s="1"/>
  <c r="S30" i="93" s="1"/>
  <c r="AB9" i="93"/>
  <c r="T29" i="93" s="1"/>
  <c r="AA9" i="92"/>
  <c r="Z7" i="92"/>
  <c r="Y7" i="92" s="1"/>
  <c r="T30" i="92"/>
  <c r="AB9" i="92"/>
  <c r="T29" i="92" s="1"/>
  <c r="T28" i="93" l="1"/>
  <c r="T23" i="93"/>
  <c r="T24" i="93"/>
  <c r="M198" i="94"/>
  <c r="E198" i="94"/>
  <c r="L198" i="94"/>
  <c r="K198" i="94"/>
  <c r="J198" i="94"/>
  <c r="I198" i="94"/>
  <c r="H198" i="94"/>
  <c r="G198" i="94"/>
  <c r="F198" i="94"/>
  <c r="N100" i="94"/>
  <c r="O100" i="94" s="1"/>
  <c r="K88" i="94"/>
  <c r="M88" i="94" s="1"/>
  <c r="T24" i="92"/>
  <c r="T23" i="92"/>
  <c r="T33" i="93"/>
  <c r="T35" i="93"/>
  <c r="T43" i="93"/>
  <c r="C191" i="93"/>
  <c r="I124" i="74" s="1"/>
  <c r="B247" i="93"/>
  <c r="C231" i="93"/>
  <c r="C100" i="93" s="1"/>
  <c r="L189" i="93"/>
  <c r="L190" i="93"/>
  <c r="Y9" i="93"/>
  <c r="S29" i="93" s="1"/>
  <c r="S28" i="93" s="1"/>
  <c r="T7" i="93"/>
  <c r="L188" i="93"/>
  <c r="T7" i="92"/>
  <c r="S30" i="92"/>
  <c r="Y9" i="92"/>
  <c r="B247" i="92"/>
  <c r="C231" i="92"/>
  <c r="C100" i="92" s="1"/>
  <c r="T28" i="92"/>
  <c r="L189" i="92"/>
  <c r="L190" i="92"/>
  <c r="L188" i="92"/>
  <c r="N88" i="94" l="1"/>
  <c r="O88" i="94" s="1"/>
  <c r="S33" i="93"/>
  <c r="S35" i="93"/>
  <c r="S39" i="93"/>
  <c r="T39" i="93"/>
  <c r="S43" i="93"/>
  <c r="S37" i="93"/>
  <c r="T37" i="93"/>
  <c r="T9" i="93"/>
  <c r="F100" i="93"/>
  <c r="T65" i="93"/>
  <c r="C210" i="93"/>
  <c r="F100" i="92"/>
  <c r="C191" i="92"/>
  <c r="T65" i="92"/>
  <c r="T35" i="92"/>
  <c r="T33" i="92"/>
  <c r="T43" i="92"/>
  <c r="T9" i="92"/>
  <c r="S29" i="92"/>
  <c r="S28" i="92" s="1"/>
  <c r="C210" i="92" l="1"/>
  <c r="C209" i="92" s="1"/>
  <c r="I124" i="21"/>
  <c r="D198" i="93"/>
  <c r="C209" i="93"/>
  <c r="F88" i="93"/>
  <c r="T67" i="93"/>
  <c r="E247" i="93" s="1"/>
  <c r="C88" i="93" s="1"/>
  <c r="F99" i="93"/>
  <c r="K100" i="93"/>
  <c r="M100" i="93" s="1"/>
  <c r="F99" i="92"/>
  <c r="S35" i="92"/>
  <c r="S33" i="92"/>
  <c r="T39" i="92"/>
  <c r="S39" i="92"/>
  <c r="S43" i="92"/>
  <c r="S37" i="92"/>
  <c r="T37" i="92"/>
  <c r="F88" i="92"/>
  <c r="T67" i="92"/>
  <c r="E247" i="92" s="1"/>
  <c r="C88" i="92" s="1"/>
  <c r="K100" i="92"/>
  <c r="M100" i="92" s="1"/>
  <c r="R24" i="51"/>
  <c r="F51" i="76"/>
  <c r="S128" i="21"/>
  <c r="R128" i="21"/>
  <c r="Q128" i="9"/>
  <c r="S128" i="9"/>
  <c r="D198" i="92" l="1"/>
  <c r="K198" i="92" s="1"/>
  <c r="N100" i="92"/>
  <c r="O100" i="92" s="1"/>
  <c r="N100" i="93"/>
  <c r="O100" i="93" s="1"/>
  <c r="K99" i="93"/>
  <c r="M99" i="93" s="1"/>
  <c r="K88" i="93"/>
  <c r="M88" i="93" s="1"/>
  <c r="M198" i="93"/>
  <c r="E198" i="93"/>
  <c r="L198" i="93"/>
  <c r="K198" i="93"/>
  <c r="J198" i="93"/>
  <c r="I198" i="93"/>
  <c r="G198" i="93"/>
  <c r="H198" i="93"/>
  <c r="F198" i="93"/>
  <c r="K88" i="92"/>
  <c r="M88" i="92" s="1"/>
  <c r="K99" i="92"/>
  <c r="M99" i="92" s="1"/>
  <c r="K120" i="7"/>
  <c r="K120" i="51"/>
  <c r="G24" i="80"/>
  <c r="K24" i="80" s="1"/>
  <c r="O24" i="80" s="1"/>
  <c r="G23" i="80"/>
  <c r="K23" i="80" s="1"/>
  <c r="O23" i="80" s="1"/>
  <c r="H95" i="76"/>
  <c r="N95" i="76"/>
  <c r="L95" i="76"/>
  <c r="N87" i="76"/>
  <c r="L87" i="76"/>
  <c r="C200" i="74"/>
  <c r="B200" i="74"/>
  <c r="I95" i="76"/>
  <c r="K95" i="76"/>
  <c r="K87" i="76"/>
  <c r="I87" i="76"/>
  <c r="C200" i="21"/>
  <c r="B200" i="21"/>
  <c r="C95" i="76"/>
  <c r="E95" i="76"/>
  <c r="F95" i="76"/>
  <c r="H87" i="76"/>
  <c r="F87" i="76"/>
  <c r="C200" i="12"/>
  <c r="B200" i="12"/>
  <c r="E87" i="76"/>
  <c r="C87" i="76"/>
  <c r="AB191" i="76"/>
  <c r="T191" i="76"/>
  <c r="AI185" i="76"/>
  <c r="AI186" i="76" s="1"/>
  <c r="AI187" i="76" s="1"/>
  <c r="AH185" i="76"/>
  <c r="AH186" i="76" s="1"/>
  <c r="AH187" i="76" s="1"/>
  <c r="AG185" i="76"/>
  <c r="AG186" i="76" s="1"/>
  <c r="AG187" i="76" s="1"/>
  <c r="AF185" i="76"/>
  <c r="AF186" i="76" s="1"/>
  <c r="AF187" i="76" s="1"/>
  <c r="AE185" i="76"/>
  <c r="AE186" i="76" s="1"/>
  <c r="AE187" i="76" s="1"/>
  <c r="AD185" i="76"/>
  <c r="AD186" i="76" s="1"/>
  <c r="AD187" i="76" s="1"/>
  <c r="AC185" i="76"/>
  <c r="AC186" i="76" s="1"/>
  <c r="AC187" i="76" s="1"/>
  <c r="AB185" i="76"/>
  <c r="AB186" i="76" s="1"/>
  <c r="AB187" i="76" s="1"/>
  <c r="AA185" i="76"/>
  <c r="AA186" i="76" s="1"/>
  <c r="AA187" i="76" s="1"/>
  <c r="Z185" i="76"/>
  <c r="Z186" i="76" s="1"/>
  <c r="Z187" i="76" s="1"/>
  <c r="Y185" i="76"/>
  <c r="Y186" i="76" s="1"/>
  <c r="Y187" i="76" s="1"/>
  <c r="X185" i="76"/>
  <c r="X186" i="76" s="1"/>
  <c r="X187" i="76" s="1"/>
  <c r="W185" i="76"/>
  <c r="W186" i="76" s="1"/>
  <c r="W187" i="76" s="1"/>
  <c r="V185" i="76"/>
  <c r="V186" i="76" s="1"/>
  <c r="V187" i="76" s="1"/>
  <c r="U185" i="76"/>
  <c r="U186" i="76" s="1"/>
  <c r="U187" i="76" s="1"/>
  <c r="T185" i="76"/>
  <c r="T186" i="76" s="1"/>
  <c r="T187" i="76" s="1"/>
  <c r="S185" i="76"/>
  <c r="S186" i="76" s="1"/>
  <c r="S187" i="76" s="1"/>
  <c r="R185" i="76"/>
  <c r="R186" i="76" s="1"/>
  <c r="R187" i="76" s="1"/>
  <c r="Q185" i="76"/>
  <c r="Q186" i="76" s="1"/>
  <c r="Q187" i="76" s="1"/>
  <c r="P185" i="76"/>
  <c r="P186" i="76" s="1"/>
  <c r="P187" i="76" s="1"/>
  <c r="O185" i="76"/>
  <c r="O186" i="76" s="1"/>
  <c r="O187" i="76" s="1"/>
  <c r="N185" i="76"/>
  <c r="N186" i="76" s="1"/>
  <c r="N187" i="76" s="1"/>
  <c r="M185" i="76"/>
  <c r="M186" i="76" s="1"/>
  <c r="M187" i="76" s="1"/>
  <c r="L185" i="76"/>
  <c r="L186" i="76" s="1"/>
  <c r="L187" i="76" s="1"/>
  <c r="K185" i="76"/>
  <c r="K186" i="76" s="1"/>
  <c r="K187" i="76" s="1"/>
  <c r="J185" i="76"/>
  <c r="J186" i="76" s="1"/>
  <c r="J187" i="76" s="1"/>
  <c r="I185" i="76"/>
  <c r="I186" i="76" s="1"/>
  <c r="I187" i="76" s="1"/>
  <c r="H185" i="76"/>
  <c r="H186" i="76" s="1"/>
  <c r="H187" i="76" s="1"/>
  <c r="G185" i="76"/>
  <c r="G186" i="76" s="1"/>
  <c r="G187" i="76" s="1"/>
  <c r="F185" i="76"/>
  <c r="F186" i="76" s="1"/>
  <c r="F187" i="76" s="1"/>
  <c r="E185" i="76"/>
  <c r="E186" i="76" s="1"/>
  <c r="E187" i="76" s="1"/>
  <c r="D185" i="76"/>
  <c r="D186" i="76" s="1"/>
  <c r="D187" i="76" s="1"/>
  <c r="C185" i="76"/>
  <c r="C186" i="76" s="1"/>
  <c r="C187" i="76" s="1"/>
  <c r="H182" i="76"/>
  <c r="O188" i="76" s="1"/>
  <c r="H181" i="76"/>
  <c r="AD190" i="76" s="1"/>
  <c r="H180" i="76"/>
  <c r="H179" i="76"/>
  <c r="AB192" i="76" s="1"/>
  <c r="AC191" i="76"/>
  <c r="H177" i="76"/>
  <c r="AE189" i="76" s="1"/>
  <c r="E51" i="76"/>
  <c r="D51" i="76"/>
  <c r="C51" i="76"/>
  <c r="F50" i="76"/>
  <c r="E50" i="76"/>
  <c r="D50" i="76"/>
  <c r="C50" i="76"/>
  <c r="H49" i="76"/>
  <c r="H48" i="76"/>
  <c r="H47" i="76"/>
  <c r="H46" i="76"/>
  <c r="C208" i="76"/>
  <c r="C247" i="76" s="1"/>
  <c r="C207" i="76"/>
  <c r="C246" i="76" s="1"/>
  <c r="E23" i="76"/>
  <c r="C206" i="76" s="1"/>
  <c r="C245" i="76" s="1"/>
  <c r="E22" i="76"/>
  <c r="C205" i="76" s="1"/>
  <c r="C244" i="76" s="1"/>
  <c r="T7" i="76"/>
  <c r="T6" i="76"/>
  <c r="V5" i="76"/>
  <c r="W11" i="76" s="1"/>
  <c r="V4" i="76"/>
  <c r="W10" i="76" s="1"/>
  <c r="B200" i="9"/>
  <c r="C200" i="9"/>
  <c r="R24" i="7"/>
  <c r="AC190" i="76" l="1"/>
  <c r="AA192" i="76"/>
  <c r="V189" i="76"/>
  <c r="U190" i="76"/>
  <c r="S192" i="76"/>
  <c r="F198" i="92"/>
  <c r="G198" i="92"/>
  <c r="L198" i="92"/>
  <c r="I198" i="92"/>
  <c r="E198" i="92"/>
  <c r="J198" i="92"/>
  <c r="M198" i="92"/>
  <c r="H198" i="92"/>
  <c r="N88" i="93"/>
  <c r="O88" i="93" s="1"/>
  <c r="G14" i="76" s="1"/>
  <c r="N88" i="92"/>
  <c r="O88" i="92" s="1"/>
  <c r="G11" i="76" s="1"/>
  <c r="N99" i="93"/>
  <c r="O99" i="93" s="1"/>
  <c r="F14" i="76" s="1"/>
  <c r="N99" i="92"/>
  <c r="O99" i="92" s="1"/>
  <c r="F11" i="76" s="1"/>
  <c r="X189" i="76"/>
  <c r="W190" i="76"/>
  <c r="V191" i="76"/>
  <c r="U192" i="76"/>
  <c r="AF189" i="76"/>
  <c r="AF194" i="76" s="1"/>
  <c r="AE190" i="76"/>
  <c r="AE195" i="76" s="1"/>
  <c r="AD191" i="76"/>
  <c r="AD196" i="76" s="1"/>
  <c r="AC192" i="76"/>
  <c r="F189" i="76"/>
  <c r="E190" i="76"/>
  <c r="D191" i="76"/>
  <c r="C192" i="76"/>
  <c r="AI192" i="76"/>
  <c r="AD189" i="76"/>
  <c r="AD194" i="76" s="1"/>
  <c r="H189" i="76"/>
  <c r="H194" i="76" s="1"/>
  <c r="G190" i="76"/>
  <c r="F191" i="76"/>
  <c r="E192" i="76"/>
  <c r="E197" i="76" s="1"/>
  <c r="N189" i="76"/>
  <c r="M190" i="76"/>
  <c r="L191" i="76"/>
  <c r="L196" i="76" s="1"/>
  <c r="K192" i="76"/>
  <c r="K197" i="76" s="1"/>
  <c r="P189" i="76"/>
  <c r="P194" i="76" s="1"/>
  <c r="O190" i="76"/>
  <c r="N191" i="76"/>
  <c r="M192" i="76"/>
  <c r="H50" i="76"/>
  <c r="X95" i="76"/>
  <c r="X194" i="76"/>
  <c r="AE188" i="76"/>
  <c r="AE193" i="76" s="1"/>
  <c r="AA197" i="76"/>
  <c r="D196" i="76"/>
  <c r="T196" i="76"/>
  <c r="AB197" i="76"/>
  <c r="AB196" i="76"/>
  <c r="C197" i="76"/>
  <c r="AI197" i="76"/>
  <c r="AG188" i="76"/>
  <c r="AG193" i="76" s="1"/>
  <c r="E195" i="76"/>
  <c r="M197" i="76"/>
  <c r="M195" i="76"/>
  <c r="U195" i="76"/>
  <c r="U197" i="76"/>
  <c r="AC196" i="76"/>
  <c r="AC195" i="76"/>
  <c r="G188" i="76"/>
  <c r="G193" i="76" s="1"/>
  <c r="H51" i="76"/>
  <c r="F196" i="76"/>
  <c r="F194" i="76"/>
  <c r="N196" i="76"/>
  <c r="N194" i="76"/>
  <c r="V194" i="76"/>
  <c r="V196" i="76"/>
  <c r="AD195" i="76"/>
  <c r="I188" i="76"/>
  <c r="I193" i="76" s="1"/>
  <c r="Y188" i="76"/>
  <c r="Y193" i="76" s="1"/>
  <c r="G195" i="76"/>
  <c r="O195" i="76"/>
  <c r="O193" i="76"/>
  <c r="W195" i="76"/>
  <c r="AE194" i="76"/>
  <c r="AF188" i="76"/>
  <c r="AF193" i="76" s="1"/>
  <c r="X188" i="76"/>
  <c r="X193" i="76" s="1"/>
  <c r="P188" i="76"/>
  <c r="P193" i="76" s="1"/>
  <c r="H188" i="76"/>
  <c r="H193" i="76" s="1"/>
  <c r="AD188" i="76"/>
  <c r="AD193" i="76" s="1"/>
  <c r="V188" i="76"/>
  <c r="V193" i="76" s="1"/>
  <c r="N188" i="76"/>
  <c r="N193" i="76" s="1"/>
  <c r="F188" i="76"/>
  <c r="F193" i="76" s="1"/>
  <c r="AC188" i="76"/>
  <c r="AC193" i="76" s="1"/>
  <c r="U188" i="76"/>
  <c r="U193" i="76" s="1"/>
  <c r="M188" i="76"/>
  <c r="M193" i="76" s="1"/>
  <c r="E188" i="76"/>
  <c r="E193" i="76" s="1"/>
  <c r="AB188" i="76"/>
  <c r="AB193" i="76" s="1"/>
  <c r="T188" i="76"/>
  <c r="T193" i="76" s="1"/>
  <c r="L188" i="76"/>
  <c r="L193" i="76" s="1"/>
  <c r="D188" i="76"/>
  <c r="D193" i="76" s="1"/>
  <c r="AI188" i="76"/>
  <c r="AI193" i="76" s="1"/>
  <c r="AA188" i="76"/>
  <c r="AA193" i="76" s="1"/>
  <c r="S188" i="76"/>
  <c r="K188" i="76"/>
  <c r="K193" i="76" s="1"/>
  <c r="C188" i="76"/>
  <c r="C193" i="76" s="1"/>
  <c r="AH188" i="76"/>
  <c r="AH193" i="76" s="1"/>
  <c r="Z188" i="76"/>
  <c r="Z193" i="76" s="1"/>
  <c r="R188" i="76"/>
  <c r="R193" i="76" s="1"/>
  <c r="J188" i="76"/>
  <c r="J193" i="76" s="1"/>
  <c r="S193" i="76"/>
  <c r="S197" i="76"/>
  <c r="Q188" i="76"/>
  <c r="Q193" i="76" s="1"/>
  <c r="AC197" i="76"/>
  <c r="W188" i="76"/>
  <c r="W193" i="76" s="1"/>
  <c r="I189" i="76"/>
  <c r="I194" i="76" s="1"/>
  <c r="Q189" i="76"/>
  <c r="Q194" i="76" s="1"/>
  <c r="Y189" i="76"/>
  <c r="Y194" i="76" s="1"/>
  <c r="AG189" i="76"/>
  <c r="AG194" i="76" s="1"/>
  <c r="H190" i="76"/>
  <c r="H195" i="76" s="1"/>
  <c r="P190" i="76"/>
  <c r="P195" i="76" s="1"/>
  <c r="X190" i="76"/>
  <c r="X195" i="76" s="1"/>
  <c r="AF190" i="76"/>
  <c r="AF195" i="76" s="1"/>
  <c r="G191" i="76"/>
  <c r="G196" i="76" s="1"/>
  <c r="O191" i="76"/>
  <c r="O196" i="76" s="1"/>
  <c r="W191" i="76"/>
  <c r="W196" i="76" s="1"/>
  <c r="AE191" i="76"/>
  <c r="AE196" i="76" s="1"/>
  <c r="F192" i="76"/>
  <c r="F197" i="76" s="1"/>
  <c r="N192" i="76"/>
  <c r="N197" i="76" s="1"/>
  <c r="V192" i="76"/>
  <c r="V197" i="76" s="1"/>
  <c r="AD192" i="76"/>
  <c r="AD197" i="76" s="1"/>
  <c r="J189" i="76"/>
  <c r="J194" i="76" s="1"/>
  <c r="R189" i="76"/>
  <c r="R194" i="76" s="1"/>
  <c r="Z189" i="76"/>
  <c r="Z194" i="76" s="1"/>
  <c r="AH189" i="76"/>
  <c r="AH194" i="76" s="1"/>
  <c r="I190" i="76"/>
  <c r="I195" i="76" s="1"/>
  <c r="Q190" i="76"/>
  <c r="Q195" i="76" s="1"/>
  <c r="Y190" i="76"/>
  <c r="Y195" i="76" s="1"/>
  <c r="AG190" i="76"/>
  <c r="AG195" i="76" s="1"/>
  <c r="H191" i="76"/>
  <c r="H196" i="76" s="1"/>
  <c r="P191" i="76"/>
  <c r="P196" i="76" s="1"/>
  <c r="X191" i="76"/>
  <c r="X196" i="76" s="1"/>
  <c r="AF191" i="76"/>
  <c r="AF196" i="76" s="1"/>
  <c r="G192" i="76"/>
  <c r="G197" i="76" s="1"/>
  <c r="O192" i="76"/>
  <c r="O197" i="76" s="1"/>
  <c r="W192" i="76"/>
  <c r="W197" i="76" s="1"/>
  <c r="AE192" i="76"/>
  <c r="AE197" i="76" s="1"/>
  <c r="C189" i="76"/>
  <c r="C194" i="76" s="1"/>
  <c r="K189" i="76"/>
  <c r="K194" i="76" s="1"/>
  <c r="S189" i="76"/>
  <c r="S194" i="76" s="1"/>
  <c r="AA189" i="76"/>
  <c r="AA194" i="76" s="1"/>
  <c r="AI189" i="76"/>
  <c r="AI194" i="76" s="1"/>
  <c r="J190" i="76"/>
  <c r="J195" i="76" s="1"/>
  <c r="R190" i="76"/>
  <c r="R195" i="76" s="1"/>
  <c r="Z190" i="76"/>
  <c r="Z195" i="76" s="1"/>
  <c r="AH190" i="76"/>
  <c r="AH195" i="76" s="1"/>
  <c r="I191" i="76"/>
  <c r="I196" i="76" s="1"/>
  <c r="Q191" i="76"/>
  <c r="Q196" i="76" s="1"/>
  <c r="Y191" i="76"/>
  <c r="Y196" i="76" s="1"/>
  <c r="AG191" i="76"/>
  <c r="AG196" i="76" s="1"/>
  <c r="H192" i="76"/>
  <c r="H197" i="76" s="1"/>
  <c r="P192" i="76"/>
  <c r="P197" i="76" s="1"/>
  <c r="X192" i="76"/>
  <c r="X197" i="76" s="1"/>
  <c r="AF192" i="76"/>
  <c r="AF197" i="76" s="1"/>
  <c r="D189" i="76"/>
  <c r="D194" i="76" s="1"/>
  <c r="L189" i="76"/>
  <c r="L194" i="76" s="1"/>
  <c r="T189" i="76"/>
  <c r="T194" i="76" s="1"/>
  <c r="AB189" i="76"/>
  <c r="AB194" i="76" s="1"/>
  <c r="C190" i="76"/>
  <c r="C195" i="76" s="1"/>
  <c r="K190" i="76"/>
  <c r="K195" i="76" s="1"/>
  <c r="S190" i="76"/>
  <c r="S195" i="76" s="1"/>
  <c r="AA190" i="76"/>
  <c r="AA195" i="76" s="1"/>
  <c r="AI190" i="76"/>
  <c r="AI195" i="76" s="1"/>
  <c r="J191" i="76"/>
  <c r="J196" i="76" s="1"/>
  <c r="R191" i="76"/>
  <c r="R196" i="76" s="1"/>
  <c r="Z191" i="76"/>
  <c r="Z196" i="76" s="1"/>
  <c r="AH191" i="76"/>
  <c r="AH196" i="76" s="1"/>
  <c r="I192" i="76"/>
  <c r="I197" i="76" s="1"/>
  <c r="Q192" i="76"/>
  <c r="Q197" i="76" s="1"/>
  <c r="Y192" i="76"/>
  <c r="Y197" i="76" s="1"/>
  <c r="AG192" i="76"/>
  <c r="AG197" i="76" s="1"/>
  <c r="E189" i="76"/>
  <c r="E194" i="76" s="1"/>
  <c r="M189" i="76"/>
  <c r="M194" i="76" s="1"/>
  <c r="U189" i="76"/>
  <c r="U194" i="76" s="1"/>
  <c r="AC189" i="76"/>
  <c r="AC194" i="76" s="1"/>
  <c r="D190" i="76"/>
  <c r="D195" i="76" s="1"/>
  <c r="L190" i="76"/>
  <c r="L195" i="76" s="1"/>
  <c r="T190" i="76"/>
  <c r="T195" i="76" s="1"/>
  <c r="AB190" i="76"/>
  <c r="AB195" i="76" s="1"/>
  <c r="C191" i="76"/>
  <c r="C196" i="76" s="1"/>
  <c r="K191" i="76"/>
  <c r="K196" i="76" s="1"/>
  <c r="S191" i="76"/>
  <c r="S196" i="76" s="1"/>
  <c r="AA191" i="76"/>
  <c r="AA196" i="76" s="1"/>
  <c r="AI191" i="76"/>
  <c r="AI196" i="76" s="1"/>
  <c r="J192" i="76"/>
  <c r="J197" i="76" s="1"/>
  <c r="R192" i="76"/>
  <c r="R197" i="76" s="1"/>
  <c r="Z192" i="76"/>
  <c r="Z197" i="76" s="1"/>
  <c r="AH192" i="76"/>
  <c r="AH197" i="76" s="1"/>
  <c r="G189" i="76"/>
  <c r="G194" i="76" s="1"/>
  <c r="O189" i="76"/>
  <c r="O194" i="76" s="1"/>
  <c r="W189" i="76"/>
  <c r="W194" i="76" s="1"/>
  <c r="F190" i="76"/>
  <c r="F195" i="76" s="1"/>
  <c r="N190" i="76"/>
  <c r="N195" i="76" s="1"/>
  <c r="V190" i="76"/>
  <c r="V195" i="76" s="1"/>
  <c r="E191" i="76"/>
  <c r="E196" i="76" s="1"/>
  <c r="M191" i="76"/>
  <c r="M196" i="76" s="1"/>
  <c r="U191" i="76"/>
  <c r="U196" i="76" s="1"/>
  <c r="D192" i="76"/>
  <c r="D197" i="76" s="1"/>
  <c r="L192" i="76"/>
  <c r="L197" i="76" s="1"/>
  <c r="T192" i="76"/>
  <c r="T197" i="76" s="1"/>
  <c r="B17" i="51"/>
  <c r="AD170" i="76" l="1"/>
  <c r="AD201" i="76"/>
  <c r="E201" i="76"/>
  <c r="E170" i="76"/>
  <c r="AG202" i="76"/>
  <c r="AG171" i="76"/>
  <c r="J202" i="76"/>
  <c r="J171" i="76"/>
  <c r="Q171" i="76"/>
  <c r="Q202" i="76"/>
  <c r="S200" i="76"/>
  <c r="S169" i="76"/>
  <c r="Z200" i="76"/>
  <c r="Z169" i="76"/>
  <c r="AG200" i="76"/>
  <c r="AG169" i="76"/>
  <c r="AD171" i="76"/>
  <c r="AD202" i="76"/>
  <c r="C198" i="76"/>
  <c r="C167" i="76"/>
  <c r="T202" i="76"/>
  <c r="T171" i="76"/>
  <c r="F200" i="76"/>
  <c r="F169" i="76"/>
  <c r="AI201" i="76"/>
  <c r="AI170" i="76"/>
  <c r="D200" i="76"/>
  <c r="D169" i="76"/>
  <c r="I202" i="76"/>
  <c r="I171" i="76"/>
  <c r="K200" i="76"/>
  <c r="K169" i="76"/>
  <c r="P202" i="76"/>
  <c r="P171" i="76"/>
  <c r="R200" i="76"/>
  <c r="R169" i="76"/>
  <c r="W202" i="76"/>
  <c r="W171" i="76"/>
  <c r="Y200" i="76"/>
  <c r="Y169" i="76"/>
  <c r="W198" i="76"/>
  <c r="W167" i="76"/>
  <c r="E198" i="76"/>
  <c r="E167" i="76"/>
  <c r="H198" i="76"/>
  <c r="H167" i="76"/>
  <c r="AB200" i="76"/>
  <c r="AB169" i="76"/>
  <c r="N200" i="76"/>
  <c r="N169" i="76"/>
  <c r="L200" i="76"/>
  <c r="L169" i="76"/>
  <c r="X171" i="76"/>
  <c r="X202" i="76"/>
  <c r="AE202" i="76"/>
  <c r="AE171" i="76"/>
  <c r="AF200" i="76"/>
  <c r="AF169" i="76"/>
  <c r="L202" i="76"/>
  <c r="L171" i="76"/>
  <c r="AA201" i="76"/>
  <c r="AA170" i="76"/>
  <c r="AC199" i="76"/>
  <c r="AC168" i="76"/>
  <c r="AH201" i="76"/>
  <c r="AH170" i="76"/>
  <c r="C200" i="76"/>
  <c r="C169" i="76"/>
  <c r="H171" i="76"/>
  <c r="H202" i="76"/>
  <c r="J200" i="76"/>
  <c r="J169" i="76"/>
  <c r="O202" i="76"/>
  <c r="O171" i="76"/>
  <c r="Q200" i="76"/>
  <c r="Q169" i="76"/>
  <c r="N202" i="76"/>
  <c r="N171" i="76"/>
  <c r="P200" i="76"/>
  <c r="P169" i="76"/>
  <c r="M198" i="76"/>
  <c r="M167" i="76"/>
  <c r="P198" i="76"/>
  <c r="P167" i="76"/>
  <c r="AG201" i="76"/>
  <c r="AG170" i="76"/>
  <c r="O199" i="76"/>
  <c r="O168" i="76"/>
  <c r="U199" i="76"/>
  <c r="U168" i="76"/>
  <c r="AI199" i="76"/>
  <c r="AI168" i="76"/>
  <c r="F171" i="76"/>
  <c r="F202" i="76"/>
  <c r="X198" i="76"/>
  <c r="X167" i="76"/>
  <c r="G199" i="76"/>
  <c r="G168" i="76"/>
  <c r="M199" i="76"/>
  <c r="M168" i="76"/>
  <c r="R201" i="76"/>
  <c r="R170" i="76"/>
  <c r="T199" i="76"/>
  <c r="T168" i="76"/>
  <c r="Y201" i="76"/>
  <c r="Y170" i="76"/>
  <c r="AA199" i="76"/>
  <c r="AA168" i="76"/>
  <c r="AF201" i="76"/>
  <c r="AF170" i="76"/>
  <c r="AH199" i="76"/>
  <c r="AH168" i="76"/>
  <c r="AE201" i="76"/>
  <c r="AE170" i="76"/>
  <c r="AG199" i="76"/>
  <c r="AG168" i="76"/>
  <c r="J198" i="76"/>
  <c r="J167" i="76"/>
  <c r="AI198" i="76"/>
  <c r="AI167" i="76"/>
  <c r="AC198" i="76"/>
  <c r="AC167" i="76"/>
  <c r="D202" i="76"/>
  <c r="D171" i="76"/>
  <c r="S201" i="76"/>
  <c r="S170" i="76"/>
  <c r="Z201" i="76"/>
  <c r="Z170" i="76"/>
  <c r="AB199" i="76"/>
  <c r="AB168" i="76"/>
  <c r="G202" i="76"/>
  <c r="G171" i="76"/>
  <c r="I200" i="76"/>
  <c r="I169" i="76"/>
  <c r="H200" i="76"/>
  <c r="H169" i="76"/>
  <c r="AA198" i="76"/>
  <c r="AA167" i="76"/>
  <c r="U198" i="76"/>
  <c r="U167" i="76"/>
  <c r="Y198" i="76"/>
  <c r="Y167" i="76"/>
  <c r="U201" i="76"/>
  <c r="U170" i="76"/>
  <c r="K201" i="76"/>
  <c r="K170" i="76"/>
  <c r="M170" i="76"/>
  <c r="M201" i="76"/>
  <c r="AH202" i="76"/>
  <c r="AH171" i="76"/>
  <c r="C201" i="76"/>
  <c r="C170" i="76"/>
  <c r="E199" i="76"/>
  <c r="E168" i="76"/>
  <c r="J201" i="76"/>
  <c r="J170" i="76"/>
  <c r="L199" i="76"/>
  <c r="L168" i="76"/>
  <c r="Q201" i="76"/>
  <c r="Q170" i="76"/>
  <c r="X201" i="76"/>
  <c r="X170" i="76"/>
  <c r="Z199" i="76"/>
  <c r="Z168" i="76"/>
  <c r="W201" i="76"/>
  <c r="W170" i="76"/>
  <c r="Y199" i="76"/>
  <c r="Y168" i="76"/>
  <c r="R198" i="76"/>
  <c r="R167" i="76"/>
  <c r="F198" i="76"/>
  <c r="F167" i="76"/>
  <c r="I198" i="76"/>
  <c r="I167" i="76"/>
  <c r="AG198" i="76"/>
  <c r="AG167" i="76"/>
  <c r="L198" i="76"/>
  <c r="L167" i="76"/>
  <c r="Z202" i="76"/>
  <c r="Z171" i="76"/>
  <c r="AI200" i="76"/>
  <c r="AI169" i="76"/>
  <c r="D199" i="76"/>
  <c r="D168" i="76"/>
  <c r="I201" i="76"/>
  <c r="I170" i="76"/>
  <c r="K199" i="76"/>
  <c r="K168" i="76"/>
  <c r="P201" i="76"/>
  <c r="P170" i="76"/>
  <c r="O201" i="76"/>
  <c r="O170" i="76"/>
  <c r="Q199" i="76"/>
  <c r="Q168" i="76"/>
  <c r="Z198" i="76"/>
  <c r="Z167" i="76"/>
  <c r="N198" i="76"/>
  <c r="N167" i="76"/>
  <c r="V200" i="76"/>
  <c r="V169" i="76"/>
  <c r="R202" i="76"/>
  <c r="R171" i="76"/>
  <c r="AA200" i="76"/>
  <c r="AA169" i="76"/>
  <c r="AF171" i="76"/>
  <c r="AF202" i="76"/>
  <c r="AH200" i="76"/>
  <c r="AH169" i="76"/>
  <c r="J199" i="76"/>
  <c r="J168" i="76"/>
  <c r="I199" i="76"/>
  <c r="I168" i="76"/>
  <c r="Q167" i="76"/>
  <c r="Q198" i="76"/>
  <c r="AH198" i="76"/>
  <c r="AH167" i="76"/>
  <c r="V198" i="76"/>
  <c r="V167" i="76"/>
  <c r="K198" i="76"/>
  <c r="K167" i="76"/>
  <c r="H201" i="76"/>
  <c r="H170" i="76"/>
  <c r="AC202" i="76"/>
  <c r="AC171" i="76"/>
  <c r="W200" i="76"/>
  <c r="W169" i="76"/>
  <c r="M202" i="76"/>
  <c r="M171" i="76"/>
  <c r="AF199" i="76"/>
  <c r="AF168" i="76"/>
  <c r="V202" i="76"/>
  <c r="V171" i="76"/>
  <c r="M200" i="76"/>
  <c r="M169" i="76"/>
  <c r="C202" i="76"/>
  <c r="C171" i="76"/>
  <c r="T198" i="76"/>
  <c r="T167" i="76"/>
  <c r="AE198" i="76"/>
  <c r="AE167" i="76"/>
  <c r="G169" i="76"/>
  <c r="G200" i="76"/>
  <c r="AD198" i="76"/>
  <c r="AD167" i="76"/>
  <c r="F201" i="76"/>
  <c r="F170" i="76"/>
  <c r="AB198" i="76"/>
  <c r="AB167" i="76"/>
  <c r="AF198" i="76"/>
  <c r="AF167" i="76"/>
  <c r="AE199" i="76"/>
  <c r="AE168" i="76"/>
  <c r="O198" i="76"/>
  <c r="O167" i="76"/>
  <c r="G201" i="76"/>
  <c r="G170" i="76"/>
  <c r="D198" i="76"/>
  <c r="D167" i="76"/>
  <c r="AD199" i="76"/>
  <c r="AD168" i="76"/>
  <c r="N199" i="76"/>
  <c r="N168" i="76"/>
  <c r="U202" i="76"/>
  <c r="U171" i="76"/>
  <c r="P168" i="76"/>
  <c r="P199" i="76"/>
  <c r="G198" i="76"/>
  <c r="G167" i="76"/>
  <c r="S199" i="76"/>
  <c r="S168" i="76"/>
  <c r="R199" i="76"/>
  <c r="R168" i="76"/>
  <c r="Y202" i="76"/>
  <c r="Y171" i="76"/>
  <c r="AE200" i="76"/>
  <c r="AE169" i="76"/>
  <c r="AD200" i="76"/>
  <c r="AD169" i="76"/>
  <c r="U200" i="76"/>
  <c r="U169" i="76"/>
  <c r="AI202" i="76"/>
  <c r="AI171" i="76"/>
  <c r="AB201" i="76"/>
  <c r="AB170" i="76"/>
  <c r="L201" i="76"/>
  <c r="L170" i="76"/>
  <c r="AA202" i="76"/>
  <c r="AA171" i="76"/>
  <c r="F168" i="76"/>
  <c r="F199" i="76"/>
  <c r="T200" i="76"/>
  <c r="T169" i="76"/>
  <c r="X200" i="76"/>
  <c r="X169" i="76"/>
  <c r="S202" i="76"/>
  <c r="S171" i="76"/>
  <c r="O200" i="76"/>
  <c r="O169" i="76"/>
  <c r="N201" i="76"/>
  <c r="N170" i="76"/>
  <c r="E200" i="76"/>
  <c r="E169" i="76"/>
  <c r="AB202" i="76"/>
  <c r="AB171" i="76"/>
  <c r="W199" i="76"/>
  <c r="W168" i="76"/>
  <c r="S198" i="76"/>
  <c r="S167" i="76"/>
  <c r="V201" i="76"/>
  <c r="V170" i="76"/>
  <c r="H199" i="76"/>
  <c r="H168" i="76"/>
  <c r="AC201" i="76"/>
  <c r="AC170" i="76"/>
  <c r="D201" i="76"/>
  <c r="D170" i="76"/>
  <c r="C199" i="76"/>
  <c r="C168" i="76"/>
  <c r="K202" i="76"/>
  <c r="K171" i="76"/>
  <c r="V199" i="76"/>
  <c r="V168" i="76"/>
  <c r="AC200" i="76"/>
  <c r="AC169" i="76"/>
  <c r="E171" i="76"/>
  <c r="E202" i="76"/>
  <c r="T201" i="76"/>
  <c r="T170" i="76"/>
  <c r="X199" i="76"/>
  <c r="X168" i="76"/>
  <c r="E78" i="51" l="1"/>
  <c r="S128" i="74"/>
  <c r="Q128" i="74"/>
  <c r="S107" i="74"/>
  <c r="Q107" i="74"/>
  <c r="S106" i="74"/>
  <c r="Q106" i="74"/>
  <c r="S105" i="74"/>
  <c r="Q105" i="74"/>
  <c r="S104" i="74"/>
  <c r="Q104" i="74"/>
  <c r="B104" i="74"/>
  <c r="C104" i="74" s="1"/>
  <c r="S103" i="74"/>
  <c r="Q103" i="74"/>
  <c r="S102" i="74"/>
  <c r="Q102" i="74"/>
  <c r="I91" i="74"/>
  <c r="Z33" i="74" s="1"/>
  <c r="I90" i="74"/>
  <c r="I89" i="74"/>
  <c r="Z26" i="74" s="1"/>
  <c r="I88" i="74"/>
  <c r="S26" i="74" s="1"/>
  <c r="I87" i="74"/>
  <c r="I86" i="74"/>
  <c r="I85" i="74"/>
  <c r="I71" i="74"/>
  <c r="Z32" i="74" s="1"/>
  <c r="I70" i="74"/>
  <c r="I69" i="74"/>
  <c r="Z25" i="74" s="1"/>
  <c r="I68" i="74"/>
  <c r="S25" i="74" s="1"/>
  <c r="I67" i="74"/>
  <c r="I66" i="74"/>
  <c r="I65" i="74"/>
  <c r="Q41" i="74"/>
  <c r="Y33" i="74"/>
  <c r="X33" i="74"/>
  <c r="AA33" i="74" s="1"/>
  <c r="Y32" i="74"/>
  <c r="X32" i="74"/>
  <c r="AA32" i="74" s="1"/>
  <c r="I31" i="74"/>
  <c r="I51" i="74" s="1"/>
  <c r="Y30" i="74"/>
  <c r="X30" i="74"/>
  <c r="AA30" i="74" s="1"/>
  <c r="I30" i="74"/>
  <c r="I50" i="74" s="1"/>
  <c r="H30" i="74"/>
  <c r="H50" i="74" s="1"/>
  <c r="H70" i="74" s="1"/>
  <c r="H90" i="74" s="1"/>
  <c r="G30" i="74"/>
  <c r="G50" i="74" s="1"/>
  <c r="G70" i="74" s="1"/>
  <c r="G90" i="74" s="1"/>
  <c r="Z29" i="74"/>
  <c r="Y29" i="74"/>
  <c r="X29" i="74"/>
  <c r="AA29" i="74" s="1"/>
  <c r="I29" i="74"/>
  <c r="I49" i="74" s="1"/>
  <c r="Z24" i="74" s="1"/>
  <c r="I28" i="74"/>
  <c r="I48" i="74" s="1"/>
  <c r="S24" i="74" s="1"/>
  <c r="I27" i="74"/>
  <c r="I47" i="74" s="1"/>
  <c r="Y26" i="74"/>
  <c r="X26" i="74"/>
  <c r="AA26" i="74" s="1"/>
  <c r="R26" i="74"/>
  <c r="Q26" i="74"/>
  <c r="T26" i="74" s="1"/>
  <c r="I26" i="74"/>
  <c r="I46" i="74" s="1"/>
  <c r="Y25" i="74"/>
  <c r="X25" i="74"/>
  <c r="AA25" i="74" s="1"/>
  <c r="R25" i="74"/>
  <c r="Q25" i="74"/>
  <c r="T25" i="74" s="1"/>
  <c r="I25" i="74"/>
  <c r="I45" i="74" s="1"/>
  <c r="B25" i="74"/>
  <c r="C25" i="74" s="1"/>
  <c r="Q31" i="74" s="1"/>
  <c r="Y24" i="74"/>
  <c r="X24" i="74"/>
  <c r="AA24" i="74" s="1"/>
  <c r="R24" i="74"/>
  <c r="Q24" i="74"/>
  <c r="T24" i="74" s="1"/>
  <c r="Y23" i="74"/>
  <c r="X23" i="74"/>
  <c r="AA23" i="74" s="1"/>
  <c r="R23" i="74"/>
  <c r="Q23" i="74"/>
  <c r="T23" i="74" s="1"/>
  <c r="Z22" i="74"/>
  <c r="Y22" i="74"/>
  <c r="X22" i="74"/>
  <c r="AA22" i="74" s="1"/>
  <c r="S22" i="74"/>
  <c r="R22" i="74"/>
  <c r="Q22" i="74"/>
  <c r="T22" i="74" s="1"/>
  <c r="L92" i="76" l="1"/>
  <c r="N92" i="76"/>
  <c r="L91" i="76"/>
  <c r="N91" i="76"/>
  <c r="L90" i="76"/>
  <c r="N90" i="76"/>
  <c r="N89" i="76"/>
  <c r="L89" i="76"/>
  <c r="L88" i="76"/>
  <c r="N88" i="76"/>
  <c r="Z23" i="74"/>
  <c r="S23" i="74"/>
  <c r="Z31" i="74"/>
  <c r="G51" i="74"/>
  <c r="X31" i="74" s="1"/>
  <c r="AA31" i="74" s="1"/>
  <c r="H51" i="74"/>
  <c r="Y31" i="74" s="1"/>
  <c r="Z30" i="74"/>
  <c r="Q128" i="21"/>
  <c r="S102" i="12"/>
  <c r="Q102" i="12"/>
  <c r="S102" i="9"/>
  <c r="Q102" i="9"/>
  <c r="S102" i="21"/>
  <c r="Q102" i="21"/>
  <c r="S107" i="21"/>
  <c r="Q107" i="21"/>
  <c r="S106" i="21"/>
  <c r="Q106" i="21"/>
  <c r="S105" i="21"/>
  <c r="Q105" i="21"/>
  <c r="S104" i="21"/>
  <c r="Q104" i="21"/>
  <c r="S103" i="21"/>
  <c r="Q103" i="21"/>
  <c r="B104" i="21"/>
  <c r="C104" i="21" s="1"/>
  <c r="S128" i="12"/>
  <c r="Q128" i="12"/>
  <c r="C76" i="7"/>
  <c r="C77" i="7"/>
  <c r="C79" i="7"/>
  <c r="C80" i="7"/>
  <c r="C81" i="7"/>
  <c r="C82" i="7"/>
  <c r="C83" i="7"/>
  <c r="C84" i="7"/>
  <c r="C78" i="7"/>
  <c r="S107" i="12"/>
  <c r="Q107" i="12"/>
  <c r="S106" i="12"/>
  <c r="Q106" i="12"/>
  <c r="S105" i="12"/>
  <c r="Q105" i="12"/>
  <c r="S104" i="12"/>
  <c r="Q104" i="12"/>
  <c r="B104" i="12"/>
  <c r="C104" i="12" s="1"/>
  <c r="S103" i="12"/>
  <c r="Q103" i="12"/>
  <c r="Q107" i="9"/>
  <c r="S107" i="9"/>
  <c r="S106" i="9"/>
  <c r="Q106" i="9"/>
  <c r="Q105" i="9"/>
  <c r="S105" i="9"/>
  <c r="S104" i="9"/>
  <c r="Q104" i="9"/>
  <c r="S103" i="9"/>
  <c r="Q103" i="9"/>
  <c r="C88" i="76" s="1"/>
  <c r="I92" i="76" l="1"/>
  <c r="K92" i="76"/>
  <c r="I91" i="76"/>
  <c r="K91" i="76"/>
  <c r="I90" i="76"/>
  <c r="K90" i="76"/>
  <c r="K89" i="76"/>
  <c r="I89" i="76"/>
  <c r="K88" i="76"/>
  <c r="I88" i="76"/>
  <c r="F92" i="76"/>
  <c r="H92" i="76"/>
  <c r="H91" i="76"/>
  <c r="F91" i="76"/>
  <c r="H90" i="76"/>
  <c r="F90" i="76"/>
  <c r="H89" i="76"/>
  <c r="F89" i="76"/>
  <c r="F88" i="76"/>
  <c r="H88" i="76"/>
  <c r="E92" i="76"/>
  <c r="C92" i="76"/>
  <c r="E91" i="76"/>
  <c r="C91" i="76"/>
  <c r="E89" i="76"/>
  <c r="C90" i="76"/>
  <c r="E90" i="76"/>
  <c r="C89" i="76"/>
  <c r="E88" i="76"/>
  <c r="C84" i="51" l="1"/>
  <c r="C83" i="51"/>
  <c r="C82" i="51"/>
  <c r="C81" i="51"/>
  <c r="C80" i="51"/>
  <c r="C79" i="51"/>
  <c r="C78" i="51"/>
  <c r="C77" i="51"/>
  <c r="C76" i="51"/>
  <c r="C75" i="51" s="1"/>
  <c r="B104" i="9"/>
  <c r="C104" i="9" s="1"/>
  <c r="K91" i="7" l="1"/>
  <c r="K92" i="7"/>
  <c r="K93" i="7"/>
  <c r="K94" i="7"/>
  <c r="K95" i="7"/>
  <c r="K96" i="7"/>
  <c r="K97" i="7"/>
  <c r="K98" i="7"/>
  <c r="K99" i="7"/>
  <c r="K100" i="7"/>
  <c r="K101" i="7"/>
  <c r="K90" i="7"/>
  <c r="C91" i="7"/>
  <c r="C92" i="7"/>
  <c r="C93" i="7"/>
  <c r="C94" i="7"/>
  <c r="C95" i="7"/>
  <c r="C96" i="7"/>
  <c r="C97" i="7"/>
  <c r="C90" i="7"/>
  <c r="C70" i="7"/>
  <c r="C71" i="7"/>
  <c r="C72" i="7"/>
  <c r="C73" i="7"/>
  <c r="C69" i="7"/>
  <c r="K58" i="7"/>
  <c r="C116" i="95" l="1"/>
  <c r="L139" i="95" s="1"/>
  <c r="M139" i="95" s="1"/>
  <c r="C116" i="94"/>
  <c r="L139" i="94" s="1"/>
  <c r="M139" i="94" s="1"/>
  <c r="C116" i="93"/>
  <c r="L139" i="93" s="1"/>
  <c r="M139" i="93" s="1"/>
  <c r="C116" i="92"/>
  <c r="L139" i="92" s="1"/>
  <c r="M139" i="92" s="1"/>
  <c r="C111" i="95"/>
  <c r="L136" i="95" s="1"/>
  <c r="M136" i="95" s="1"/>
  <c r="C111" i="94"/>
  <c r="L136" i="94" s="1"/>
  <c r="M136" i="94" s="1"/>
  <c r="C111" i="93"/>
  <c r="L136" i="93" s="1"/>
  <c r="M136" i="93" s="1"/>
  <c r="C111" i="92"/>
  <c r="L136" i="92" s="1"/>
  <c r="M136" i="92" s="1"/>
  <c r="C110" i="95"/>
  <c r="L135" i="95" s="1"/>
  <c r="M135" i="95" s="1"/>
  <c r="C110" i="94"/>
  <c r="L135" i="94" s="1"/>
  <c r="M135" i="94" s="1"/>
  <c r="C110" i="92"/>
  <c r="L135" i="92" s="1"/>
  <c r="M135" i="92" s="1"/>
  <c r="C110" i="93"/>
  <c r="L135" i="93" s="1"/>
  <c r="M135" i="93" s="1"/>
  <c r="C112" i="95"/>
  <c r="L134" i="95" s="1"/>
  <c r="M134" i="95" s="1"/>
  <c r="C112" i="94"/>
  <c r="L134" i="94" s="1"/>
  <c r="M134" i="94" s="1"/>
  <c r="C112" i="93"/>
  <c r="L134" i="93" s="1"/>
  <c r="M134" i="93" s="1"/>
  <c r="C112" i="92"/>
  <c r="L134" i="92" s="1"/>
  <c r="M134" i="92" s="1"/>
  <c r="C115" i="95"/>
  <c r="C115" i="94"/>
  <c r="C115" i="92"/>
  <c r="C115" i="93"/>
  <c r="C114" i="95"/>
  <c r="L137" i="95" s="1"/>
  <c r="M137" i="95" s="1"/>
  <c r="C114" i="94"/>
  <c r="L137" i="94" s="1"/>
  <c r="M137" i="94" s="1"/>
  <c r="C114" i="92"/>
  <c r="L137" i="92" s="1"/>
  <c r="M137" i="92" s="1"/>
  <c r="E70" i="76" s="1"/>
  <c r="C114" i="93"/>
  <c r="L137" i="93" s="1"/>
  <c r="M137" i="93" s="1"/>
  <c r="C109" i="95"/>
  <c r="C109" i="94"/>
  <c r="C109" i="92"/>
  <c r="C109" i="93"/>
  <c r="C113" i="95"/>
  <c r="C113" i="94"/>
  <c r="C113" i="92"/>
  <c r="C113" i="93"/>
  <c r="C204" i="51"/>
  <c r="D194" i="51"/>
  <c r="D195" i="51" s="1"/>
  <c r="M162" i="51"/>
  <c r="M161" i="51"/>
  <c r="Q160" i="51"/>
  <c r="M160" i="51"/>
  <c r="Q159" i="51"/>
  <c r="Q161" i="51" s="1"/>
  <c r="O159" i="51"/>
  <c r="E26" i="76" s="1"/>
  <c r="C158" i="51"/>
  <c r="C138" i="51"/>
  <c r="C137" i="51"/>
  <c r="K136" i="51"/>
  <c r="C136" i="51"/>
  <c r="C135" i="51"/>
  <c r="C134" i="51"/>
  <c r="C133" i="51"/>
  <c r="C132" i="51"/>
  <c r="M130" i="51"/>
  <c r="L131" i="51" s="1"/>
  <c r="M131" i="51" s="1"/>
  <c r="L127" i="51"/>
  <c r="L126" i="51"/>
  <c r="L123" i="51"/>
  <c r="L125" i="51" s="1"/>
  <c r="C123" i="51"/>
  <c r="L120" i="51"/>
  <c r="M119" i="51"/>
  <c r="L118" i="51"/>
  <c r="L117" i="51"/>
  <c r="L116" i="51"/>
  <c r="L115" i="51"/>
  <c r="C115" i="51"/>
  <c r="E88" i="51"/>
  <c r="E69" i="51" s="1"/>
  <c r="E87" i="51"/>
  <c r="E84" i="51"/>
  <c r="E83" i="51"/>
  <c r="E82" i="51"/>
  <c r="E81" i="51"/>
  <c r="E80" i="51"/>
  <c r="E79" i="51"/>
  <c r="E77" i="51"/>
  <c r="E76" i="51"/>
  <c r="E75" i="51" s="1"/>
  <c r="C74" i="51"/>
  <c r="X73" i="51"/>
  <c r="X72" i="51"/>
  <c r="E72" i="51"/>
  <c r="C59" i="51"/>
  <c r="K58" i="51"/>
  <c r="R40" i="51"/>
  <c r="V38" i="51"/>
  <c r="D35" i="51"/>
  <c r="F33" i="51"/>
  <c r="D33" i="51"/>
  <c r="D31" i="51"/>
  <c r="D29" i="51"/>
  <c r="Y27" i="51"/>
  <c r="I25" i="51"/>
  <c r="D20" i="51"/>
  <c r="D12" i="51"/>
  <c r="C12" i="51"/>
  <c r="D11" i="51"/>
  <c r="C11" i="51"/>
  <c r="E73" i="51" l="1"/>
  <c r="L143" i="93"/>
  <c r="L146" i="93"/>
  <c r="M146" i="93" s="1"/>
  <c r="C71" i="76"/>
  <c r="M141" i="93"/>
  <c r="N134" i="93" s="1"/>
  <c r="AA133" i="93" s="1"/>
  <c r="N135" i="93"/>
  <c r="L143" i="92"/>
  <c r="L146" i="92"/>
  <c r="M146" i="92" s="1"/>
  <c r="C70" i="76"/>
  <c r="M141" i="92"/>
  <c r="N135" i="92"/>
  <c r="D71" i="76"/>
  <c r="N136" i="93"/>
  <c r="AA135" i="93" s="1"/>
  <c r="F71" i="76"/>
  <c r="N139" i="93"/>
  <c r="AA137" i="93" s="1"/>
  <c r="F70" i="76"/>
  <c r="N139" i="92"/>
  <c r="AA137" i="92" s="1"/>
  <c r="E83" i="95"/>
  <c r="M83" i="95" s="1"/>
  <c r="O83" i="95" s="1"/>
  <c r="E83" i="94"/>
  <c r="M83" i="94" s="1"/>
  <c r="O83" i="94" s="1"/>
  <c r="E83" i="93"/>
  <c r="M83" i="93" s="1"/>
  <c r="O83" i="93" s="1"/>
  <c r="E83" i="92"/>
  <c r="M83" i="92" s="1"/>
  <c r="O83" i="92" s="1"/>
  <c r="M181" i="95"/>
  <c r="M185" i="95" s="1"/>
  <c r="M181" i="94"/>
  <c r="M185" i="94" s="1"/>
  <c r="M181" i="93"/>
  <c r="M185" i="93" s="1"/>
  <c r="M181" i="92"/>
  <c r="M185" i="92" s="1"/>
  <c r="Q181" i="94"/>
  <c r="Q185" i="94" s="1"/>
  <c r="Q181" i="95"/>
  <c r="Q185" i="95" s="1"/>
  <c r="Q181" i="93"/>
  <c r="Q185" i="93" s="1"/>
  <c r="Q181" i="92"/>
  <c r="Q185" i="92" s="1"/>
  <c r="C26" i="76"/>
  <c r="L143" i="94"/>
  <c r="L146" i="94"/>
  <c r="M146" i="94" s="1"/>
  <c r="M141" i="94"/>
  <c r="N134" i="94" s="1"/>
  <c r="AA133" i="94" s="1"/>
  <c r="E71" i="76"/>
  <c r="N137" i="93"/>
  <c r="AA136" i="93" s="1"/>
  <c r="D70" i="76"/>
  <c r="N136" i="92"/>
  <c r="AA135" i="92" s="1"/>
  <c r="E79" i="95"/>
  <c r="M79" i="95" s="1"/>
  <c r="O79" i="95" s="1"/>
  <c r="E79" i="94"/>
  <c r="M79" i="94" s="1"/>
  <c r="O79" i="94" s="1"/>
  <c r="E79" i="93"/>
  <c r="M79" i="93" s="1"/>
  <c r="O79" i="93" s="1"/>
  <c r="E79" i="92"/>
  <c r="M79" i="92" s="1"/>
  <c r="O79" i="92" s="1"/>
  <c r="E82" i="95"/>
  <c r="M82" i="95" s="1"/>
  <c r="O82" i="95" s="1"/>
  <c r="E82" i="94"/>
  <c r="M82" i="94" s="1"/>
  <c r="O82" i="94" s="1"/>
  <c r="E82" i="93"/>
  <c r="M82" i="93" s="1"/>
  <c r="O82" i="93" s="1"/>
  <c r="E82" i="92"/>
  <c r="M82" i="92" s="1"/>
  <c r="O82" i="92" s="1"/>
  <c r="L143" i="95"/>
  <c r="L146" i="95"/>
  <c r="M146" i="95" s="1"/>
  <c r="N134" i="95"/>
  <c r="AA133" i="95" s="1"/>
  <c r="M141" i="95"/>
  <c r="N137" i="95" s="1"/>
  <c r="AA136" i="95" s="1"/>
  <c r="O162" i="51"/>
  <c r="E70" i="51"/>
  <c r="E70" i="7" s="1"/>
  <c r="O160" i="51"/>
  <c r="E69" i="7"/>
  <c r="E71" i="51"/>
  <c r="E72" i="7"/>
  <c r="Q160" i="7"/>
  <c r="E73" i="7"/>
  <c r="M164" i="51"/>
  <c r="M160" i="7"/>
  <c r="O163" i="51"/>
  <c r="Q164" i="51"/>
  <c r="D32" i="51"/>
  <c r="D30" i="51"/>
  <c r="D21" i="51"/>
  <c r="F78" i="51"/>
  <c r="D34" i="51"/>
  <c r="D28" i="51"/>
  <c r="D26" i="51"/>
  <c r="G20" i="51"/>
  <c r="L132" i="51"/>
  <c r="M132" i="51" s="1"/>
  <c r="C139" i="51"/>
  <c r="Q162" i="51"/>
  <c r="Q163" i="51"/>
  <c r="O164" i="51"/>
  <c r="D26" i="76" s="1"/>
  <c r="L124" i="51"/>
  <c r="Y29" i="21"/>
  <c r="Z29" i="21"/>
  <c r="Y30" i="21"/>
  <c r="Y32" i="21"/>
  <c r="Y33" i="21"/>
  <c r="X33" i="21"/>
  <c r="AA33" i="21" s="1"/>
  <c r="X32" i="21"/>
  <c r="AA32" i="21" s="1"/>
  <c r="X30" i="21"/>
  <c r="AA30" i="21" s="1"/>
  <c r="X29" i="21"/>
  <c r="AA29" i="21" s="1"/>
  <c r="N139" i="95" l="1"/>
  <c r="AA137" i="95" s="1"/>
  <c r="N136" i="95"/>
  <c r="AA135" i="95" s="1"/>
  <c r="N135" i="95"/>
  <c r="G82" i="76"/>
  <c r="L145" i="94"/>
  <c r="L144" i="94"/>
  <c r="M144" i="94" s="1"/>
  <c r="M143" i="94"/>
  <c r="C140" i="51"/>
  <c r="O126" i="51" s="1"/>
  <c r="C73" i="76" s="1"/>
  <c r="O181" i="95"/>
  <c r="O185" i="95" s="1"/>
  <c r="O181" i="94"/>
  <c r="O185" i="94" s="1"/>
  <c r="O181" i="93"/>
  <c r="O185" i="93" s="1"/>
  <c r="O181" i="92"/>
  <c r="O185" i="92" s="1"/>
  <c r="N139" i="94"/>
  <c r="AA137" i="94" s="1"/>
  <c r="N137" i="92"/>
  <c r="AA136" i="92" s="1"/>
  <c r="L154" i="92"/>
  <c r="M154" i="92" s="1"/>
  <c r="R133" i="92"/>
  <c r="K164" i="92"/>
  <c r="N138" i="92"/>
  <c r="N140" i="92"/>
  <c r="AA138" i="92" s="1"/>
  <c r="L145" i="92"/>
  <c r="L144" i="92"/>
  <c r="M144" i="92" s="1"/>
  <c r="M143" i="92"/>
  <c r="N134" i="92"/>
  <c r="AA133" i="92" s="1"/>
  <c r="L154" i="94"/>
  <c r="M154" i="94" s="1"/>
  <c r="N140" i="94"/>
  <c r="AA138" i="94" s="1"/>
  <c r="R133" i="94"/>
  <c r="K164" i="94"/>
  <c r="N138" i="94"/>
  <c r="D75" i="76"/>
  <c r="O28" i="76"/>
  <c r="K256" i="76"/>
  <c r="R256" i="76"/>
  <c r="Y256" i="76"/>
  <c r="X256" i="76"/>
  <c r="W256" i="76"/>
  <c r="V256" i="76"/>
  <c r="U256" i="76"/>
  <c r="T256" i="76"/>
  <c r="AI256" i="76"/>
  <c r="C256" i="76"/>
  <c r="J256" i="76"/>
  <c r="Q256" i="76"/>
  <c r="P256" i="76"/>
  <c r="O256" i="76"/>
  <c r="N256" i="76"/>
  <c r="M256" i="76"/>
  <c r="L256" i="76"/>
  <c r="O30" i="76"/>
  <c r="AA256" i="76"/>
  <c r="AH256" i="76"/>
  <c r="B256" i="76"/>
  <c r="I256" i="76"/>
  <c r="H256" i="76"/>
  <c r="G256" i="76"/>
  <c r="F256" i="76"/>
  <c r="E256" i="76"/>
  <c r="D256" i="76"/>
  <c r="O31" i="76"/>
  <c r="O29" i="76"/>
  <c r="S256" i="76"/>
  <c r="Z256" i="76"/>
  <c r="AG256" i="76"/>
  <c r="AF256" i="76"/>
  <c r="AE256" i="76"/>
  <c r="AD256" i="76"/>
  <c r="AC256" i="76"/>
  <c r="AB256" i="76"/>
  <c r="C44" i="76"/>
  <c r="E80" i="95"/>
  <c r="M80" i="95" s="1"/>
  <c r="O80" i="95" s="1"/>
  <c r="E80" i="94"/>
  <c r="M80" i="94" s="1"/>
  <c r="O80" i="94" s="1"/>
  <c r="E80" i="93"/>
  <c r="M80" i="93" s="1"/>
  <c r="O80" i="93" s="1"/>
  <c r="C14" i="76" s="1"/>
  <c r="R7" i="76" s="1"/>
  <c r="U13" i="76" s="1"/>
  <c r="E80" i="92"/>
  <c r="M80" i="92" s="1"/>
  <c r="O80" i="92" s="1"/>
  <c r="AA134" i="95"/>
  <c r="N136" i="94"/>
  <c r="AA135" i="94" s="1"/>
  <c r="N137" i="94"/>
  <c r="AA136" i="94" s="1"/>
  <c r="D11" i="76"/>
  <c r="S6" i="76" s="1"/>
  <c r="G81" i="76"/>
  <c r="AA134" i="93"/>
  <c r="G76" i="76"/>
  <c r="AA134" i="92"/>
  <c r="N141" i="92"/>
  <c r="E81" i="95"/>
  <c r="M81" i="95" s="1"/>
  <c r="O81" i="95" s="1"/>
  <c r="O104" i="95" s="1"/>
  <c r="E81" i="94"/>
  <c r="M81" i="94" s="1"/>
  <c r="O81" i="94" s="1"/>
  <c r="E81" i="93"/>
  <c r="M81" i="93" s="1"/>
  <c r="O81" i="93" s="1"/>
  <c r="E81" i="92"/>
  <c r="M81" i="92" s="1"/>
  <c r="O81" i="92" s="1"/>
  <c r="N138" i="95"/>
  <c r="N141" i="95" s="1"/>
  <c r="K164" i="95"/>
  <c r="N140" i="95"/>
  <c r="AA138" i="95" s="1"/>
  <c r="L154" i="95"/>
  <c r="M154" i="95" s="1"/>
  <c r="R133" i="95"/>
  <c r="L145" i="95"/>
  <c r="L144" i="95"/>
  <c r="M144" i="95" s="1"/>
  <c r="M143" i="95"/>
  <c r="N135" i="94"/>
  <c r="D14" i="76"/>
  <c r="S7" i="76" s="1"/>
  <c r="C81" i="76"/>
  <c r="N138" i="93"/>
  <c r="N141" i="93" s="1"/>
  <c r="R133" i="93"/>
  <c r="K164" i="93"/>
  <c r="L154" i="93"/>
  <c r="M154" i="93" s="1"/>
  <c r="N140" i="93"/>
  <c r="AA138" i="93" s="1"/>
  <c r="L145" i="93"/>
  <c r="L144" i="93"/>
  <c r="M144" i="93" s="1"/>
  <c r="M143" i="93"/>
  <c r="O160" i="7"/>
  <c r="E71" i="7"/>
  <c r="V28" i="51"/>
  <c r="G21" i="51"/>
  <c r="C48" i="51"/>
  <c r="C50" i="51"/>
  <c r="K78" i="51"/>
  <c r="M78" i="51" s="1"/>
  <c r="C49" i="51"/>
  <c r="D22" i="51"/>
  <c r="O104" i="94" l="1"/>
  <c r="O104" i="92"/>
  <c r="P99" i="95"/>
  <c r="P85" i="95"/>
  <c r="P91" i="95"/>
  <c r="P101" i="95"/>
  <c r="P98" i="95"/>
  <c r="P88" i="95"/>
  <c r="L108" i="95"/>
  <c r="P93" i="95"/>
  <c r="P94" i="95"/>
  <c r="P86" i="95"/>
  <c r="P87" i="95"/>
  <c r="P102" i="95"/>
  <c r="P95" i="95"/>
  <c r="P97" i="95"/>
  <c r="P89" i="95"/>
  <c r="L153" i="95"/>
  <c r="M153" i="95" s="1"/>
  <c r="P90" i="95"/>
  <c r="P84" i="95"/>
  <c r="P92" i="95"/>
  <c r="P96" i="95"/>
  <c r="P103" i="95"/>
  <c r="P100" i="95"/>
  <c r="P82" i="95"/>
  <c r="P79" i="95"/>
  <c r="P83" i="95"/>
  <c r="L153" i="94"/>
  <c r="M153" i="94" s="1"/>
  <c r="P95" i="94"/>
  <c r="P101" i="94"/>
  <c r="P98" i="94"/>
  <c r="P88" i="94"/>
  <c r="P85" i="94"/>
  <c r="P92" i="94"/>
  <c r="P91" i="94"/>
  <c r="P86" i="94"/>
  <c r="P89" i="94"/>
  <c r="P100" i="94"/>
  <c r="P102" i="94"/>
  <c r="P93" i="94"/>
  <c r="P94" i="94"/>
  <c r="P103" i="94"/>
  <c r="P87" i="94"/>
  <c r="L108" i="94"/>
  <c r="P90" i="94"/>
  <c r="P84" i="94"/>
  <c r="P96" i="94"/>
  <c r="P97" i="94"/>
  <c r="P99" i="94"/>
  <c r="P82" i="94"/>
  <c r="P83" i="94"/>
  <c r="P79" i="94"/>
  <c r="P99" i="92"/>
  <c r="L153" i="92"/>
  <c r="M153" i="92" s="1"/>
  <c r="P92" i="92"/>
  <c r="P91" i="92"/>
  <c r="P101" i="92"/>
  <c r="P98" i="92"/>
  <c r="P88" i="92"/>
  <c r="P85" i="92"/>
  <c r="P93" i="92"/>
  <c r="P94" i="92"/>
  <c r="P86" i="92"/>
  <c r="P87" i="92"/>
  <c r="P102" i="92"/>
  <c r="P95" i="92"/>
  <c r="P103" i="92"/>
  <c r="P89" i="92"/>
  <c r="L108" i="92"/>
  <c r="P90" i="92"/>
  <c r="P84" i="92"/>
  <c r="P96" i="92"/>
  <c r="P97" i="92"/>
  <c r="P100" i="92"/>
  <c r="P83" i="92"/>
  <c r="P82" i="92"/>
  <c r="P79" i="92"/>
  <c r="E75" i="76"/>
  <c r="F76" i="76"/>
  <c r="P80" i="95"/>
  <c r="F75" i="76"/>
  <c r="P81" i="92"/>
  <c r="P80" i="94"/>
  <c r="M145" i="93"/>
  <c r="O142" i="93" s="1"/>
  <c r="O145" i="93"/>
  <c r="O145" i="95"/>
  <c r="M145" i="95"/>
  <c r="P81" i="94"/>
  <c r="P80" i="92"/>
  <c r="C11" i="76"/>
  <c r="R6" i="76" s="1"/>
  <c r="U12" i="76" s="1"/>
  <c r="M145" i="92"/>
  <c r="M148" i="92" s="1"/>
  <c r="O145" i="92"/>
  <c r="E76" i="76"/>
  <c r="M148" i="93"/>
  <c r="N144" i="93" s="1"/>
  <c r="N141" i="94"/>
  <c r="AA134" i="94"/>
  <c r="P81" i="95"/>
  <c r="O104" i="93"/>
  <c r="P81" i="93" s="1"/>
  <c r="O145" i="94"/>
  <c r="M145" i="94"/>
  <c r="O142" i="94" s="1"/>
  <c r="N78" i="51"/>
  <c r="O78" i="51" s="1"/>
  <c r="V27" i="51"/>
  <c r="C58" i="51"/>
  <c r="N143" i="93" l="1"/>
  <c r="K165" i="92"/>
  <c r="R134" i="92"/>
  <c r="N147" i="92"/>
  <c r="AC134" i="92" s="1"/>
  <c r="L157" i="92"/>
  <c r="M157" i="92" s="1"/>
  <c r="N146" i="92"/>
  <c r="L156" i="92"/>
  <c r="M156" i="92" s="1"/>
  <c r="N144" i="92"/>
  <c r="N143" i="92"/>
  <c r="M148" i="94"/>
  <c r="O142" i="95"/>
  <c r="P104" i="92"/>
  <c r="L117" i="92"/>
  <c r="L116" i="92"/>
  <c r="L115" i="92"/>
  <c r="L112" i="92"/>
  <c r="L110" i="92"/>
  <c r="L120" i="92"/>
  <c r="L118" i="92"/>
  <c r="L114" i="92"/>
  <c r="L119" i="92"/>
  <c r="L111" i="92"/>
  <c r="L109" i="92"/>
  <c r="L129" i="92" s="1"/>
  <c r="L113" i="92"/>
  <c r="L110" i="95"/>
  <c r="L117" i="95"/>
  <c r="L116" i="95"/>
  <c r="L118" i="95"/>
  <c r="L114" i="95"/>
  <c r="L111" i="95"/>
  <c r="L112" i="95"/>
  <c r="L120" i="95"/>
  <c r="L115" i="95"/>
  <c r="L119" i="95"/>
  <c r="L109" i="95"/>
  <c r="L113" i="95"/>
  <c r="P99" i="93"/>
  <c r="P102" i="93"/>
  <c r="P94" i="93"/>
  <c r="P95" i="93"/>
  <c r="P97" i="93"/>
  <c r="P87" i="93"/>
  <c r="L108" i="93"/>
  <c r="P90" i="93"/>
  <c r="P101" i="93"/>
  <c r="P103" i="93"/>
  <c r="P100" i="93"/>
  <c r="P85" i="93"/>
  <c r="P93" i="93"/>
  <c r="P92" i="93"/>
  <c r="P96" i="93"/>
  <c r="P98" i="93"/>
  <c r="P88" i="93"/>
  <c r="L153" i="93"/>
  <c r="M153" i="93" s="1"/>
  <c r="L156" i="93" s="1"/>
  <c r="M156" i="93" s="1"/>
  <c r="P84" i="93"/>
  <c r="P91" i="93"/>
  <c r="P86" i="93"/>
  <c r="P89" i="93"/>
  <c r="P79" i="93"/>
  <c r="P82" i="93"/>
  <c r="P83" i="93"/>
  <c r="L155" i="92"/>
  <c r="M155" i="92" s="1"/>
  <c r="L158" i="92" s="1"/>
  <c r="M158" i="92" s="1"/>
  <c r="P104" i="95"/>
  <c r="L155" i="95"/>
  <c r="M155" i="95" s="1"/>
  <c r="P80" i="93"/>
  <c r="D81" i="76"/>
  <c r="K165" i="93"/>
  <c r="N147" i="93"/>
  <c r="AC134" i="93" s="1"/>
  <c r="R134" i="93"/>
  <c r="N146" i="93"/>
  <c r="L157" i="93"/>
  <c r="M157" i="93" s="1"/>
  <c r="P104" i="94"/>
  <c r="L111" i="94"/>
  <c r="L119" i="94"/>
  <c r="L117" i="94"/>
  <c r="L120" i="94"/>
  <c r="L110" i="94"/>
  <c r="L118" i="94"/>
  <c r="L116" i="94"/>
  <c r="L115" i="94"/>
  <c r="L112" i="94"/>
  <c r="L109" i="94"/>
  <c r="L113" i="94"/>
  <c r="L121" i="94" s="1"/>
  <c r="L114" i="94"/>
  <c r="L155" i="94"/>
  <c r="M155" i="94" s="1"/>
  <c r="C75" i="76"/>
  <c r="N145" i="92"/>
  <c r="C76" i="76"/>
  <c r="N145" i="93"/>
  <c r="O142" i="92"/>
  <c r="M148" i="95"/>
  <c r="N145" i="95" s="1"/>
  <c r="Y28" i="51"/>
  <c r="C57" i="51"/>
  <c r="H20" i="51"/>
  <c r="C124" i="51"/>
  <c r="C102" i="51" s="1"/>
  <c r="C61" i="51"/>
  <c r="N148" i="93" l="1"/>
  <c r="L129" i="95"/>
  <c r="L129" i="94"/>
  <c r="M159" i="92"/>
  <c r="N156" i="92" s="1"/>
  <c r="AE139" i="92" s="1"/>
  <c r="L126" i="94"/>
  <c r="M108" i="94"/>
  <c r="M111" i="92"/>
  <c r="N147" i="94"/>
  <c r="AC134" i="94" s="1"/>
  <c r="K165" i="94"/>
  <c r="R134" i="94"/>
  <c r="N146" i="94"/>
  <c r="L157" i="94"/>
  <c r="M157" i="94" s="1"/>
  <c r="M159" i="94" s="1"/>
  <c r="L158" i="94"/>
  <c r="M158" i="94" s="1"/>
  <c r="L156" i="94"/>
  <c r="M156" i="94" s="1"/>
  <c r="N143" i="94"/>
  <c r="N144" i="94"/>
  <c r="N148" i="94" s="1"/>
  <c r="AC133" i="93"/>
  <c r="M109" i="94"/>
  <c r="M118" i="94"/>
  <c r="M119" i="94"/>
  <c r="M117" i="95"/>
  <c r="L121" i="92"/>
  <c r="M116" i="92" s="1"/>
  <c r="M119" i="92"/>
  <c r="M110" i="92"/>
  <c r="M117" i="92"/>
  <c r="M116" i="94"/>
  <c r="L121" i="95"/>
  <c r="M115" i="95" s="1"/>
  <c r="M109" i="95"/>
  <c r="K165" i="95"/>
  <c r="N147" i="95"/>
  <c r="AC134" i="95" s="1"/>
  <c r="R134" i="95"/>
  <c r="N146" i="95"/>
  <c r="L158" i="95"/>
  <c r="M158" i="95" s="1"/>
  <c r="L157" i="95"/>
  <c r="M157" i="95" s="1"/>
  <c r="L156" i="95"/>
  <c r="M156" i="95" s="1"/>
  <c r="N143" i="95"/>
  <c r="N144" i="95"/>
  <c r="M112" i="94"/>
  <c r="M110" i="94"/>
  <c r="M111" i="94"/>
  <c r="N150" i="92"/>
  <c r="P104" i="93"/>
  <c r="L109" i="93"/>
  <c r="L120" i="93"/>
  <c r="L115" i="93"/>
  <c r="L114" i="93"/>
  <c r="L111" i="93"/>
  <c r="L117" i="93"/>
  <c r="L116" i="93"/>
  <c r="L113" i="93"/>
  <c r="L118" i="93"/>
  <c r="L119" i="93"/>
  <c r="L112" i="93"/>
  <c r="L110" i="93"/>
  <c r="M110" i="95"/>
  <c r="M113" i="92"/>
  <c r="M114" i="92"/>
  <c r="M112" i="92"/>
  <c r="N145" i="94"/>
  <c r="M113" i="94"/>
  <c r="M117" i="94"/>
  <c r="M116" i="95"/>
  <c r="M114" i="94"/>
  <c r="M115" i="94"/>
  <c r="M120" i="94"/>
  <c r="L155" i="93"/>
  <c r="M155" i="93" s="1"/>
  <c r="M118" i="95"/>
  <c r="M109" i="92"/>
  <c r="M118" i="92"/>
  <c r="M115" i="92"/>
  <c r="AC133" i="92"/>
  <c r="N148" i="92"/>
  <c r="H21" i="51"/>
  <c r="H22" i="51" s="1"/>
  <c r="I20" i="51"/>
  <c r="C103" i="51"/>
  <c r="F70" i="51"/>
  <c r="F69" i="51"/>
  <c r="F72" i="51"/>
  <c r="Y26" i="21"/>
  <c r="X26" i="21"/>
  <c r="AA26" i="21" s="1"/>
  <c r="Y25" i="21"/>
  <c r="X25" i="21"/>
  <c r="AA25" i="21" s="1"/>
  <c r="Y24" i="21"/>
  <c r="X24" i="21"/>
  <c r="AA24" i="21" s="1"/>
  <c r="Y23" i="21"/>
  <c r="X23" i="21"/>
  <c r="AA23" i="21" s="1"/>
  <c r="Z22" i="21"/>
  <c r="Y22" i="21"/>
  <c r="X22" i="21"/>
  <c r="AA22" i="21" s="1"/>
  <c r="Z26" i="12"/>
  <c r="Y26" i="12"/>
  <c r="X26" i="12"/>
  <c r="AA26" i="12" s="1"/>
  <c r="Z25" i="12"/>
  <c r="Y25" i="12"/>
  <c r="X25" i="12"/>
  <c r="AA25" i="12" s="1"/>
  <c r="Z24" i="12"/>
  <c r="Y24" i="12"/>
  <c r="X24" i="12"/>
  <c r="AA24" i="12" s="1"/>
  <c r="Z23" i="12"/>
  <c r="Y23" i="12"/>
  <c r="X23" i="12"/>
  <c r="AA23" i="12" s="1"/>
  <c r="Z22" i="12"/>
  <c r="Y22" i="12"/>
  <c r="X22" i="12"/>
  <c r="AA22" i="12" s="1"/>
  <c r="Y26" i="9"/>
  <c r="X26" i="9"/>
  <c r="AA26" i="9" s="1"/>
  <c r="Y25" i="9"/>
  <c r="X25" i="9"/>
  <c r="AA25" i="9" s="1"/>
  <c r="Y24" i="9"/>
  <c r="X24" i="9"/>
  <c r="AA24" i="9" s="1"/>
  <c r="Y23" i="9"/>
  <c r="X23" i="9"/>
  <c r="AA23" i="9" s="1"/>
  <c r="Y22" i="9"/>
  <c r="Z22" i="9"/>
  <c r="X22" i="9"/>
  <c r="AA22" i="9" s="1"/>
  <c r="N158" i="92" l="1"/>
  <c r="AE141" i="92" s="1"/>
  <c r="K166" i="92"/>
  <c r="N152" i="92"/>
  <c r="AE135" i="92" s="1"/>
  <c r="N155" i="92"/>
  <c r="AE138" i="92" s="1"/>
  <c r="N153" i="92"/>
  <c r="AE136" i="92" s="1"/>
  <c r="C177" i="92"/>
  <c r="N154" i="92"/>
  <c r="AE137" i="92" s="1"/>
  <c r="M120" i="95"/>
  <c r="M114" i="95"/>
  <c r="R135" i="92"/>
  <c r="R136" i="92" s="1"/>
  <c r="N157" i="92"/>
  <c r="AE140" i="92" s="1"/>
  <c r="M113" i="95"/>
  <c r="N151" i="92"/>
  <c r="AE134" i="92" s="1"/>
  <c r="AC133" i="95"/>
  <c r="K166" i="94"/>
  <c r="N152" i="94"/>
  <c r="AE135" i="94" s="1"/>
  <c r="R135" i="94"/>
  <c r="N150" i="94"/>
  <c r="N151" i="94"/>
  <c r="AE134" i="94" s="1"/>
  <c r="N154" i="94"/>
  <c r="AE137" i="94" s="1"/>
  <c r="N153" i="94"/>
  <c r="AE136" i="94" s="1"/>
  <c r="N155" i="94"/>
  <c r="AE138" i="94" s="1"/>
  <c r="C177" i="94"/>
  <c r="L158" i="93"/>
  <c r="M158" i="93" s="1"/>
  <c r="S135" i="92"/>
  <c r="S133" i="92"/>
  <c r="AE133" i="92"/>
  <c r="L126" i="95"/>
  <c r="M108" i="95"/>
  <c r="M111" i="95"/>
  <c r="AC133" i="94"/>
  <c r="M112" i="95"/>
  <c r="L128" i="94"/>
  <c r="L127" i="94"/>
  <c r="L129" i="93"/>
  <c r="S134" i="92"/>
  <c r="N148" i="95"/>
  <c r="M119" i="95"/>
  <c r="N156" i="94"/>
  <c r="AE139" i="94" s="1"/>
  <c r="N157" i="94"/>
  <c r="AE140" i="94" s="1"/>
  <c r="L20" i="51"/>
  <c r="L21" i="51" s="1"/>
  <c r="G57" i="51"/>
  <c r="L121" i="93"/>
  <c r="M114" i="93" s="1"/>
  <c r="M159" i="95"/>
  <c r="N156" i="95" s="1"/>
  <c r="AE139" i="95" s="1"/>
  <c r="H12" i="76"/>
  <c r="L126" i="92"/>
  <c r="M108" i="92"/>
  <c r="N158" i="94"/>
  <c r="AE141" i="94" s="1"/>
  <c r="R136" i="94"/>
  <c r="M120" i="92"/>
  <c r="M121" i="94"/>
  <c r="J145" i="76"/>
  <c r="N145" i="76"/>
  <c r="K145" i="76"/>
  <c r="L145" i="76"/>
  <c r="M145" i="76"/>
  <c r="G126" i="74"/>
  <c r="H126" i="74"/>
  <c r="I142" i="74"/>
  <c r="C119" i="51"/>
  <c r="F81" i="51"/>
  <c r="I21" i="51"/>
  <c r="I24" i="51"/>
  <c r="B5" i="51" s="1"/>
  <c r="J20" i="51"/>
  <c r="F20" i="51"/>
  <c r="K69" i="51"/>
  <c r="M69" i="51" s="1"/>
  <c r="F73" i="51"/>
  <c r="K72" i="51"/>
  <c r="M72" i="51" s="1"/>
  <c r="K70" i="51"/>
  <c r="M70" i="51" s="1"/>
  <c r="I121" i="21" l="1"/>
  <c r="V134" i="92"/>
  <c r="D199" i="92"/>
  <c r="M111" i="93"/>
  <c r="N159" i="92"/>
  <c r="M119" i="93"/>
  <c r="M112" i="93"/>
  <c r="M121" i="92"/>
  <c r="N150" i="95"/>
  <c r="N151" i="95"/>
  <c r="AE134" i="95" s="1"/>
  <c r="K166" i="95"/>
  <c r="N152" i="95"/>
  <c r="AE135" i="95" s="1"/>
  <c r="R135" i="95"/>
  <c r="N154" i="95"/>
  <c r="AE137" i="95" s="1"/>
  <c r="N153" i="95"/>
  <c r="AE136" i="95" s="1"/>
  <c r="N155" i="95"/>
  <c r="AE138" i="95" s="1"/>
  <c r="C177" i="95"/>
  <c r="M109" i="93"/>
  <c r="L128" i="95"/>
  <c r="L127" i="95"/>
  <c r="C176" i="95" s="1"/>
  <c r="N157" i="95"/>
  <c r="AE140" i="95" s="1"/>
  <c r="S135" i="94"/>
  <c r="S133" i="94"/>
  <c r="M120" i="93"/>
  <c r="L126" i="93"/>
  <c r="H15" i="76"/>
  <c r="M108" i="93"/>
  <c r="O146" i="95"/>
  <c r="O146" i="94"/>
  <c r="O146" i="92"/>
  <c r="O146" i="93"/>
  <c r="S134" i="94"/>
  <c r="L128" i="92"/>
  <c r="L127" i="92"/>
  <c r="M115" i="93"/>
  <c r="N158" i="95"/>
  <c r="AE141" i="95" s="1"/>
  <c r="M113" i="93"/>
  <c r="M159" i="93"/>
  <c r="M118" i="93"/>
  <c r="C176" i="94"/>
  <c r="N159" i="94"/>
  <c r="AE133" i="94"/>
  <c r="M117" i="93"/>
  <c r="M116" i="93"/>
  <c r="L130" i="94"/>
  <c r="M121" i="95"/>
  <c r="M110" i="93"/>
  <c r="D199" i="94"/>
  <c r="V134" i="94"/>
  <c r="K125" i="51"/>
  <c r="M125" i="51" s="1"/>
  <c r="H142" i="74"/>
  <c r="I158" i="74"/>
  <c r="G142" i="74"/>
  <c r="N69" i="51"/>
  <c r="O69" i="51" s="1"/>
  <c r="F82" i="51"/>
  <c r="M20" i="51"/>
  <c r="K81" i="51"/>
  <c r="M81" i="51" s="1"/>
  <c r="N72" i="51"/>
  <c r="O72" i="51" s="1"/>
  <c r="K117" i="51"/>
  <c r="M117" i="51" s="1"/>
  <c r="K115" i="51"/>
  <c r="M115" i="51" s="1"/>
  <c r="R33" i="51"/>
  <c r="L24" i="51" s="1"/>
  <c r="I26" i="51"/>
  <c r="I27" i="51" s="1"/>
  <c r="C127" i="51"/>
  <c r="F71" i="51" s="1"/>
  <c r="O125" i="51"/>
  <c r="J32" i="51"/>
  <c r="K20" i="51"/>
  <c r="J21" i="51"/>
  <c r="G60" i="51"/>
  <c r="G61" i="51" s="1"/>
  <c r="F74" i="51"/>
  <c r="N70" i="51"/>
  <c r="O70" i="51" s="1"/>
  <c r="K73" i="51"/>
  <c r="M73" i="51" s="1"/>
  <c r="F80" i="51"/>
  <c r="F21" i="51"/>
  <c r="F32" i="51"/>
  <c r="G32" i="51" s="1"/>
  <c r="E20" i="51"/>
  <c r="I22" i="51"/>
  <c r="Q41" i="21"/>
  <c r="Q41" i="12"/>
  <c r="L130" i="95" l="1"/>
  <c r="L199" i="92"/>
  <c r="L200" i="92" s="1"/>
  <c r="L201" i="92" s="1"/>
  <c r="F199" i="92"/>
  <c r="F200" i="92" s="1"/>
  <c r="F201" i="92" s="1"/>
  <c r="K199" i="92"/>
  <c r="K200" i="92" s="1"/>
  <c r="K201" i="92" s="1"/>
  <c r="G199" i="92"/>
  <c r="G200" i="92" s="1"/>
  <c r="G201" i="92" s="1"/>
  <c r="M199" i="92"/>
  <c r="M200" i="92" s="1"/>
  <c r="M201" i="92" s="1"/>
  <c r="H199" i="92"/>
  <c r="H200" i="92" s="1"/>
  <c r="H201" i="92" s="1"/>
  <c r="J199" i="92"/>
  <c r="J200" i="92" s="1"/>
  <c r="J201" i="92" s="1"/>
  <c r="D200" i="92"/>
  <c r="D201" i="92" s="1"/>
  <c r="I199" i="92"/>
  <c r="I200" i="92" s="1"/>
  <c r="I201" i="92" s="1"/>
  <c r="E199" i="92"/>
  <c r="E200" i="92" s="1"/>
  <c r="E201" i="92" s="1"/>
  <c r="K163" i="94"/>
  <c r="M129" i="94"/>
  <c r="M126" i="94"/>
  <c r="N150" i="93"/>
  <c r="K166" i="93"/>
  <c r="R135" i="93"/>
  <c r="R136" i="93" s="1"/>
  <c r="N151" i="93"/>
  <c r="AE134" i="93" s="1"/>
  <c r="N152" i="93"/>
  <c r="AE135" i="93" s="1"/>
  <c r="N154" i="93"/>
  <c r="AE137" i="93" s="1"/>
  <c r="C177" i="93"/>
  <c r="N153" i="93"/>
  <c r="AE136" i="93" s="1"/>
  <c r="N156" i="93"/>
  <c r="AE139" i="93" s="1"/>
  <c r="N157" i="93"/>
  <c r="AE140" i="93" s="1"/>
  <c r="N155" i="93"/>
  <c r="AE138" i="93" s="1"/>
  <c r="K172" i="95"/>
  <c r="C197" i="95"/>
  <c r="V133" i="95"/>
  <c r="C181" i="95"/>
  <c r="J199" i="94"/>
  <c r="J200" i="94" s="1"/>
  <c r="J201" i="94" s="1"/>
  <c r="F199" i="94"/>
  <c r="F200" i="94" s="1"/>
  <c r="F201" i="94" s="1"/>
  <c r="D200" i="94"/>
  <c r="D201" i="94" s="1"/>
  <c r="I199" i="94"/>
  <c r="I200" i="94" s="1"/>
  <c r="I201" i="94" s="1"/>
  <c r="M199" i="94"/>
  <c r="M200" i="94" s="1"/>
  <c r="M201" i="94" s="1"/>
  <c r="H199" i="94"/>
  <c r="H200" i="94" s="1"/>
  <c r="H201" i="94" s="1"/>
  <c r="E199" i="94"/>
  <c r="E200" i="94" s="1"/>
  <c r="E201" i="94" s="1"/>
  <c r="K199" i="94"/>
  <c r="K200" i="94" s="1"/>
  <c r="K201" i="94" s="1"/>
  <c r="G199" i="94"/>
  <c r="G200" i="94" s="1"/>
  <c r="G201" i="94" s="1"/>
  <c r="L199" i="94"/>
  <c r="L200" i="94" s="1"/>
  <c r="L201" i="94" s="1"/>
  <c r="C181" i="94"/>
  <c r="C197" i="94"/>
  <c r="V133" i="94"/>
  <c r="K172" i="94"/>
  <c r="N158" i="93"/>
  <c r="AE141" i="93" s="1"/>
  <c r="L128" i="93"/>
  <c r="L127" i="93"/>
  <c r="L130" i="93"/>
  <c r="M128" i="95"/>
  <c r="V134" i="95"/>
  <c r="D199" i="95"/>
  <c r="R136" i="95"/>
  <c r="S135" i="95" s="1"/>
  <c r="N159" i="95"/>
  <c r="AE133" i="95"/>
  <c r="C176" i="92"/>
  <c r="M127" i="95"/>
  <c r="K163" i="95"/>
  <c r="M129" i="95"/>
  <c r="M127" i="94"/>
  <c r="L130" i="92"/>
  <c r="M121" i="93"/>
  <c r="M126" i="95"/>
  <c r="M128" i="94"/>
  <c r="D73" i="76"/>
  <c r="D68" i="76"/>
  <c r="H158" i="74"/>
  <c r="I174" i="74"/>
  <c r="G158" i="74"/>
  <c r="K60" i="51"/>
  <c r="C111" i="51" s="1"/>
  <c r="C110" i="51" s="1"/>
  <c r="K124" i="51" s="1"/>
  <c r="M124" i="51" s="1"/>
  <c r="L25" i="51"/>
  <c r="N81" i="51"/>
  <c r="O81" i="51" s="1"/>
  <c r="N73" i="51"/>
  <c r="O73" i="51" s="1"/>
  <c r="J24" i="51"/>
  <c r="K82" i="51"/>
  <c r="M82" i="51" s="1"/>
  <c r="F79" i="51"/>
  <c r="K116" i="51"/>
  <c r="M116" i="51" s="1"/>
  <c r="E21" i="51"/>
  <c r="E22" i="51" s="1"/>
  <c r="C51" i="51"/>
  <c r="H32" i="51"/>
  <c r="I32" i="51" s="1"/>
  <c r="L32" i="51" s="1"/>
  <c r="L33" i="51" s="1"/>
  <c r="K80" i="51"/>
  <c r="M80" i="51" s="1"/>
  <c r="F83" i="51"/>
  <c r="O62" i="51"/>
  <c r="M21" i="51"/>
  <c r="N21" i="51" s="1"/>
  <c r="N20" i="51" s="1"/>
  <c r="T67" i="51"/>
  <c r="M120" i="51"/>
  <c r="F68" i="76" s="1"/>
  <c r="K74" i="51"/>
  <c r="M74" i="51" s="1"/>
  <c r="K21" i="51"/>
  <c r="K32" i="51"/>
  <c r="K71" i="51"/>
  <c r="M71" i="51" s="1"/>
  <c r="I25" i="9"/>
  <c r="I26" i="9"/>
  <c r="I27" i="9"/>
  <c r="I28" i="9"/>
  <c r="I45" i="9"/>
  <c r="I46" i="9"/>
  <c r="I47" i="9"/>
  <c r="I48" i="9"/>
  <c r="M130" i="95" l="1"/>
  <c r="K167" i="95"/>
  <c r="L163" i="95" s="1"/>
  <c r="K163" i="93"/>
  <c r="K167" i="93" s="1"/>
  <c r="L166" i="93" s="1"/>
  <c r="M129" i="93"/>
  <c r="N159" i="93"/>
  <c r="AE133" i="93"/>
  <c r="E44" i="51"/>
  <c r="M127" i="93"/>
  <c r="C176" i="93"/>
  <c r="V135" i="94"/>
  <c r="W134" i="94" s="1"/>
  <c r="W133" i="94"/>
  <c r="M130" i="94"/>
  <c r="G199" i="95"/>
  <c r="G200" i="95" s="1"/>
  <c r="G201" i="95" s="1"/>
  <c r="L199" i="95"/>
  <c r="L200" i="95" s="1"/>
  <c r="L201" i="95" s="1"/>
  <c r="F199" i="95"/>
  <c r="F200" i="95" s="1"/>
  <c r="F201" i="95" s="1"/>
  <c r="K199" i="95"/>
  <c r="K200" i="95" s="1"/>
  <c r="K201" i="95" s="1"/>
  <c r="J199" i="95"/>
  <c r="J200" i="95" s="1"/>
  <c r="J201" i="95" s="1"/>
  <c r="M199" i="95"/>
  <c r="M200" i="95" s="1"/>
  <c r="M201" i="95" s="1"/>
  <c r="E199" i="95"/>
  <c r="E200" i="95" s="1"/>
  <c r="E201" i="95" s="1"/>
  <c r="H199" i="95"/>
  <c r="H200" i="95" s="1"/>
  <c r="H201" i="95" s="1"/>
  <c r="C203" i="95" s="1"/>
  <c r="I199" i="95"/>
  <c r="I200" i="95" s="1"/>
  <c r="I201" i="95" s="1"/>
  <c r="D200" i="95"/>
  <c r="D201" i="95" s="1"/>
  <c r="M128" i="92"/>
  <c r="K163" i="92"/>
  <c r="K167" i="92" s="1"/>
  <c r="M129" i="92"/>
  <c r="M126" i="92"/>
  <c r="I120" i="21"/>
  <c r="C197" i="92"/>
  <c r="C203" i="92" s="1"/>
  <c r="V133" i="92"/>
  <c r="C181" i="92"/>
  <c r="K172" i="92"/>
  <c r="S133" i="95"/>
  <c r="S134" i="95"/>
  <c r="M128" i="93"/>
  <c r="C203" i="94"/>
  <c r="I121" i="74"/>
  <c r="V134" i="93"/>
  <c r="D199" i="93"/>
  <c r="S135" i="93"/>
  <c r="S133" i="93"/>
  <c r="S134" i="93"/>
  <c r="M127" i="92"/>
  <c r="M126" i="93"/>
  <c r="V135" i="95"/>
  <c r="W134" i="95" s="1"/>
  <c r="K167" i="94"/>
  <c r="L163" i="94"/>
  <c r="C68" i="76"/>
  <c r="F73" i="76"/>
  <c r="U7" i="76"/>
  <c r="V13" i="76" s="1"/>
  <c r="N71" i="51"/>
  <c r="O71" i="51" s="1"/>
  <c r="N80" i="51"/>
  <c r="I190" i="74"/>
  <c r="I206" i="74" s="1"/>
  <c r="G174" i="74"/>
  <c r="H174" i="74"/>
  <c r="N82" i="51"/>
  <c r="O82" i="51" s="1"/>
  <c r="L40" i="51"/>
  <c r="L26" i="51"/>
  <c r="L27" i="51" s="1"/>
  <c r="M24" i="51"/>
  <c r="M22" i="51" s="1"/>
  <c r="N22" i="51" s="1"/>
  <c r="L38" i="51"/>
  <c r="L36" i="51"/>
  <c r="J38" i="51"/>
  <c r="J36" i="51"/>
  <c r="J25" i="51"/>
  <c r="J26" i="51"/>
  <c r="J27" i="51" s="1"/>
  <c r="J40" i="51"/>
  <c r="K83" i="51"/>
  <c r="M83" i="51" s="1"/>
  <c r="O80" i="51"/>
  <c r="K79" i="51"/>
  <c r="M79" i="51" s="1"/>
  <c r="N74" i="51"/>
  <c r="O74" i="51" s="1"/>
  <c r="T68" i="51"/>
  <c r="X70" i="51" s="1"/>
  <c r="C105" i="51"/>
  <c r="C106" i="51" s="1"/>
  <c r="C107" i="51" s="1"/>
  <c r="K123" i="51" s="1"/>
  <c r="M123" i="51" s="1"/>
  <c r="E73" i="76" s="1"/>
  <c r="F76" i="51"/>
  <c r="F75" i="51"/>
  <c r="L22" i="51"/>
  <c r="H33" i="51"/>
  <c r="J22" i="51"/>
  <c r="W133" i="95" l="1"/>
  <c r="I122" i="21"/>
  <c r="G61" i="76"/>
  <c r="M130" i="92"/>
  <c r="L163" i="93"/>
  <c r="K169" i="93"/>
  <c r="L164" i="93"/>
  <c r="L165" i="93"/>
  <c r="D5" i="76"/>
  <c r="S4" i="76" s="1"/>
  <c r="K169" i="94"/>
  <c r="L164" i="94"/>
  <c r="L165" i="94"/>
  <c r="L166" i="94"/>
  <c r="M130" i="93"/>
  <c r="V135" i="92"/>
  <c r="W134" i="92" s="1"/>
  <c r="K199" i="93"/>
  <c r="K200" i="93" s="1"/>
  <c r="K201" i="93" s="1"/>
  <c r="G199" i="93"/>
  <c r="G200" i="93" s="1"/>
  <c r="G201" i="93" s="1"/>
  <c r="F199" i="93"/>
  <c r="F200" i="93" s="1"/>
  <c r="F201" i="93" s="1"/>
  <c r="H199" i="93"/>
  <c r="H200" i="93" s="1"/>
  <c r="H201" i="93" s="1"/>
  <c r="J199" i="93"/>
  <c r="J200" i="93" s="1"/>
  <c r="J201" i="93" s="1"/>
  <c r="M199" i="93"/>
  <c r="M200" i="93" s="1"/>
  <c r="M201" i="93" s="1"/>
  <c r="D200" i="93"/>
  <c r="D201" i="93" s="1"/>
  <c r="I199" i="93"/>
  <c r="I200" i="93" s="1"/>
  <c r="I201" i="93" s="1"/>
  <c r="E199" i="93"/>
  <c r="E200" i="93" s="1"/>
  <c r="E201" i="93" s="1"/>
  <c r="L199" i="93"/>
  <c r="L200" i="93" s="1"/>
  <c r="L201" i="93" s="1"/>
  <c r="L163" i="92"/>
  <c r="K169" i="92"/>
  <c r="L164" i="92"/>
  <c r="L165" i="92"/>
  <c r="L166" i="92"/>
  <c r="I120" i="74"/>
  <c r="C181" i="93"/>
  <c r="K172" i="93"/>
  <c r="V133" i="93"/>
  <c r="C197" i="93"/>
  <c r="K169" i="95"/>
  <c r="L164" i="95"/>
  <c r="L165" i="95"/>
  <c r="L166" i="95"/>
  <c r="R145" i="76"/>
  <c r="Q145" i="76"/>
  <c r="T145" i="76"/>
  <c r="U145" i="76"/>
  <c r="S145" i="76"/>
  <c r="V145" i="76"/>
  <c r="Z145" i="76" s="1"/>
  <c r="O122" i="51"/>
  <c r="N83" i="51"/>
  <c r="O83" i="51" s="1"/>
  <c r="H190" i="74"/>
  <c r="G190" i="74"/>
  <c r="X68" i="51"/>
  <c r="X69" i="51" s="1"/>
  <c r="K75" i="51"/>
  <c r="M75" i="51" s="1"/>
  <c r="L39" i="51"/>
  <c r="M38" i="51"/>
  <c r="K76" i="51"/>
  <c r="M76" i="51" s="1"/>
  <c r="F25" i="51"/>
  <c r="K25" i="51"/>
  <c r="O58" i="51"/>
  <c r="M26" i="51"/>
  <c r="M27" i="51" s="1"/>
  <c r="N24" i="51"/>
  <c r="M25" i="51"/>
  <c r="J37" i="51"/>
  <c r="F37" i="51" s="1"/>
  <c r="F36" i="51" s="1"/>
  <c r="G36" i="51" s="1"/>
  <c r="G37" i="51" s="1"/>
  <c r="I36" i="51"/>
  <c r="I37" i="51" s="1"/>
  <c r="B204" i="51"/>
  <c r="B208" i="51"/>
  <c r="N79" i="51"/>
  <c r="O79" i="51" s="1"/>
  <c r="I40" i="51"/>
  <c r="I41" i="51" s="1"/>
  <c r="J41" i="51"/>
  <c r="F41" i="51" s="1"/>
  <c r="F40" i="51" s="1"/>
  <c r="G40" i="51" s="1"/>
  <c r="G41" i="51" s="1"/>
  <c r="I38" i="51"/>
  <c r="I39" i="51" s="1"/>
  <c r="J39" i="51"/>
  <c r="F39" i="51" s="1"/>
  <c r="F38" i="51" s="1"/>
  <c r="G38" i="51" s="1"/>
  <c r="G39" i="51" s="1"/>
  <c r="M36" i="51"/>
  <c r="L37" i="51"/>
  <c r="L41" i="51"/>
  <c r="M40" i="51"/>
  <c r="I30" i="21"/>
  <c r="I50" i="21" s="1"/>
  <c r="G30" i="21"/>
  <c r="G50" i="21" s="1"/>
  <c r="G70" i="21" s="1"/>
  <c r="G90" i="21" s="1"/>
  <c r="H30" i="21"/>
  <c r="H50" i="21" s="1"/>
  <c r="H70" i="21" s="1"/>
  <c r="H90" i="21" s="1"/>
  <c r="I86" i="21"/>
  <c r="I87" i="21"/>
  <c r="I88" i="21"/>
  <c r="I89" i="21"/>
  <c r="Z26" i="21" s="1"/>
  <c r="I90" i="21"/>
  <c r="I91" i="21"/>
  <c r="Z33" i="21" s="1"/>
  <c r="I85" i="21"/>
  <c r="I66" i="21"/>
  <c r="I67" i="21"/>
  <c r="I68" i="21"/>
  <c r="I69" i="21"/>
  <c r="Z25" i="21" s="1"/>
  <c r="I70" i="21"/>
  <c r="I71" i="21"/>
  <c r="Z32" i="21" s="1"/>
  <c r="I65" i="21"/>
  <c r="I26" i="21"/>
  <c r="I46" i="21" s="1"/>
  <c r="I27" i="21"/>
  <c r="I47" i="21" s="1"/>
  <c r="I28" i="21"/>
  <c r="I48" i="21" s="1"/>
  <c r="I29" i="21"/>
  <c r="I31" i="21"/>
  <c r="Z30" i="21" s="1"/>
  <c r="I25" i="21"/>
  <c r="I45" i="21" s="1"/>
  <c r="I86" i="12"/>
  <c r="I87" i="12"/>
  <c r="I88" i="12"/>
  <c r="I85" i="12"/>
  <c r="I66" i="12"/>
  <c r="I67" i="12"/>
  <c r="I68" i="12"/>
  <c r="I65" i="12"/>
  <c r="I46" i="12"/>
  <c r="I47" i="12"/>
  <c r="I48" i="12"/>
  <c r="I45" i="12"/>
  <c r="I26" i="12"/>
  <c r="I27" i="12"/>
  <c r="I28" i="12"/>
  <c r="I25" i="12"/>
  <c r="I86" i="9"/>
  <c r="I87" i="9"/>
  <c r="I88" i="9"/>
  <c r="I89" i="9"/>
  <c r="Z26" i="9" s="1"/>
  <c r="I85" i="9"/>
  <c r="I66" i="9"/>
  <c r="I67" i="9"/>
  <c r="I68" i="9"/>
  <c r="I69" i="9"/>
  <c r="Z25" i="9" s="1"/>
  <c r="I65" i="9"/>
  <c r="I49" i="9"/>
  <c r="Z24" i="9" s="1"/>
  <c r="I29" i="9"/>
  <c r="Z23" i="9" s="1"/>
  <c r="C133" i="7"/>
  <c r="C134" i="7"/>
  <c r="C135" i="7"/>
  <c r="C136" i="7"/>
  <c r="C137" i="7"/>
  <c r="C138" i="7"/>
  <c r="C132" i="7"/>
  <c r="E74" i="7"/>
  <c r="E76" i="7"/>
  <c r="E75" i="7" s="1"/>
  <c r="E77" i="7"/>
  <c r="E79" i="7"/>
  <c r="E80" i="7"/>
  <c r="E81" i="7"/>
  <c r="E82" i="7"/>
  <c r="E83" i="7"/>
  <c r="E84" i="7"/>
  <c r="E78" i="7"/>
  <c r="L167" i="94" l="1"/>
  <c r="L167" i="92"/>
  <c r="L167" i="95"/>
  <c r="K171" i="94"/>
  <c r="K170" i="94"/>
  <c r="K170" i="93"/>
  <c r="K171" i="93"/>
  <c r="K171" i="95"/>
  <c r="K170" i="95"/>
  <c r="G62" i="76"/>
  <c r="I122" i="74"/>
  <c r="L167" i="93"/>
  <c r="V135" i="93"/>
  <c r="W134" i="93" s="1"/>
  <c r="W133" i="93"/>
  <c r="C203" i="93"/>
  <c r="K171" i="92"/>
  <c r="K170" i="92"/>
  <c r="W133" i="92"/>
  <c r="C5" i="76"/>
  <c r="R4" i="76" s="1"/>
  <c r="U10" i="76" s="1"/>
  <c r="Y145" i="76"/>
  <c r="C112" i="51"/>
  <c r="C116" i="51" s="1"/>
  <c r="C117" i="51" s="1"/>
  <c r="K126" i="51" s="1"/>
  <c r="M126" i="51" s="1"/>
  <c r="X76" i="51"/>
  <c r="I49" i="21"/>
  <c r="Z24" i="21" s="1"/>
  <c r="Z23" i="21"/>
  <c r="I51" i="21"/>
  <c r="K118" i="51"/>
  <c r="M118" i="51" s="1"/>
  <c r="E68" i="76" s="1"/>
  <c r="G79" i="76" s="1"/>
  <c r="O60" i="51"/>
  <c r="K27" i="51"/>
  <c r="K24" i="51"/>
  <c r="N76" i="51"/>
  <c r="O76" i="51" s="1"/>
  <c r="N75" i="51"/>
  <c r="O75" i="51" s="1"/>
  <c r="N36" i="51"/>
  <c r="N37" i="51" s="1"/>
  <c r="M37" i="51"/>
  <c r="C169" i="51"/>
  <c r="F84" i="51"/>
  <c r="S57" i="51"/>
  <c r="S59" i="51" s="1"/>
  <c r="D51" i="51"/>
  <c r="N25" i="51"/>
  <c r="E48" i="51"/>
  <c r="E49" i="51"/>
  <c r="N26" i="51"/>
  <c r="N27" i="51" s="1"/>
  <c r="F27" i="51"/>
  <c r="F24" i="51"/>
  <c r="M39" i="51"/>
  <c r="N38" i="51"/>
  <c r="N39" i="51" s="1"/>
  <c r="N40" i="51"/>
  <c r="N41" i="51" s="1"/>
  <c r="M41" i="51"/>
  <c r="G51" i="21"/>
  <c r="X31" i="21" s="1"/>
  <c r="AA31" i="21" s="1"/>
  <c r="E5" i="76" l="1"/>
  <c r="T4" i="76" s="1"/>
  <c r="C78" i="76"/>
  <c r="F28" i="76"/>
  <c r="F34" i="76" s="1"/>
  <c r="I124" i="9"/>
  <c r="C186" i="51"/>
  <c r="X78" i="51"/>
  <c r="X79" i="51" s="1"/>
  <c r="C113" i="51" s="1"/>
  <c r="M121" i="51"/>
  <c r="H51" i="21"/>
  <c r="Y31" i="21" s="1"/>
  <c r="Z31" i="21"/>
  <c r="F77" i="51"/>
  <c r="F26" i="51"/>
  <c r="G26" i="51" s="1"/>
  <c r="G27" i="51" s="1"/>
  <c r="G24" i="51"/>
  <c r="G25" i="51" s="1"/>
  <c r="F22" i="51"/>
  <c r="G22" i="51" s="1"/>
  <c r="K84" i="51"/>
  <c r="M84" i="51" s="1"/>
  <c r="K40" i="51"/>
  <c r="K41" i="51" s="1"/>
  <c r="K26" i="51"/>
  <c r="K36" i="51"/>
  <c r="K37" i="51" s="1"/>
  <c r="K38" i="51"/>
  <c r="K39" i="51" s="1"/>
  <c r="K22" i="51"/>
  <c r="L28" i="51" s="1"/>
  <c r="C204" i="7"/>
  <c r="D194" i="7"/>
  <c r="D195" i="7" s="1"/>
  <c r="N118" i="51" l="1"/>
  <c r="AA117" i="51" s="1"/>
  <c r="R129" i="9"/>
  <c r="H124" i="9"/>
  <c r="K142" i="76"/>
  <c r="M142" i="76"/>
  <c r="J142" i="76"/>
  <c r="N142" i="76"/>
  <c r="L142" i="76"/>
  <c r="C54" i="76"/>
  <c r="F54" i="76"/>
  <c r="E54" i="76"/>
  <c r="E40" i="76" s="1"/>
  <c r="D54" i="76"/>
  <c r="D40" i="76" s="1"/>
  <c r="C185" i="51"/>
  <c r="D175" i="51"/>
  <c r="M175" i="51" s="1"/>
  <c r="C114" i="51"/>
  <c r="K127" i="51"/>
  <c r="M127" i="51" s="1"/>
  <c r="H73" i="76" s="1"/>
  <c r="N84" i="51"/>
  <c r="O84" i="51" s="1"/>
  <c r="L30" i="51"/>
  <c r="L34" i="51"/>
  <c r="K144" i="51"/>
  <c r="L134" i="51"/>
  <c r="M134" i="51" s="1"/>
  <c r="R114" i="51"/>
  <c r="N119" i="51"/>
  <c r="N117" i="51"/>
  <c r="AA116" i="51" s="1"/>
  <c r="N115" i="51"/>
  <c r="AA114" i="51" s="1"/>
  <c r="N116" i="51"/>
  <c r="N120" i="51"/>
  <c r="AA118" i="51" s="1"/>
  <c r="K77" i="51"/>
  <c r="M77" i="51" s="1"/>
  <c r="K28" i="51"/>
  <c r="K29" i="51" s="1"/>
  <c r="J29" i="51" s="1"/>
  <c r="J28" i="51" s="1"/>
  <c r="K30" i="51"/>
  <c r="K34" i="51"/>
  <c r="K35" i="51" s="1"/>
  <c r="J35" i="51" s="1"/>
  <c r="D78" i="76" l="1"/>
  <c r="G124" i="9"/>
  <c r="S129" i="9" s="1"/>
  <c r="S130" i="9" s="1"/>
  <c r="S131" i="9" s="1"/>
  <c r="S132" i="9" s="1"/>
  <c r="S133" i="9" s="1"/>
  <c r="Q129" i="9"/>
  <c r="Q130" i="9" s="1"/>
  <c r="Q131" i="9" s="1"/>
  <c r="Q132" i="9" s="1"/>
  <c r="Q133" i="9" s="1"/>
  <c r="F40" i="76"/>
  <c r="H54" i="76"/>
  <c r="C40" i="76"/>
  <c r="N121" i="51"/>
  <c r="J175" i="51"/>
  <c r="L175" i="51"/>
  <c r="G175" i="51"/>
  <c r="E175" i="51"/>
  <c r="K175" i="51"/>
  <c r="I175" i="51"/>
  <c r="F175" i="51"/>
  <c r="H175" i="51"/>
  <c r="I140" i="9"/>
  <c r="G140" i="9"/>
  <c r="H140" i="9"/>
  <c r="D96" i="76"/>
  <c r="M128" i="51"/>
  <c r="F29" i="51"/>
  <c r="F28" i="51" s="1"/>
  <c r="G28" i="51" s="1"/>
  <c r="I28" i="51"/>
  <c r="I29" i="51" s="1"/>
  <c r="N77" i="51"/>
  <c r="O77" i="51" s="1"/>
  <c r="O85" i="51" s="1"/>
  <c r="L35" i="51"/>
  <c r="M34" i="51"/>
  <c r="N34" i="51" s="1"/>
  <c r="K31" i="51"/>
  <c r="J31" i="51" s="1"/>
  <c r="L31" i="51"/>
  <c r="M30" i="51"/>
  <c r="N30" i="51" s="1"/>
  <c r="L157" i="51" s="1"/>
  <c r="F35" i="51"/>
  <c r="F34" i="51" s="1"/>
  <c r="G34" i="51" s="1"/>
  <c r="J34" i="51"/>
  <c r="I34" i="51" s="1"/>
  <c r="AA115" i="51"/>
  <c r="L29" i="51"/>
  <c r="M28" i="51"/>
  <c r="H40" i="76" l="1"/>
  <c r="R129" i="74"/>
  <c r="U142" i="76"/>
  <c r="Q142" i="76"/>
  <c r="R142" i="76"/>
  <c r="S142" i="76"/>
  <c r="T142" i="76"/>
  <c r="V142" i="76"/>
  <c r="Z142" i="76" s="1"/>
  <c r="C96" i="76"/>
  <c r="Q96" i="76" s="1"/>
  <c r="E98" i="76"/>
  <c r="E96" i="76"/>
  <c r="R96" i="76" s="1"/>
  <c r="E99" i="76"/>
  <c r="C100" i="76"/>
  <c r="D28" i="76"/>
  <c r="C98" i="76"/>
  <c r="E100" i="76"/>
  <c r="C99" i="76"/>
  <c r="C97" i="76"/>
  <c r="F5" i="76"/>
  <c r="U4" i="76" s="1"/>
  <c r="V10" i="76" s="1"/>
  <c r="E97" i="76"/>
  <c r="R128" i="74"/>
  <c r="R130" i="9"/>
  <c r="D97" i="76" s="1"/>
  <c r="G156" i="9"/>
  <c r="I156" i="9"/>
  <c r="H156" i="9"/>
  <c r="N127" i="51"/>
  <c r="AC115" i="51" s="1"/>
  <c r="N125" i="51"/>
  <c r="N123" i="51"/>
  <c r="N126" i="51"/>
  <c r="L137" i="51"/>
  <c r="M137" i="51" s="1"/>
  <c r="K145" i="51"/>
  <c r="R115" i="51"/>
  <c r="N124" i="51"/>
  <c r="H28" i="51"/>
  <c r="H29" i="51" s="1"/>
  <c r="H34" i="51"/>
  <c r="M35" i="51"/>
  <c r="N28" i="51"/>
  <c r="L156" i="51" s="1"/>
  <c r="M29" i="51"/>
  <c r="M31" i="51"/>
  <c r="G29" i="51"/>
  <c r="G35" i="51"/>
  <c r="J30" i="51"/>
  <c r="I30" i="51" s="1"/>
  <c r="I31" i="51" s="1"/>
  <c r="F31" i="51"/>
  <c r="F30" i="51" s="1"/>
  <c r="G30" i="51" s="1"/>
  <c r="R97" i="76" l="1"/>
  <c r="Y142" i="76"/>
  <c r="R10" i="76"/>
  <c r="Q97" i="76"/>
  <c r="D34" i="76"/>
  <c r="G124" i="74"/>
  <c r="I140" i="74"/>
  <c r="H124" i="74"/>
  <c r="M96" i="76"/>
  <c r="R131" i="9"/>
  <c r="D98" i="76" s="1"/>
  <c r="G172" i="9"/>
  <c r="I172" i="9"/>
  <c r="H172" i="9"/>
  <c r="N128" i="51"/>
  <c r="AC114" i="51"/>
  <c r="H30" i="51"/>
  <c r="H31" i="51" s="1"/>
  <c r="D49" i="51"/>
  <c r="H35" i="51"/>
  <c r="L158" i="51"/>
  <c r="E28" i="76" s="1"/>
  <c r="N35" i="51"/>
  <c r="N31" i="51"/>
  <c r="G31" i="51"/>
  <c r="G33" i="51" s="1"/>
  <c r="I35" i="51"/>
  <c r="L133" i="51"/>
  <c r="M133" i="51" s="1"/>
  <c r="L89" i="51"/>
  <c r="P78" i="51"/>
  <c r="P70" i="51"/>
  <c r="P69" i="51"/>
  <c r="P72" i="51"/>
  <c r="P73" i="51"/>
  <c r="P81" i="51"/>
  <c r="P74" i="51"/>
  <c r="P82" i="51"/>
  <c r="P80" i="51"/>
  <c r="P71" i="51"/>
  <c r="P79" i="51"/>
  <c r="P83" i="51"/>
  <c r="P76" i="51"/>
  <c r="P75" i="51"/>
  <c r="P84" i="51"/>
  <c r="C28" i="76"/>
  <c r="N29" i="51"/>
  <c r="P77" i="51"/>
  <c r="B25" i="12"/>
  <c r="C25" i="12" s="1"/>
  <c r="Q31" i="12" s="1"/>
  <c r="F142" i="76" l="1"/>
  <c r="S10" i="76"/>
  <c r="R98" i="76"/>
  <c r="Q98" i="76"/>
  <c r="E34" i="76"/>
  <c r="C34" i="76"/>
  <c r="C142" i="76"/>
  <c r="D142" i="76"/>
  <c r="E142" i="76"/>
  <c r="G142" i="76"/>
  <c r="S129" i="74"/>
  <c r="Q129" i="74"/>
  <c r="R130" i="74"/>
  <c r="M97" i="76" s="1"/>
  <c r="I156" i="74"/>
  <c r="G140" i="74"/>
  <c r="H140" i="74"/>
  <c r="G188" i="9"/>
  <c r="H188" i="9"/>
  <c r="I188" i="9"/>
  <c r="I204" i="9" s="1"/>
  <c r="R132" i="9"/>
  <c r="D99" i="76" s="1"/>
  <c r="L166" i="51"/>
  <c r="D48" i="51"/>
  <c r="L163" i="51"/>
  <c r="N158" i="51"/>
  <c r="L161" i="51"/>
  <c r="N156" i="51"/>
  <c r="L100" i="51"/>
  <c r="L98" i="51"/>
  <c r="L96" i="51"/>
  <c r="L94" i="51"/>
  <c r="L92" i="51"/>
  <c r="L90" i="51"/>
  <c r="L97" i="51"/>
  <c r="L95" i="51"/>
  <c r="L101" i="51"/>
  <c r="L93" i="51"/>
  <c r="L99" i="51"/>
  <c r="L91" i="51"/>
  <c r="N157" i="51"/>
  <c r="L162" i="51"/>
  <c r="P85" i="51"/>
  <c r="L135" i="51"/>
  <c r="M135" i="51" s="1"/>
  <c r="L136" i="51"/>
  <c r="M136" i="51" s="1"/>
  <c r="R128" i="9" l="1"/>
  <c r="D95" i="76"/>
  <c r="L96" i="76"/>
  <c r="W96" i="76" s="1"/>
  <c r="N96" i="76"/>
  <c r="X96" i="76" s="1"/>
  <c r="R99" i="76"/>
  <c r="Q99" i="76"/>
  <c r="H156" i="74"/>
  <c r="G156" i="74"/>
  <c r="I172" i="74"/>
  <c r="R131" i="74"/>
  <c r="M98" i="76" s="1"/>
  <c r="S130" i="74"/>
  <c r="Q130" i="74"/>
  <c r="R133" i="9"/>
  <c r="N162" i="51"/>
  <c r="P157" i="51"/>
  <c r="P162" i="51" s="1"/>
  <c r="P156" i="51"/>
  <c r="P161" i="51" s="1"/>
  <c r="N161" i="51"/>
  <c r="L110" i="51"/>
  <c r="N163" i="51"/>
  <c r="P158" i="51"/>
  <c r="P163" i="51" s="1"/>
  <c r="L138" i="51"/>
  <c r="M138" i="51" s="1"/>
  <c r="M139" i="51" s="1"/>
  <c r="L102" i="51"/>
  <c r="M164" i="7"/>
  <c r="S26" i="21"/>
  <c r="R26" i="21"/>
  <c r="Q26" i="21"/>
  <c r="T26" i="21" s="1"/>
  <c r="S25" i="21"/>
  <c r="R25" i="21"/>
  <c r="Q25" i="21"/>
  <c r="T25" i="21" s="1"/>
  <c r="B25" i="21"/>
  <c r="S24" i="21"/>
  <c r="R24" i="21"/>
  <c r="Q24" i="21"/>
  <c r="T24" i="21" s="1"/>
  <c r="S23" i="21"/>
  <c r="R23" i="21"/>
  <c r="Q23" i="21"/>
  <c r="T23" i="21" s="1"/>
  <c r="S22" i="21"/>
  <c r="R22" i="21"/>
  <c r="Q22" i="21"/>
  <c r="T22" i="21" s="1"/>
  <c r="M162" i="7"/>
  <c r="M161" i="7"/>
  <c r="Q159" i="7"/>
  <c r="O159" i="7"/>
  <c r="O163" i="7" s="1"/>
  <c r="L127" i="7"/>
  <c r="X73" i="7"/>
  <c r="X72" i="7"/>
  <c r="N135" i="51" l="1"/>
  <c r="AE119" i="51" s="1"/>
  <c r="C156" i="51"/>
  <c r="V7" i="76"/>
  <c r="R95" i="76"/>
  <c r="Q95" i="76"/>
  <c r="L97" i="76"/>
  <c r="W97" i="76" s="1"/>
  <c r="N97" i="76"/>
  <c r="X97" i="76" s="1"/>
  <c r="H6" i="76"/>
  <c r="W4" i="76" s="1"/>
  <c r="D100" i="76"/>
  <c r="S131" i="74"/>
  <c r="Q131" i="74"/>
  <c r="R132" i="74"/>
  <c r="M99" i="76" s="1"/>
  <c r="G172" i="74"/>
  <c r="I188" i="74"/>
  <c r="I204" i="74" s="1"/>
  <c r="M95" i="76" s="1"/>
  <c r="W95" i="76" s="1"/>
  <c r="H172" i="74"/>
  <c r="M95" i="51"/>
  <c r="M93" i="51"/>
  <c r="M91" i="51"/>
  <c r="M98" i="51"/>
  <c r="K146" i="51"/>
  <c r="N130" i="51"/>
  <c r="R116" i="51"/>
  <c r="N131" i="51"/>
  <c r="AE115" i="51" s="1"/>
  <c r="N132" i="51"/>
  <c r="AE116" i="51" s="1"/>
  <c r="I121" i="9"/>
  <c r="N134" i="51"/>
  <c r="AE118" i="51" s="1"/>
  <c r="N137" i="51"/>
  <c r="AE121" i="51" s="1"/>
  <c r="N133" i="51"/>
  <c r="AE117" i="51" s="1"/>
  <c r="M96" i="51"/>
  <c r="M100" i="51"/>
  <c r="M90" i="51"/>
  <c r="M94" i="51"/>
  <c r="M99" i="51"/>
  <c r="M101" i="51"/>
  <c r="M92" i="51"/>
  <c r="L107" i="51"/>
  <c r="M89" i="51"/>
  <c r="M97" i="51"/>
  <c r="N138" i="51"/>
  <c r="AE122" i="51" s="1"/>
  <c r="N136" i="51"/>
  <c r="AE120" i="51" s="1"/>
  <c r="Q161" i="7"/>
  <c r="O162" i="7"/>
  <c r="Q164" i="7"/>
  <c r="C25" i="21"/>
  <c r="Q31" i="21" s="1"/>
  <c r="Q163" i="7"/>
  <c r="Q162" i="7"/>
  <c r="O164" i="7"/>
  <c r="W13" i="76" l="1"/>
  <c r="R13" i="76"/>
  <c r="G145" i="76" s="1"/>
  <c r="N98" i="76"/>
  <c r="X98" i="76" s="1"/>
  <c r="L98" i="76"/>
  <c r="W98" i="76" s="1"/>
  <c r="I137" i="9"/>
  <c r="I153" i="9" s="1"/>
  <c r="I169" i="9" s="1"/>
  <c r="I185" i="9" s="1"/>
  <c r="I201" i="9" s="1"/>
  <c r="R100" i="76"/>
  <c r="Q100" i="76"/>
  <c r="G188" i="74"/>
  <c r="H188" i="74"/>
  <c r="S132" i="74"/>
  <c r="R133" i="74"/>
  <c r="M100" i="76" s="1"/>
  <c r="Q132" i="74"/>
  <c r="R117" i="51"/>
  <c r="M102" i="51"/>
  <c r="L108" i="51"/>
  <c r="L109" i="51"/>
  <c r="V115" i="51"/>
  <c r="D176" i="51"/>
  <c r="N139" i="51"/>
  <c r="AE114" i="51"/>
  <c r="C155" i="51" l="1"/>
  <c r="F145" i="76"/>
  <c r="C145" i="76"/>
  <c r="S13" i="76"/>
  <c r="E145" i="76"/>
  <c r="D145" i="76"/>
  <c r="N99" i="76"/>
  <c r="X99" i="76" s="1"/>
  <c r="L99" i="76"/>
  <c r="W99" i="76" s="1"/>
  <c r="S133" i="74"/>
  <c r="Q133" i="74"/>
  <c r="L111" i="51"/>
  <c r="I120" i="9"/>
  <c r="S115" i="51"/>
  <c r="S114" i="51"/>
  <c r="K176" i="51"/>
  <c r="K177" i="51" s="1"/>
  <c r="K178" i="51" s="1"/>
  <c r="G176" i="51"/>
  <c r="G177" i="51" s="1"/>
  <c r="G178" i="51" s="1"/>
  <c r="J176" i="51"/>
  <c r="J177" i="51" s="1"/>
  <c r="J178" i="51" s="1"/>
  <c r="F176" i="51"/>
  <c r="F177" i="51" s="1"/>
  <c r="F178" i="51" s="1"/>
  <c r="M176" i="51"/>
  <c r="M177" i="51" s="1"/>
  <c r="M178" i="51" s="1"/>
  <c r="I176" i="51"/>
  <c r="I177" i="51" s="1"/>
  <c r="I178" i="51" s="1"/>
  <c r="E176" i="51"/>
  <c r="E177" i="51" s="1"/>
  <c r="E178" i="51" s="1"/>
  <c r="H176" i="51"/>
  <c r="H177" i="51" s="1"/>
  <c r="H178" i="51" s="1"/>
  <c r="L176" i="51"/>
  <c r="L177" i="51" s="1"/>
  <c r="L178" i="51" s="1"/>
  <c r="D177" i="51"/>
  <c r="D178" i="51" s="1"/>
  <c r="S116" i="51"/>
  <c r="R26" i="12"/>
  <c r="S26" i="12"/>
  <c r="Q26" i="12"/>
  <c r="T26" i="12" s="1"/>
  <c r="R25" i="12"/>
  <c r="S25" i="12"/>
  <c r="Q25" i="12"/>
  <c r="T25" i="12" s="1"/>
  <c r="R24" i="12"/>
  <c r="S24" i="12"/>
  <c r="Q24" i="12"/>
  <c r="T24" i="12" s="1"/>
  <c r="R23" i="12"/>
  <c r="S23" i="12"/>
  <c r="Q23" i="12"/>
  <c r="T23" i="12" s="1"/>
  <c r="R22" i="12"/>
  <c r="S22" i="12"/>
  <c r="Q22" i="12"/>
  <c r="T22" i="12" s="1"/>
  <c r="Q26" i="9"/>
  <c r="R26" i="9"/>
  <c r="P26" i="9"/>
  <c r="S26" i="9" s="1"/>
  <c r="Q25" i="9"/>
  <c r="R25" i="9"/>
  <c r="P25" i="9"/>
  <c r="S25" i="9" s="1"/>
  <c r="Q24" i="9"/>
  <c r="R24" i="9"/>
  <c r="P24" i="9"/>
  <c r="S24" i="9" s="1"/>
  <c r="Q23" i="9"/>
  <c r="R23" i="9"/>
  <c r="P23" i="9"/>
  <c r="S23" i="9" s="1"/>
  <c r="Q22" i="9"/>
  <c r="R22" i="9"/>
  <c r="P22" i="9"/>
  <c r="S22" i="9" s="1"/>
  <c r="M107" i="51" l="1"/>
  <c r="K143" i="51"/>
  <c r="K147" i="51" s="1"/>
  <c r="K149" i="51" s="1"/>
  <c r="N100" i="76"/>
  <c r="X100" i="76" s="1"/>
  <c r="L100" i="76"/>
  <c r="W100" i="76" s="1"/>
  <c r="I136" i="9"/>
  <c r="I152" i="9" s="1"/>
  <c r="I168" i="9" s="1"/>
  <c r="I184" i="9" s="1"/>
  <c r="I200" i="9" s="1"/>
  <c r="M110" i="51"/>
  <c r="M108" i="51"/>
  <c r="M109" i="51"/>
  <c r="W7" i="76"/>
  <c r="V114" i="51"/>
  <c r="C174" i="51"/>
  <c r="C180" i="51" s="1"/>
  <c r="K151" i="51"/>
  <c r="C160" i="51"/>
  <c r="I122" i="9" s="1"/>
  <c r="M111" i="51" l="1"/>
  <c r="C161" i="51"/>
  <c r="K150" i="51"/>
  <c r="L144" i="51"/>
  <c r="L145" i="51"/>
  <c r="L146" i="51"/>
  <c r="L143" i="51"/>
  <c r="V116" i="51"/>
  <c r="W115" i="51" s="1"/>
  <c r="I123" i="9" l="1"/>
  <c r="C183" i="94"/>
  <c r="C183" i="92"/>
  <c r="L160" i="51"/>
  <c r="N160" i="51" s="1"/>
  <c r="N164" i="51" s="1"/>
  <c r="C22" i="76"/>
  <c r="I138" i="9"/>
  <c r="I154" i="9" s="1"/>
  <c r="I170" i="9" s="1"/>
  <c r="I186" i="9" s="1"/>
  <c r="I202" i="9" s="1"/>
  <c r="C182" i="51"/>
  <c r="W114" i="51"/>
  <c r="L147" i="51"/>
  <c r="L164" i="51" l="1"/>
  <c r="D206" i="94"/>
  <c r="L181" i="94"/>
  <c r="I176" i="94"/>
  <c r="I177" i="94" s="1"/>
  <c r="C182" i="94"/>
  <c r="D206" i="92"/>
  <c r="L181" i="92"/>
  <c r="I125" i="21"/>
  <c r="C63" i="76"/>
  <c r="C24" i="76"/>
  <c r="I176" i="92"/>
  <c r="C182" i="92"/>
  <c r="D22" i="76"/>
  <c r="R102" i="9"/>
  <c r="P160" i="51"/>
  <c r="P164" i="51" s="1"/>
  <c r="C206" i="94" l="1"/>
  <c r="I123" i="21"/>
  <c r="C61" i="76"/>
  <c r="I177" i="92"/>
  <c r="D61" i="76" s="1"/>
  <c r="N181" i="94"/>
  <c r="L185" i="94"/>
  <c r="N181" i="92"/>
  <c r="L185" i="92"/>
  <c r="D63" i="76"/>
  <c r="C206" i="92"/>
  <c r="D205" i="76"/>
  <c r="N28" i="76"/>
  <c r="R103" i="9"/>
  <c r="I139" i="9"/>
  <c r="I25" i="7"/>
  <c r="P181" i="92" l="1"/>
  <c r="P185" i="92" s="1"/>
  <c r="N185" i="92"/>
  <c r="D24" i="76" s="1"/>
  <c r="C42" i="76" s="1"/>
  <c r="P181" i="94"/>
  <c r="P185" i="94" s="1"/>
  <c r="N185" i="94"/>
  <c r="D88" i="76"/>
  <c r="D244" i="76"/>
  <c r="B250" i="76" s="1"/>
  <c r="B211" i="76"/>
  <c r="I138" i="74"/>
  <c r="I154" i="74" s="1"/>
  <c r="I170" i="74" s="1"/>
  <c r="I186" i="74" s="1"/>
  <c r="I202" i="74" s="1"/>
  <c r="H125" i="21"/>
  <c r="H141" i="21" s="1"/>
  <c r="H157" i="21" s="1"/>
  <c r="H173" i="21" s="1"/>
  <c r="H189" i="21" s="1"/>
  <c r="G125" i="21"/>
  <c r="G141" i="21" s="1"/>
  <c r="G157" i="21" s="1"/>
  <c r="G173" i="21" s="1"/>
  <c r="G189" i="21" s="1"/>
  <c r="I141" i="21"/>
  <c r="I157" i="21" s="1"/>
  <c r="I173" i="21" s="1"/>
  <c r="I189" i="21" s="1"/>
  <c r="I205" i="21" s="1"/>
  <c r="R104" i="9"/>
  <c r="I155" i="9"/>
  <c r="B25" i="9"/>
  <c r="P31" i="9" s="1"/>
  <c r="D89" i="76" l="1"/>
  <c r="Y211" i="76"/>
  <c r="W211" i="76"/>
  <c r="D211" i="76"/>
  <c r="Q211" i="76"/>
  <c r="K211" i="76"/>
  <c r="AB211" i="76"/>
  <c r="R211" i="76"/>
  <c r="I211" i="76"/>
  <c r="AI211" i="76"/>
  <c r="C211" i="76"/>
  <c r="P211" i="76"/>
  <c r="J211" i="76"/>
  <c r="AA211" i="76"/>
  <c r="H211" i="76"/>
  <c r="AH211" i="76"/>
  <c r="N211" i="76"/>
  <c r="L211" i="76"/>
  <c r="AC211" i="76"/>
  <c r="S211" i="76"/>
  <c r="AG211" i="76"/>
  <c r="Z211" i="76"/>
  <c r="F211" i="76"/>
  <c r="O211" i="76"/>
  <c r="T211" i="76"/>
  <c r="AD211" i="76"/>
  <c r="E211" i="76"/>
  <c r="AE211" i="76"/>
  <c r="AF211" i="76"/>
  <c r="X211" i="76"/>
  <c r="U211" i="76"/>
  <c r="M211" i="76"/>
  <c r="V211" i="76"/>
  <c r="G211" i="76"/>
  <c r="AD250" i="76"/>
  <c r="Q250" i="76"/>
  <c r="AG250" i="76"/>
  <c r="K250" i="76"/>
  <c r="R250" i="76"/>
  <c r="D250" i="76"/>
  <c r="C250" i="76"/>
  <c r="H250" i="76"/>
  <c r="AA250" i="76"/>
  <c r="AB250" i="76"/>
  <c r="U250" i="76"/>
  <c r="F250" i="76"/>
  <c r="AC250" i="76"/>
  <c r="G250" i="76"/>
  <c r="Z250" i="76"/>
  <c r="P250" i="76"/>
  <c r="AE250" i="76"/>
  <c r="N250" i="76"/>
  <c r="W250" i="76"/>
  <c r="J250" i="76"/>
  <c r="M250" i="76"/>
  <c r="O250" i="76"/>
  <c r="AH250" i="76"/>
  <c r="X250" i="76"/>
  <c r="I250" i="76"/>
  <c r="S250" i="76"/>
  <c r="E250" i="76"/>
  <c r="T250" i="76"/>
  <c r="Y250" i="76"/>
  <c r="L250" i="76"/>
  <c r="AF250" i="76"/>
  <c r="AI250" i="76"/>
  <c r="V250" i="76"/>
  <c r="R88" i="76"/>
  <c r="Q88" i="76"/>
  <c r="I171" i="9"/>
  <c r="R105" i="9"/>
  <c r="C25" i="9"/>
  <c r="P41" i="9" s="1"/>
  <c r="R89" i="76" l="1"/>
  <c r="Q89" i="76"/>
  <c r="D90" i="76"/>
  <c r="R106" i="9"/>
  <c r="I187" i="9"/>
  <c r="C158" i="7"/>
  <c r="K136" i="7"/>
  <c r="M130" i="7"/>
  <c r="L131" i="7" s="1"/>
  <c r="M131" i="7" s="1"/>
  <c r="L123" i="7"/>
  <c r="L125" i="7" s="1"/>
  <c r="L120" i="7"/>
  <c r="C123" i="7"/>
  <c r="L118" i="7"/>
  <c r="L117" i="7"/>
  <c r="L116" i="7"/>
  <c r="L115" i="7"/>
  <c r="C114" i="7"/>
  <c r="L126" i="7"/>
  <c r="E87" i="7"/>
  <c r="C59" i="7"/>
  <c r="R40" i="7"/>
  <c r="V38" i="7"/>
  <c r="D35" i="7"/>
  <c r="F33" i="7"/>
  <c r="D33" i="7"/>
  <c r="D31" i="7"/>
  <c r="D29" i="7"/>
  <c r="D27" i="7"/>
  <c r="D20" i="7"/>
  <c r="R107" i="9" l="1"/>
  <c r="I203" i="9"/>
  <c r="D87" i="76" s="1"/>
  <c r="D91" i="76"/>
  <c r="R90" i="76"/>
  <c r="Q90" i="76"/>
  <c r="D92" i="76"/>
  <c r="D28" i="7"/>
  <c r="D32" i="7"/>
  <c r="C50" i="7" s="1"/>
  <c r="D34" i="7"/>
  <c r="C49" i="7" s="1"/>
  <c r="F78" i="7"/>
  <c r="G20" i="7"/>
  <c r="V28" i="7" s="1"/>
  <c r="V27" i="7" s="1"/>
  <c r="H20" i="7" s="1"/>
  <c r="D21" i="7"/>
  <c r="C139" i="7"/>
  <c r="C140" i="7" s="1"/>
  <c r="O126" i="7" s="1"/>
  <c r="C74" i="76" s="1"/>
  <c r="L132" i="7"/>
  <c r="M132" i="7" s="1"/>
  <c r="L124" i="7"/>
  <c r="D26" i="7"/>
  <c r="D30" i="7"/>
  <c r="Q87" i="76" l="1"/>
  <c r="R87" i="76"/>
  <c r="R92" i="76"/>
  <c r="Q92" i="76"/>
  <c r="R91" i="76"/>
  <c r="Q91" i="76"/>
  <c r="K78" i="7"/>
  <c r="G21" i="7"/>
  <c r="C48" i="7"/>
  <c r="D22" i="7"/>
  <c r="N78" i="7" l="1"/>
  <c r="M78" i="7"/>
  <c r="C58" i="7"/>
  <c r="C124" i="7" s="1"/>
  <c r="C57" i="7"/>
  <c r="H21" i="7"/>
  <c r="H22" i="7" s="1"/>
  <c r="I20" i="7"/>
  <c r="I21" i="7" l="1"/>
  <c r="B212" i="7" s="1"/>
  <c r="C118" i="7"/>
  <c r="O78" i="7"/>
  <c r="L20" i="7"/>
  <c r="C101" i="7"/>
  <c r="C102" i="7" s="1"/>
  <c r="F69" i="7"/>
  <c r="K69" i="7" s="1"/>
  <c r="F20" i="7"/>
  <c r="C61" i="7"/>
  <c r="F74" i="7"/>
  <c r="C74" i="7" s="1"/>
  <c r="I24" i="7"/>
  <c r="F81" i="7"/>
  <c r="F70" i="7"/>
  <c r="F72" i="7"/>
  <c r="K125" i="7" l="1"/>
  <c r="M125" i="7" s="1"/>
  <c r="O125" i="7"/>
  <c r="G74" i="76" s="1"/>
  <c r="R33" i="7"/>
  <c r="L24" i="7" s="1"/>
  <c r="I22" i="7"/>
  <c r="J20" i="7"/>
  <c r="K20" i="7" s="1"/>
  <c r="K21" i="7" s="1"/>
  <c r="J24" i="7"/>
  <c r="K117" i="7"/>
  <c r="M117" i="7" s="1"/>
  <c r="D69" i="76" s="1"/>
  <c r="K115" i="7"/>
  <c r="M115" i="7" s="1"/>
  <c r="C127" i="7"/>
  <c r="F71" i="7" s="1"/>
  <c r="K71" i="7" s="1"/>
  <c r="M71" i="7" s="1"/>
  <c r="I26" i="7"/>
  <c r="I27" i="7" s="1"/>
  <c r="L21" i="7"/>
  <c r="F82" i="7"/>
  <c r="M20" i="7"/>
  <c r="K72" i="7"/>
  <c r="M72" i="7" s="1"/>
  <c r="F80" i="7"/>
  <c r="F21" i="7"/>
  <c r="F32" i="7"/>
  <c r="G32" i="7" s="1"/>
  <c r="E20" i="7"/>
  <c r="K81" i="7"/>
  <c r="M81" i="7" s="1"/>
  <c r="F73" i="7"/>
  <c r="M69" i="7"/>
  <c r="M119" i="7"/>
  <c r="K70" i="7"/>
  <c r="M70" i="7" s="1"/>
  <c r="K60" i="7" l="1"/>
  <c r="C110" i="7" s="1"/>
  <c r="C109" i="7" s="1"/>
  <c r="K124" i="7" s="1"/>
  <c r="M124" i="7" s="1"/>
  <c r="F74" i="76" s="1"/>
  <c r="C212" i="7"/>
  <c r="L22" i="7"/>
  <c r="J25" i="7"/>
  <c r="K25" i="7" s="1"/>
  <c r="K24" i="7" s="1"/>
  <c r="J40" i="7"/>
  <c r="J41" i="7" s="1"/>
  <c r="F41" i="7" s="1"/>
  <c r="F40" i="7" s="1"/>
  <c r="G40" i="7" s="1"/>
  <c r="G41" i="7" s="1"/>
  <c r="L25" i="7"/>
  <c r="H32" i="7"/>
  <c r="I32" i="7" s="1"/>
  <c r="L36" i="7"/>
  <c r="T67" i="7"/>
  <c r="F79" i="7"/>
  <c r="J36" i="7"/>
  <c r="J37" i="7" s="1"/>
  <c r="F37" i="7" s="1"/>
  <c r="F36" i="7" s="1"/>
  <c r="G36" i="7" s="1"/>
  <c r="G37" i="7" s="1"/>
  <c r="J26" i="7"/>
  <c r="J27" i="7" s="1"/>
  <c r="J38" i="7"/>
  <c r="L26" i="7"/>
  <c r="L27" i="7" s="1"/>
  <c r="M24" i="7"/>
  <c r="L40" i="7"/>
  <c r="L38" i="7"/>
  <c r="N81" i="7"/>
  <c r="O81" i="7" s="1"/>
  <c r="K79" i="7"/>
  <c r="M79" i="7" s="1"/>
  <c r="K74" i="7"/>
  <c r="M74" i="7" s="1"/>
  <c r="N71" i="7"/>
  <c r="O71" i="7" s="1"/>
  <c r="K80" i="7"/>
  <c r="M80" i="7" s="1"/>
  <c r="N69" i="7"/>
  <c r="O69" i="7" s="1"/>
  <c r="J32" i="7"/>
  <c r="J21" i="7"/>
  <c r="K73" i="7"/>
  <c r="M73" i="7" s="1"/>
  <c r="M21" i="7"/>
  <c r="N21" i="7" s="1"/>
  <c r="N20" i="7" s="1"/>
  <c r="O62" i="7"/>
  <c r="F83" i="7"/>
  <c r="K82" i="7"/>
  <c r="M82" i="7" s="1"/>
  <c r="N70" i="7"/>
  <c r="O70" i="7" s="1"/>
  <c r="E21" i="7"/>
  <c r="E22" i="7" s="1"/>
  <c r="C51" i="7"/>
  <c r="K116" i="7"/>
  <c r="M116" i="7" s="1"/>
  <c r="C69" i="76" s="1"/>
  <c r="N72" i="7"/>
  <c r="O72" i="7" s="1"/>
  <c r="L32" i="7" l="1"/>
  <c r="L33" i="7" s="1"/>
  <c r="I33" i="7"/>
  <c r="J39" i="7"/>
  <c r="F39" i="7" s="1"/>
  <c r="F38" i="7" s="1"/>
  <c r="G38" i="7" s="1"/>
  <c r="G39" i="7" s="1"/>
  <c r="J22" i="7"/>
  <c r="D212" i="7"/>
  <c r="C104" i="7"/>
  <c r="C105" i="7" s="1"/>
  <c r="C106" i="7" s="1"/>
  <c r="K123" i="7" s="1"/>
  <c r="M123" i="7" s="1"/>
  <c r="E74" i="76" s="1"/>
  <c r="C75" i="7"/>
  <c r="T68" i="7"/>
  <c r="X70" i="7" s="1"/>
  <c r="X68" i="7" s="1"/>
  <c r="X69" i="7" s="1"/>
  <c r="M38" i="7"/>
  <c r="L39" i="7"/>
  <c r="M40" i="7"/>
  <c r="L41" i="7"/>
  <c r="O58" i="7"/>
  <c r="M26" i="7"/>
  <c r="M27" i="7" s="1"/>
  <c r="N24" i="7"/>
  <c r="I38" i="7"/>
  <c r="I39" i="7" s="1"/>
  <c r="I40" i="7"/>
  <c r="I41" i="7" s="1"/>
  <c r="M25" i="7"/>
  <c r="M36" i="7"/>
  <c r="L37" i="7"/>
  <c r="I36" i="7"/>
  <c r="I37" i="7" s="1"/>
  <c r="N79" i="7"/>
  <c r="O79" i="7" s="1"/>
  <c r="C8" i="76" s="1"/>
  <c r="R5" i="76" s="1"/>
  <c r="U11" i="76" s="1"/>
  <c r="N74" i="7"/>
  <c r="O74" i="7" s="1"/>
  <c r="N82" i="7"/>
  <c r="O82" i="7" s="1"/>
  <c r="N80" i="7"/>
  <c r="O80" i="7" s="1"/>
  <c r="H33" i="7"/>
  <c r="M22" i="7"/>
  <c r="N22" i="7" s="1"/>
  <c r="K32" i="7"/>
  <c r="E44" i="7"/>
  <c r="E50" i="7" s="1"/>
  <c r="F25" i="7"/>
  <c r="F24" i="7" s="1"/>
  <c r="G24" i="7" s="1"/>
  <c r="N73" i="7"/>
  <c r="O73" i="7" s="1"/>
  <c r="D8" i="76" s="1"/>
  <c r="S5" i="76" s="1"/>
  <c r="K83" i="7"/>
  <c r="M83" i="7" s="1"/>
  <c r="F75" i="7"/>
  <c r="F76" i="7"/>
  <c r="O122" i="7" l="1"/>
  <c r="M32" i="7"/>
  <c r="M33" i="7" s="1"/>
  <c r="C111" i="7"/>
  <c r="C115" i="7" s="1"/>
  <c r="C116" i="7" s="1"/>
  <c r="X76" i="7"/>
  <c r="X78" i="7" s="1"/>
  <c r="X79" i="7" s="1"/>
  <c r="C112" i="7" s="1"/>
  <c r="K118" i="7"/>
  <c r="M118" i="7" s="1"/>
  <c r="E69" i="76" s="1"/>
  <c r="O60" i="7"/>
  <c r="N40" i="7"/>
  <c r="M41" i="7"/>
  <c r="N36" i="7"/>
  <c r="M37" i="7"/>
  <c r="N38" i="7"/>
  <c r="M39" i="7"/>
  <c r="N26" i="7"/>
  <c r="N43" i="7" s="1"/>
  <c r="E48" i="7"/>
  <c r="E49" i="7"/>
  <c r="K22" i="7"/>
  <c r="K27" i="7"/>
  <c r="F27" i="7"/>
  <c r="N83" i="7"/>
  <c r="O83" i="7" s="1"/>
  <c r="K76" i="7"/>
  <c r="M76" i="7" s="1"/>
  <c r="K75" i="7"/>
  <c r="M75" i="7" s="1"/>
  <c r="N32" i="7" l="1"/>
  <c r="D50" i="7" s="1"/>
  <c r="L30" i="7"/>
  <c r="L28" i="7"/>
  <c r="K28" i="7"/>
  <c r="K29" i="7" s="1"/>
  <c r="J29" i="7" s="1"/>
  <c r="J28" i="7" s="1"/>
  <c r="I28" i="7" s="1"/>
  <c r="I29" i="7" s="1"/>
  <c r="C113" i="7"/>
  <c r="K127" i="7"/>
  <c r="M127" i="7" s="1"/>
  <c r="H74" i="76" s="1"/>
  <c r="K126" i="7"/>
  <c r="M126" i="7" s="1"/>
  <c r="F26" i="7"/>
  <c r="G26" i="7" s="1"/>
  <c r="G27" i="7" s="1"/>
  <c r="G25" i="7"/>
  <c r="F22" i="7"/>
  <c r="G22" i="7" s="1"/>
  <c r="N75" i="7"/>
  <c r="O75" i="7" s="1"/>
  <c r="E8" i="76" s="1"/>
  <c r="T5" i="76" s="1"/>
  <c r="K26" i="7"/>
  <c r="K34" i="7"/>
  <c r="K36" i="7"/>
  <c r="K37" i="7" s="1"/>
  <c r="K38" i="7"/>
  <c r="K39" i="7" s="1"/>
  <c r="K40" i="7"/>
  <c r="K41" i="7" s="1"/>
  <c r="K30" i="7"/>
  <c r="L34" i="7"/>
  <c r="N76" i="7"/>
  <c r="O76" i="7" s="1"/>
  <c r="D79" i="76" l="1"/>
  <c r="M128" i="7"/>
  <c r="R115" i="7" s="1"/>
  <c r="K35" i="7"/>
  <c r="J35" i="7" s="1"/>
  <c r="N123" i="7"/>
  <c r="F29" i="7"/>
  <c r="L31" i="7"/>
  <c r="M30" i="7"/>
  <c r="K31" i="7"/>
  <c r="J31" i="7" s="1"/>
  <c r="M34" i="7"/>
  <c r="L35" i="7"/>
  <c r="M28" i="7"/>
  <c r="L29" i="7"/>
  <c r="T143" i="76" l="1"/>
  <c r="R143" i="76"/>
  <c r="Q143" i="76"/>
  <c r="U143" i="76"/>
  <c r="S143" i="76"/>
  <c r="V143" i="76"/>
  <c r="Z143" i="76" s="1"/>
  <c r="N126" i="7"/>
  <c r="N127" i="7"/>
  <c r="AC115" i="7" s="1"/>
  <c r="K145" i="7"/>
  <c r="N124" i="7"/>
  <c r="N125" i="7"/>
  <c r="AC114" i="7" s="1"/>
  <c r="F28" i="7"/>
  <c r="G28" i="7" s="1"/>
  <c r="J34" i="7"/>
  <c r="I34" i="7" s="1"/>
  <c r="I35" i="7" s="1"/>
  <c r="F35" i="7"/>
  <c r="F34" i="7" s="1"/>
  <c r="G34" i="7" s="1"/>
  <c r="N128" i="7"/>
  <c r="M31" i="7"/>
  <c r="N30" i="7"/>
  <c r="F31" i="7"/>
  <c r="F30" i="7" s="1"/>
  <c r="G30" i="7" s="1"/>
  <c r="J30" i="7"/>
  <c r="I30" i="7" s="1"/>
  <c r="I31" i="7" s="1"/>
  <c r="M35" i="7"/>
  <c r="N28" i="7"/>
  <c r="M29" i="7"/>
  <c r="Y143" i="76" l="1"/>
  <c r="H28" i="7"/>
  <c r="H29" i="7" s="1"/>
  <c r="G29" i="7"/>
  <c r="H30" i="7"/>
  <c r="H31" i="7" s="1"/>
  <c r="H34" i="7"/>
  <c r="H35" i="7" s="1"/>
  <c r="G35" i="7"/>
  <c r="G31" i="7"/>
  <c r="G33" i="7" s="1"/>
  <c r="D48" i="7" l="1"/>
  <c r="R129" i="21" l="1"/>
  <c r="I140" i="21" l="1"/>
  <c r="G124" i="21"/>
  <c r="H124" i="21"/>
  <c r="V6" i="76" l="1"/>
  <c r="W12" i="76" s="1"/>
  <c r="J96" i="76"/>
  <c r="I156" i="21"/>
  <c r="G140" i="21"/>
  <c r="H140" i="21"/>
  <c r="Q129" i="21" l="1"/>
  <c r="R130" i="21"/>
  <c r="J97" i="76" s="1"/>
  <c r="S129" i="21"/>
  <c r="I172" i="21"/>
  <c r="H156" i="21"/>
  <c r="G156" i="21"/>
  <c r="I96" i="76" l="1"/>
  <c r="U96" i="76" s="1"/>
  <c r="K96" i="76"/>
  <c r="V96" i="76" s="1"/>
  <c r="S130" i="21"/>
  <c r="R131" i="21"/>
  <c r="J98" i="76" s="1"/>
  <c r="Q130" i="21"/>
  <c r="I188" i="21"/>
  <c r="I204" i="21" s="1"/>
  <c r="J95" i="76" s="1"/>
  <c r="G172" i="21"/>
  <c r="H172" i="21"/>
  <c r="F35" i="76" l="1"/>
  <c r="F33" i="76"/>
  <c r="U95" i="76"/>
  <c r="V95" i="76"/>
  <c r="K97" i="76"/>
  <c r="V97" i="76" s="1"/>
  <c r="I97" i="76"/>
  <c r="U97" i="76" s="1"/>
  <c r="C80" i="76"/>
  <c r="M144" i="76" s="1"/>
  <c r="F52" i="76"/>
  <c r="R132" i="21"/>
  <c r="J99" i="76" s="1"/>
  <c r="Q131" i="21"/>
  <c r="S131" i="21"/>
  <c r="I142" i="21"/>
  <c r="H126" i="21"/>
  <c r="G126" i="21"/>
  <c r="H188" i="21"/>
  <c r="G188" i="21"/>
  <c r="K98" i="76" l="1"/>
  <c r="V98" i="76" s="1"/>
  <c r="I98" i="76"/>
  <c r="U98" i="76" s="1"/>
  <c r="K144" i="76"/>
  <c r="N144" i="76"/>
  <c r="J144" i="76"/>
  <c r="L144" i="76"/>
  <c r="R133" i="21"/>
  <c r="J100" i="76" s="1"/>
  <c r="Q132" i="21"/>
  <c r="S132" i="21"/>
  <c r="I158" i="21"/>
  <c r="H142" i="21"/>
  <c r="G142" i="21"/>
  <c r="I99" i="76" l="1"/>
  <c r="U99" i="76" s="1"/>
  <c r="K99" i="76"/>
  <c r="V99" i="76" s="1"/>
  <c r="Q133" i="21"/>
  <c r="S133" i="21"/>
  <c r="I174" i="21"/>
  <c r="G158" i="21"/>
  <c r="H158" i="21"/>
  <c r="D80" i="76" l="1"/>
  <c r="U144" i="76" s="1"/>
  <c r="D35" i="76"/>
  <c r="D33" i="76"/>
  <c r="C35" i="76"/>
  <c r="C33" i="76"/>
  <c r="K100" i="76"/>
  <c r="V100" i="76" s="1"/>
  <c r="I100" i="76"/>
  <c r="U100" i="76" s="1"/>
  <c r="E33" i="76"/>
  <c r="E35" i="76"/>
  <c r="I190" i="21"/>
  <c r="I206" i="21" s="1"/>
  <c r="H174" i="21"/>
  <c r="G174" i="21"/>
  <c r="V144" i="76" l="1"/>
  <c r="Z144" i="76" s="1"/>
  <c r="U6" i="76"/>
  <c r="V12" i="76" s="1"/>
  <c r="T144" i="76"/>
  <c r="R144" i="76"/>
  <c r="Q144" i="76"/>
  <c r="S144" i="76"/>
  <c r="H190" i="21"/>
  <c r="G190" i="21"/>
  <c r="Y144" i="76" l="1"/>
  <c r="R12" i="76"/>
  <c r="F144" i="76" l="1"/>
  <c r="S12" i="76"/>
  <c r="D144" i="76"/>
  <c r="E144" i="76"/>
  <c r="C144" i="76"/>
  <c r="G144" i="76"/>
  <c r="I137" i="74" l="1"/>
  <c r="I153" i="74" s="1"/>
  <c r="I169" i="74" s="1"/>
  <c r="I185" i="74" s="1"/>
  <c r="I201" i="74" s="1"/>
  <c r="W6" i="76"/>
  <c r="I137" i="21" l="1"/>
  <c r="I153" i="21" s="1"/>
  <c r="I169" i="21" s="1"/>
  <c r="I185" i="21" s="1"/>
  <c r="I201" i="21" s="1"/>
  <c r="E61" i="76" l="1"/>
  <c r="I136" i="74"/>
  <c r="I152" i="74" s="1"/>
  <c r="I168" i="74" s="1"/>
  <c r="I184" i="74" s="1"/>
  <c r="I200" i="74" s="1"/>
  <c r="I136" i="21"/>
  <c r="I152" i="21" s="1"/>
  <c r="I168" i="21" s="1"/>
  <c r="I184" i="21" s="1"/>
  <c r="I200" i="21" s="1"/>
  <c r="F56" i="76" l="1"/>
  <c r="I138" i="21"/>
  <c r="I154" i="21" s="1"/>
  <c r="I170" i="21" s="1"/>
  <c r="I186" i="21" s="1"/>
  <c r="I202" i="21" s="1"/>
  <c r="F61" i="76" l="1"/>
  <c r="G56" i="76" s="1"/>
  <c r="H56" i="76" s="1"/>
  <c r="G52" i="76"/>
  <c r="H52" i="76" s="1"/>
  <c r="R102" i="21"/>
  <c r="R103" i="21" l="1"/>
  <c r="I139" i="21"/>
  <c r="J88" i="76" l="1"/>
  <c r="R104" i="21"/>
  <c r="I155" i="21"/>
  <c r="J89" i="76" l="1"/>
  <c r="V88" i="76"/>
  <c r="U88" i="76"/>
  <c r="R105" i="21"/>
  <c r="I171" i="21"/>
  <c r="U89" i="76" l="1"/>
  <c r="V89" i="76"/>
  <c r="J90" i="76"/>
  <c r="D207" i="76"/>
  <c r="N30" i="76"/>
  <c r="R106" i="21"/>
  <c r="I187" i="21"/>
  <c r="E50" i="51"/>
  <c r="M32" i="51"/>
  <c r="N32" i="51" s="1"/>
  <c r="R107" i="21" l="1"/>
  <c r="I203" i="21"/>
  <c r="J87" i="76" s="1"/>
  <c r="H42" i="76"/>
  <c r="D246" i="76"/>
  <c r="B252" i="76" s="1"/>
  <c r="B213" i="76"/>
  <c r="V90" i="76"/>
  <c r="U90" i="76"/>
  <c r="J91" i="76"/>
  <c r="D50" i="51"/>
  <c r="N33" i="51"/>
  <c r="I33" i="51"/>
  <c r="M33" i="51"/>
  <c r="J92" i="76" l="1"/>
  <c r="V92" i="76" s="1"/>
  <c r="U87" i="76"/>
  <c r="V87" i="76"/>
  <c r="U213" i="76"/>
  <c r="Q213" i="76"/>
  <c r="R213" i="76"/>
  <c r="X213" i="76"/>
  <c r="M213" i="76"/>
  <c r="I213" i="76"/>
  <c r="F213" i="76"/>
  <c r="K213" i="76"/>
  <c r="E213" i="76"/>
  <c r="AH213" i="76"/>
  <c r="AD213" i="76"/>
  <c r="AI213" i="76"/>
  <c r="Y213" i="76"/>
  <c r="AB213" i="76"/>
  <c r="V213" i="76"/>
  <c r="P213" i="76"/>
  <c r="W213" i="76"/>
  <c r="AE213" i="76"/>
  <c r="L213" i="76"/>
  <c r="H213" i="76"/>
  <c r="C213" i="76"/>
  <c r="J213" i="76"/>
  <c r="Z213" i="76"/>
  <c r="D213" i="76"/>
  <c r="S213" i="76"/>
  <c r="AA213" i="76"/>
  <c r="AG213" i="76"/>
  <c r="G213" i="76"/>
  <c r="O213" i="76"/>
  <c r="AF213" i="76"/>
  <c r="AC213" i="76"/>
  <c r="T213" i="76"/>
  <c r="N213" i="76"/>
  <c r="AG252" i="76"/>
  <c r="AD252" i="76"/>
  <c r="O252" i="76"/>
  <c r="Q252" i="76"/>
  <c r="V252" i="76"/>
  <c r="AA252" i="76"/>
  <c r="AF252" i="76"/>
  <c r="U252" i="76"/>
  <c r="J252" i="76"/>
  <c r="S252" i="76"/>
  <c r="X252" i="76"/>
  <c r="M252" i="76"/>
  <c r="C252" i="76"/>
  <c r="P252" i="76"/>
  <c r="E252" i="76"/>
  <c r="Z252" i="76"/>
  <c r="H252" i="76"/>
  <c r="AB252" i="76"/>
  <c r="R252" i="76"/>
  <c r="W252" i="76"/>
  <c r="I252" i="76"/>
  <c r="K252" i="76"/>
  <c r="D252" i="76"/>
  <c r="AH252" i="76"/>
  <c r="L252" i="76"/>
  <c r="T252" i="76"/>
  <c r="AC252" i="76"/>
  <c r="F252" i="76"/>
  <c r="N252" i="76"/>
  <c r="AE252" i="76"/>
  <c r="AI252" i="76"/>
  <c r="G252" i="76"/>
  <c r="Y252" i="76"/>
  <c r="V91" i="76"/>
  <c r="U91" i="76"/>
  <c r="N34" i="7"/>
  <c r="D49" i="7" s="1"/>
  <c r="M120" i="7"/>
  <c r="B208" i="7"/>
  <c r="U92" i="76" l="1"/>
  <c r="F69" i="76"/>
  <c r="N31" i="7"/>
  <c r="N37" i="7"/>
  <c r="N33" i="7"/>
  <c r="N39" i="7"/>
  <c r="N25" i="7"/>
  <c r="N41" i="7"/>
  <c r="D51" i="7"/>
  <c r="N29" i="7"/>
  <c r="N27" i="7"/>
  <c r="C169" i="7"/>
  <c r="S57" i="7"/>
  <c r="S59" i="7" s="1"/>
  <c r="F77" i="7" s="1"/>
  <c r="M121" i="7"/>
  <c r="F84" i="7"/>
  <c r="N35" i="7"/>
  <c r="L156" i="7"/>
  <c r="L158" i="7"/>
  <c r="L157" i="7"/>
  <c r="D29" i="76" s="1"/>
  <c r="D32" i="76" s="1"/>
  <c r="B204" i="7"/>
  <c r="F29" i="76" l="1"/>
  <c r="F32" i="76" s="1"/>
  <c r="I165" i="7"/>
  <c r="I124" i="12"/>
  <c r="N120" i="7"/>
  <c r="AA118" i="7" s="1"/>
  <c r="L134" i="7"/>
  <c r="L137" i="7"/>
  <c r="C79" i="76"/>
  <c r="N143" i="76" s="1"/>
  <c r="G80" i="76"/>
  <c r="E29" i="76"/>
  <c r="E32" i="76" s="1"/>
  <c r="C29" i="76"/>
  <c r="C32" i="76" s="1"/>
  <c r="C186" i="7"/>
  <c r="F55" i="76" s="1"/>
  <c r="I108" i="12"/>
  <c r="I204" i="12" s="1"/>
  <c r="G95" i="76" s="1"/>
  <c r="L163" i="7"/>
  <c r="T166" i="7"/>
  <c r="N158" i="7"/>
  <c r="T165" i="7"/>
  <c r="L162" i="7"/>
  <c r="N157" i="7"/>
  <c r="L161" i="7"/>
  <c r="N156" i="7"/>
  <c r="L166" i="7"/>
  <c r="T164" i="7"/>
  <c r="K84" i="7"/>
  <c r="M84" i="7" s="1"/>
  <c r="N117" i="7"/>
  <c r="AA116" i="7" s="1"/>
  <c r="N118" i="7"/>
  <c r="AA117" i="7" s="1"/>
  <c r="K144" i="7"/>
  <c r="N119" i="7"/>
  <c r="N115" i="7"/>
  <c r="AA114" i="7" s="1"/>
  <c r="N116" i="7"/>
  <c r="R114" i="7"/>
  <c r="M134" i="7"/>
  <c r="M137" i="7"/>
  <c r="L143" i="76" l="1"/>
  <c r="J143" i="76"/>
  <c r="K143" i="76"/>
  <c r="M143" i="76"/>
  <c r="T95" i="76"/>
  <c r="S95" i="76"/>
  <c r="F41" i="76"/>
  <c r="C55" i="76"/>
  <c r="D55" i="76"/>
  <c r="D41" i="76" s="1"/>
  <c r="E55" i="76"/>
  <c r="E41" i="76" s="1"/>
  <c r="D175" i="7"/>
  <c r="J175" i="7" s="1"/>
  <c r="C185" i="7"/>
  <c r="R128" i="12"/>
  <c r="H124" i="12"/>
  <c r="G124" i="12"/>
  <c r="N84" i="7"/>
  <c r="O84" i="7" s="1"/>
  <c r="K77" i="7"/>
  <c r="N121" i="7"/>
  <c r="AA115" i="7"/>
  <c r="N162" i="7"/>
  <c r="P157" i="7"/>
  <c r="P162" i="7" s="1"/>
  <c r="N163" i="7"/>
  <c r="P158" i="7"/>
  <c r="P163" i="7" s="1"/>
  <c r="L175" i="7"/>
  <c r="M175" i="7"/>
  <c r="K175" i="7"/>
  <c r="G175" i="7"/>
  <c r="N161" i="7"/>
  <c r="P156" i="7"/>
  <c r="P161" i="7" s="1"/>
  <c r="H55" i="76" l="1"/>
  <c r="H175" i="7"/>
  <c r="I175" i="7"/>
  <c r="C41" i="76"/>
  <c r="H41" i="76" s="1"/>
  <c r="F175" i="7"/>
  <c r="E175" i="7"/>
  <c r="I140" i="12"/>
  <c r="H140" i="12"/>
  <c r="G140" i="12"/>
  <c r="Q130" i="12"/>
  <c r="S129" i="12"/>
  <c r="S133" i="12"/>
  <c r="Q133" i="12"/>
  <c r="R129" i="12"/>
  <c r="G96" i="76" s="1"/>
  <c r="Q131" i="12"/>
  <c r="Q132" i="12"/>
  <c r="S131" i="12"/>
  <c r="S132" i="12"/>
  <c r="S130" i="12"/>
  <c r="Q129" i="12"/>
  <c r="M77" i="7"/>
  <c r="N77" i="7"/>
  <c r="F100" i="76" l="1"/>
  <c r="F99" i="76"/>
  <c r="F98" i="76"/>
  <c r="H100" i="76"/>
  <c r="H96" i="76"/>
  <c r="T96" i="76" s="1"/>
  <c r="F96" i="76"/>
  <c r="S96" i="76" s="1"/>
  <c r="H97" i="76"/>
  <c r="H99" i="76"/>
  <c r="H98" i="76"/>
  <c r="F97" i="76"/>
  <c r="R130" i="12"/>
  <c r="G97" i="76" s="1"/>
  <c r="H156" i="12"/>
  <c r="G156" i="12"/>
  <c r="I156" i="12"/>
  <c r="O77" i="7"/>
  <c r="F8" i="76" l="1"/>
  <c r="U5" i="76" s="1"/>
  <c r="V11" i="76" s="1"/>
  <c r="T97" i="76"/>
  <c r="S97" i="76"/>
  <c r="R131" i="12"/>
  <c r="G98" i="76" s="1"/>
  <c r="I172" i="12"/>
  <c r="G172" i="12"/>
  <c r="H172" i="12"/>
  <c r="O85" i="7"/>
  <c r="P77" i="7" s="1"/>
  <c r="R11" i="76" l="1"/>
  <c r="S11" i="76" s="1"/>
  <c r="S98" i="76"/>
  <c r="T98" i="76"/>
  <c r="I188" i="12"/>
  <c r="H188" i="12"/>
  <c r="G188" i="12"/>
  <c r="R132" i="12"/>
  <c r="G99" i="76" s="1"/>
  <c r="P84" i="7"/>
  <c r="P74" i="7"/>
  <c r="P81" i="7"/>
  <c r="P82" i="7"/>
  <c r="P69" i="7"/>
  <c r="P75" i="7"/>
  <c r="P80" i="7"/>
  <c r="L133" i="7"/>
  <c r="M133" i="7" s="1"/>
  <c r="P73" i="7"/>
  <c r="P71" i="7"/>
  <c r="P72" i="7"/>
  <c r="L89" i="7"/>
  <c r="L96" i="7" s="1"/>
  <c r="P83" i="7"/>
  <c r="P70" i="7"/>
  <c r="P79" i="7"/>
  <c r="P78" i="7"/>
  <c r="P76" i="7"/>
  <c r="L135" i="7" l="1"/>
  <c r="M135" i="7" s="1"/>
  <c r="L138" i="7" s="1"/>
  <c r="M138" i="7" s="1"/>
  <c r="L136" i="7"/>
  <c r="T99" i="76"/>
  <c r="S99" i="76"/>
  <c r="G143" i="76"/>
  <c r="D143" i="76"/>
  <c r="C143" i="76"/>
  <c r="E143" i="76"/>
  <c r="L100" i="7"/>
  <c r="L94" i="7"/>
  <c r="L90" i="7"/>
  <c r="F143" i="76"/>
  <c r="R133" i="12"/>
  <c r="L101" i="7"/>
  <c r="L91" i="7"/>
  <c r="M136" i="7"/>
  <c r="M139" i="7" s="1"/>
  <c r="N133" i="7" s="1"/>
  <c r="AE117" i="7" s="1"/>
  <c r="L92" i="7"/>
  <c r="L93" i="7"/>
  <c r="L97" i="7"/>
  <c r="L95" i="7"/>
  <c r="L98" i="7"/>
  <c r="L99" i="7"/>
  <c r="P85" i="7"/>
  <c r="G100" i="76" l="1"/>
  <c r="L102" i="7"/>
  <c r="L110" i="7"/>
  <c r="K146" i="7"/>
  <c r="N130" i="7"/>
  <c r="AE114" i="7" s="1"/>
  <c r="N138" i="7"/>
  <c r="AE122" i="7" s="1"/>
  <c r="N137" i="7"/>
  <c r="AE121" i="7" s="1"/>
  <c r="N132" i="7"/>
  <c r="AE116" i="7" s="1"/>
  <c r="N135" i="7"/>
  <c r="AE119" i="7" s="1"/>
  <c r="N134" i="7"/>
  <c r="AE118" i="7" s="1"/>
  <c r="N131" i="7"/>
  <c r="AE115" i="7" s="1"/>
  <c r="N136" i="7"/>
  <c r="AE120" i="7" s="1"/>
  <c r="C156" i="7"/>
  <c r="I121" i="12" s="1"/>
  <c r="R116" i="7"/>
  <c r="R117" i="7" s="1"/>
  <c r="S116" i="7" s="1"/>
  <c r="L107" i="7" l="1"/>
  <c r="L109" i="7" s="1"/>
  <c r="H9" i="76"/>
  <c r="W5" i="76" s="1"/>
  <c r="T100" i="76"/>
  <c r="S100" i="76"/>
  <c r="M93" i="7"/>
  <c r="M100" i="7"/>
  <c r="M91" i="7"/>
  <c r="M89" i="7"/>
  <c r="M96" i="7"/>
  <c r="M101" i="7"/>
  <c r="M98" i="7"/>
  <c r="M92" i="7"/>
  <c r="M95" i="7"/>
  <c r="M97" i="7"/>
  <c r="M90" i="7"/>
  <c r="M99" i="7"/>
  <c r="M94" i="7"/>
  <c r="V115" i="7"/>
  <c r="I105" i="12"/>
  <c r="D176" i="7"/>
  <c r="I176" i="7" s="1"/>
  <c r="I177" i="7" s="1"/>
  <c r="I178" i="7" s="1"/>
  <c r="N139" i="7"/>
  <c r="S115" i="7"/>
  <c r="S114" i="7"/>
  <c r="L108" i="7" l="1"/>
  <c r="L111" i="7" s="1"/>
  <c r="M110" i="7" s="1"/>
  <c r="I137" i="12"/>
  <c r="I153" i="12" s="1"/>
  <c r="I169" i="12" s="1"/>
  <c r="I185" i="12" s="1"/>
  <c r="I201" i="12"/>
  <c r="C155" i="7"/>
  <c r="C160" i="7" s="1"/>
  <c r="I122" i="12" s="1"/>
  <c r="M102" i="7"/>
  <c r="J176" i="7"/>
  <c r="J177" i="7" s="1"/>
  <c r="J178" i="7" s="1"/>
  <c r="E176" i="7"/>
  <c r="E177" i="7" s="1"/>
  <c r="E178" i="7" s="1"/>
  <c r="G176" i="7"/>
  <c r="G177" i="7" s="1"/>
  <c r="G178" i="7" s="1"/>
  <c r="L176" i="7"/>
  <c r="L177" i="7" s="1"/>
  <c r="L178" i="7" s="1"/>
  <c r="H176" i="7"/>
  <c r="H177" i="7" s="1"/>
  <c r="H178" i="7" s="1"/>
  <c r="K176" i="7"/>
  <c r="K177" i="7" s="1"/>
  <c r="K178" i="7" s="1"/>
  <c r="D177" i="7"/>
  <c r="D178" i="7" s="1"/>
  <c r="M176" i="7"/>
  <c r="M177" i="7" s="1"/>
  <c r="M178" i="7" s="1"/>
  <c r="F176" i="7"/>
  <c r="F177" i="7" s="1"/>
  <c r="F178" i="7" s="1"/>
  <c r="M109" i="7"/>
  <c r="M108" i="7"/>
  <c r="M107" i="7"/>
  <c r="K143" i="7"/>
  <c r="K147" i="7" s="1"/>
  <c r="L143" i="7" s="1"/>
  <c r="V114" i="7"/>
  <c r="I104" i="12" l="1"/>
  <c r="I120" i="12"/>
  <c r="I136" i="12" s="1"/>
  <c r="I152" i="12" s="1"/>
  <c r="I168" i="12" s="1"/>
  <c r="I184" i="12" s="1"/>
  <c r="C174" i="7"/>
  <c r="C180" i="7" s="1"/>
  <c r="K151" i="7"/>
  <c r="I200" i="12"/>
  <c r="C161" i="7"/>
  <c r="I106" i="12"/>
  <c r="M111" i="7"/>
  <c r="L145" i="7"/>
  <c r="K149" i="7"/>
  <c r="K150" i="7" s="1"/>
  <c r="L144" i="7"/>
  <c r="L146" i="7"/>
  <c r="V116" i="7"/>
  <c r="W114" i="7" s="1"/>
  <c r="C183" i="95" l="1"/>
  <c r="C183" i="93"/>
  <c r="I123" i="12"/>
  <c r="L160" i="7"/>
  <c r="L164" i="7" s="1"/>
  <c r="C23" i="76"/>
  <c r="C182" i="7"/>
  <c r="I138" i="12"/>
  <c r="I154" i="12" s="1"/>
  <c r="I170" i="12" s="1"/>
  <c r="I186" i="12" s="1"/>
  <c r="I202" i="12"/>
  <c r="I107" i="12"/>
  <c r="I203" i="12" s="1"/>
  <c r="G87" i="76" s="1"/>
  <c r="L147" i="7"/>
  <c r="W115" i="7"/>
  <c r="N160" i="7" l="1"/>
  <c r="C25" i="76"/>
  <c r="C64" i="76"/>
  <c r="I125" i="74"/>
  <c r="D206" i="93"/>
  <c r="L181" i="93"/>
  <c r="I176" i="93"/>
  <c r="C182" i="93"/>
  <c r="D206" i="95"/>
  <c r="L181" i="95"/>
  <c r="I176" i="95"/>
  <c r="I177" i="95" s="1"/>
  <c r="C182" i="95"/>
  <c r="C206" i="95" s="1"/>
  <c r="T87" i="76"/>
  <c r="S87" i="76"/>
  <c r="R102" i="12"/>
  <c r="N164" i="7"/>
  <c r="P160" i="7"/>
  <c r="P164" i="7" s="1"/>
  <c r="C62" i="76" l="1"/>
  <c r="I177" i="93"/>
  <c r="D62" i="76" s="1"/>
  <c r="N181" i="95"/>
  <c r="L185" i="95"/>
  <c r="N181" i="93"/>
  <c r="L185" i="93"/>
  <c r="D64" i="76"/>
  <c r="C206" i="93"/>
  <c r="I123" i="74"/>
  <c r="D23" i="76"/>
  <c r="E62" i="76"/>
  <c r="F53" i="76"/>
  <c r="I139" i="12"/>
  <c r="R103" i="12"/>
  <c r="F57" i="76" l="1"/>
  <c r="P181" i="95"/>
  <c r="P185" i="95" s="1"/>
  <c r="N185" i="95"/>
  <c r="N185" i="93"/>
  <c r="D25" i="76" s="1"/>
  <c r="C43" i="76" s="1"/>
  <c r="P181" i="93"/>
  <c r="P185" i="93" s="1"/>
  <c r="D206" i="76"/>
  <c r="N29" i="76"/>
  <c r="G88" i="76"/>
  <c r="I141" i="74"/>
  <c r="I157" i="74" s="1"/>
  <c r="I173" i="74" s="1"/>
  <c r="I189" i="74" s="1"/>
  <c r="I205" i="74" s="1"/>
  <c r="H205" i="74" s="1"/>
  <c r="G205" i="74" s="1"/>
  <c r="H125" i="74"/>
  <c r="H141" i="74" s="1"/>
  <c r="H157" i="74" s="1"/>
  <c r="H173" i="74" s="1"/>
  <c r="H189" i="74" s="1"/>
  <c r="G125" i="74"/>
  <c r="G141" i="74" s="1"/>
  <c r="G157" i="74" s="1"/>
  <c r="G173" i="74" s="1"/>
  <c r="G189" i="74" s="1"/>
  <c r="R102" i="74"/>
  <c r="I139" i="74"/>
  <c r="R103" i="74"/>
  <c r="I155" i="12"/>
  <c r="R104" i="12"/>
  <c r="M88" i="76" l="1"/>
  <c r="T88" i="76"/>
  <c r="S88" i="76"/>
  <c r="G89" i="76"/>
  <c r="B212" i="76"/>
  <c r="D245" i="76"/>
  <c r="B251" i="76" s="1"/>
  <c r="F62" i="76"/>
  <c r="G57" i="76" s="1"/>
  <c r="H57" i="76" s="1"/>
  <c r="G53" i="76"/>
  <c r="H53" i="76" s="1"/>
  <c r="R104" i="74"/>
  <c r="I155" i="74"/>
  <c r="I171" i="12"/>
  <c r="R105" i="12"/>
  <c r="M89" i="76" l="1"/>
  <c r="X88" i="76"/>
  <c r="W88" i="76"/>
  <c r="AD212" i="76"/>
  <c r="AD215" i="76" s="1"/>
  <c r="Q212" i="76"/>
  <c r="Q215" i="76" s="1"/>
  <c r="AH212" i="76"/>
  <c r="AH215" i="76" s="1"/>
  <c r="V212" i="76"/>
  <c r="V215" i="76" s="1"/>
  <c r="D212" i="76"/>
  <c r="D215" i="76" s="1"/>
  <c r="U212" i="76"/>
  <c r="U215" i="76" s="1"/>
  <c r="J212" i="76"/>
  <c r="J215" i="76" s="1"/>
  <c r="N212" i="76"/>
  <c r="N215" i="76" s="1"/>
  <c r="P212" i="76"/>
  <c r="P215" i="76" s="1"/>
  <c r="I212" i="76"/>
  <c r="I215" i="76" s="1"/>
  <c r="E212" i="76"/>
  <c r="E215" i="76" s="1"/>
  <c r="F212" i="76"/>
  <c r="F215" i="76" s="1"/>
  <c r="B215" i="76"/>
  <c r="AG212" i="76"/>
  <c r="AG215" i="76" s="1"/>
  <c r="AI212" i="76"/>
  <c r="AI215" i="76" s="1"/>
  <c r="Z212" i="76"/>
  <c r="Z215" i="76" s="1"/>
  <c r="T212" i="76"/>
  <c r="T215" i="76" s="1"/>
  <c r="G212" i="76"/>
  <c r="G215" i="76" s="1"/>
  <c r="K212" i="76"/>
  <c r="K215" i="76" s="1"/>
  <c r="Y212" i="76"/>
  <c r="Y215" i="76" s="1"/>
  <c r="H212" i="76"/>
  <c r="H215" i="76" s="1"/>
  <c r="AC212" i="76"/>
  <c r="AC215" i="76" s="1"/>
  <c r="AE212" i="76"/>
  <c r="AE215" i="76" s="1"/>
  <c r="C212" i="76"/>
  <c r="C215" i="76" s="1"/>
  <c r="X212" i="76"/>
  <c r="X215" i="76" s="1"/>
  <c r="AF212" i="76"/>
  <c r="AF215" i="76" s="1"/>
  <c r="M212" i="76"/>
  <c r="M215" i="76" s="1"/>
  <c r="AA212" i="76"/>
  <c r="AA215" i="76" s="1"/>
  <c r="R212" i="76"/>
  <c r="R215" i="76" s="1"/>
  <c r="O212" i="76"/>
  <c r="O215" i="76" s="1"/>
  <c r="W212" i="76"/>
  <c r="W215" i="76" s="1"/>
  <c r="AB212" i="76"/>
  <c r="AB215" i="76" s="1"/>
  <c r="L212" i="76"/>
  <c r="L215" i="76" s="1"/>
  <c r="S212" i="76"/>
  <c r="S215" i="76" s="1"/>
  <c r="D251" i="76"/>
  <c r="D254" i="76" s="1"/>
  <c r="AG251" i="76"/>
  <c r="AG254" i="76" s="1"/>
  <c r="W251" i="76"/>
  <c r="W254" i="76" s="1"/>
  <c r="R251" i="76"/>
  <c r="R254" i="76" s="1"/>
  <c r="AI251" i="76"/>
  <c r="AI254" i="76" s="1"/>
  <c r="Y251" i="76"/>
  <c r="Y254" i="76" s="1"/>
  <c r="O251" i="76"/>
  <c r="O254" i="76" s="1"/>
  <c r="AA251" i="76"/>
  <c r="AA254" i="76" s="1"/>
  <c r="I251" i="76"/>
  <c r="I254" i="76" s="1"/>
  <c r="F251" i="76"/>
  <c r="F254" i="76" s="1"/>
  <c r="S251" i="76"/>
  <c r="S254" i="76" s="1"/>
  <c r="B254" i="76"/>
  <c r="AD251" i="76"/>
  <c r="AD254" i="76" s="1"/>
  <c r="AC251" i="76"/>
  <c r="AC254" i="76" s="1"/>
  <c r="K251" i="76"/>
  <c r="K254" i="76" s="1"/>
  <c r="AF251" i="76"/>
  <c r="AF254" i="76" s="1"/>
  <c r="V251" i="76"/>
  <c r="V254" i="76" s="1"/>
  <c r="AE251" i="76"/>
  <c r="AE254" i="76" s="1"/>
  <c r="M251" i="76"/>
  <c r="M254" i="76" s="1"/>
  <c r="AH251" i="76"/>
  <c r="AH254" i="76" s="1"/>
  <c r="X251" i="76"/>
  <c r="X254" i="76" s="1"/>
  <c r="T251" i="76"/>
  <c r="T254" i="76" s="1"/>
  <c r="Z251" i="76"/>
  <c r="Z254" i="76" s="1"/>
  <c r="P251" i="76"/>
  <c r="P254" i="76" s="1"/>
  <c r="L251" i="76"/>
  <c r="L254" i="76" s="1"/>
  <c r="Q251" i="76"/>
  <c r="Q254" i="76" s="1"/>
  <c r="N251" i="76"/>
  <c r="N254" i="76" s="1"/>
  <c r="G251" i="76"/>
  <c r="G254" i="76" s="1"/>
  <c r="H251" i="76"/>
  <c r="H254" i="76" s="1"/>
  <c r="U251" i="76"/>
  <c r="U254" i="76" s="1"/>
  <c r="J251" i="76"/>
  <c r="J254" i="76" s="1"/>
  <c r="C251" i="76"/>
  <c r="C254" i="76" s="1"/>
  <c r="AB251" i="76"/>
  <c r="AB254" i="76" s="1"/>
  <c r="E251" i="76"/>
  <c r="E254" i="76" s="1"/>
  <c r="S89" i="76"/>
  <c r="T89" i="76"/>
  <c r="G90" i="76"/>
  <c r="D208" i="76"/>
  <c r="N31" i="76"/>
  <c r="R105" i="74"/>
  <c r="I171" i="74"/>
  <c r="I187" i="12"/>
  <c r="R107" i="12" s="1"/>
  <c r="R106" i="12"/>
  <c r="H43" i="76" l="1"/>
  <c r="M90" i="76"/>
  <c r="X89" i="76"/>
  <c r="W89" i="76"/>
  <c r="T90" i="76"/>
  <c r="S90" i="76"/>
  <c r="G92" i="76"/>
  <c r="G91" i="76"/>
  <c r="D247" i="76"/>
  <c r="B253" i="76" s="1"/>
  <c r="B214" i="76"/>
  <c r="I187" i="74"/>
  <c r="R106" i="74"/>
  <c r="R107" i="74" l="1"/>
  <c r="I203" i="74"/>
  <c r="M87" i="76" s="1"/>
  <c r="X90" i="76"/>
  <c r="W90" i="76"/>
  <c r="M91" i="76"/>
  <c r="S91" i="76"/>
  <c r="T91" i="76"/>
  <c r="I253" i="76"/>
  <c r="I255" i="76" s="1"/>
  <c r="L253" i="76"/>
  <c r="L255" i="76" s="1"/>
  <c r="W253" i="76"/>
  <c r="W255" i="76" s="1"/>
  <c r="D253" i="76"/>
  <c r="D255" i="76" s="1"/>
  <c r="O253" i="76"/>
  <c r="O255" i="76" s="1"/>
  <c r="AI253" i="76"/>
  <c r="AI255" i="76" s="1"/>
  <c r="T253" i="76"/>
  <c r="T255" i="76" s="1"/>
  <c r="B255" i="76"/>
  <c r="AA253" i="76"/>
  <c r="AA255" i="76" s="1"/>
  <c r="Q253" i="76"/>
  <c r="Q255" i="76" s="1"/>
  <c r="AC253" i="76"/>
  <c r="AC255" i="76" s="1"/>
  <c r="K253" i="76"/>
  <c r="K255" i="76" s="1"/>
  <c r="AG253" i="76"/>
  <c r="AG255" i="76" s="1"/>
  <c r="U253" i="76"/>
  <c r="U255" i="76" s="1"/>
  <c r="AH253" i="76"/>
  <c r="AH255" i="76" s="1"/>
  <c r="Y253" i="76"/>
  <c r="Y255" i="76" s="1"/>
  <c r="M253" i="76"/>
  <c r="M255" i="76" s="1"/>
  <c r="Z253" i="76"/>
  <c r="Z255" i="76" s="1"/>
  <c r="C253" i="76"/>
  <c r="C255" i="76" s="1"/>
  <c r="P253" i="76"/>
  <c r="P255" i="76" s="1"/>
  <c r="X253" i="76"/>
  <c r="X255" i="76" s="1"/>
  <c r="AD253" i="76"/>
  <c r="AD255" i="76" s="1"/>
  <c r="S253" i="76"/>
  <c r="S255" i="76" s="1"/>
  <c r="J253" i="76"/>
  <c r="J255" i="76" s="1"/>
  <c r="AE253" i="76"/>
  <c r="AE255" i="76" s="1"/>
  <c r="V253" i="76"/>
  <c r="V255" i="76" s="1"/>
  <c r="AB253" i="76"/>
  <c r="AB255" i="76" s="1"/>
  <c r="AF253" i="76"/>
  <c r="AF255" i="76" s="1"/>
  <c r="R253" i="76"/>
  <c r="R255" i="76" s="1"/>
  <c r="N253" i="76"/>
  <c r="N255" i="76" s="1"/>
  <c r="G253" i="76"/>
  <c r="G255" i="76" s="1"/>
  <c r="H253" i="76"/>
  <c r="H255" i="76" s="1"/>
  <c r="E253" i="76"/>
  <c r="E255" i="76" s="1"/>
  <c r="F253" i="76"/>
  <c r="F255" i="76" s="1"/>
  <c r="AH214" i="76"/>
  <c r="AH216" i="76" s="1"/>
  <c r="I214" i="76"/>
  <c r="I216" i="76" s="1"/>
  <c r="E214" i="76"/>
  <c r="E216" i="76" s="1"/>
  <c r="Z214" i="76"/>
  <c r="Z216" i="76" s="1"/>
  <c r="AG214" i="76"/>
  <c r="AG216" i="76" s="1"/>
  <c r="P214" i="76"/>
  <c r="P216" i="76" s="1"/>
  <c r="R214" i="76"/>
  <c r="R216" i="76" s="1"/>
  <c r="U214" i="76"/>
  <c r="U216" i="76" s="1"/>
  <c r="D214" i="76"/>
  <c r="D216" i="76" s="1"/>
  <c r="X214" i="76"/>
  <c r="X216" i="76" s="1"/>
  <c r="J214" i="76"/>
  <c r="J216" i="76" s="1"/>
  <c r="H214" i="76"/>
  <c r="H216" i="76" s="1"/>
  <c r="Q214" i="76"/>
  <c r="Q216" i="76" s="1"/>
  <c r="AE214" i="76"/>
  <c r="AE216" i="76" s="1"/>
  <c r="B216" i="76"/>
  <c r="AI214" i="76"/>
  <c r="AI216" i="76" s="1"/>
  <c r="O214" i="76"/>
  <c r="O216" i="76" s="1"/>
  <c r="AF214" i="76"/>
  <c r="AF216" i="76" s="1"/>
  <c r="K214" i="76"/>
  <c r="K216" i="76" s="1"/>
  <c r="Y214" i="76"/>
  <c r="Y216" i="76" s="1"/>
  <c r="F214" i="76"/>
  <c r="F216" i="76" s="1"/>
  <c r="C214" i="76"/>
  <c r="C216" i="76" s="1"/>
  <c r="M214" i="76"/>
  <c r="M216" i="76" s="1"/>
  <c r="W214" i="76"/>
  <c r="W216" i="76" s="1"/>
  <c r="N214" i="76"/>
  <c r="N216" i="76" s="1"/>
  <c r="V214" i="76"/>
  <c r="V216" i="76" s="1"/>
  <c r="AC214" i="76"/>
  <c r="AC216" i="76" s="1"/>
  <c r="T214" i="76"/>
  <c r="T216" i="76" s="1"/>
  <c r="G214" i="76"/>
  <c r="G216" i="76" s="1"/>
  <c r="AB214" i="76"/>
  <c r="AB216" i="76" s="1"/>
  <c r="L214" i="76"/>
  <c r="L216" i="76" s="1"/>
  <c r="S214" i="76"/>
  <c r="S216" i="76" s="1"/>
  <c r="AD214" i="76"/>
  <c r="AD216" i="76" s="1"/>
  <c r="AA214" i="76"/>
  <c r="AA216" i="76" s="1"/>
  <c r="S92" i="76"/>
  <c r="T92" i="76"/>
  <c r="M92" i="76" l="1"/>
  <c r="W87" i="76"/>
  <c r="X87" i="76"/>
  <c r="X91" i="76"/>
  <c r="W91" i="76"/>
  <c r="X92" i="76"/>
  <c r="W92" i="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tc={C2AF7FC0-FFA8-427D-A24D-A1293BB7A492}</author>
  </authors>
  <commentList>
    <comment ref="B197" authorId="0" shapeId="0" xr:uid="{C2AF7FC0-FFA8-427D-A24D-A1293BB7A492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Mismo equipo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tc={E9E7359F-F908-44C3-A557-13FC746D09E9}</author>
    <author>tc={492CFD8F-6BED-43A4-98FF-1A475EF5E8D4}</author>
    <author>tc={7465171E-7FC2-4755-8907-E1A469AFF789}</author>
    <author>tc={636A6408-74DE-45DD-A31B-D478D0EA7F5F}</author>
    <author>tc={D28E614D-EBFF-417B-832F-FA912BCBC782}</author>
    <author>tc={2F7110B2-E598-4A24-9129-E8BED3A4A21B}</author>
    <author>tc={E9358EA6-09CB-41A9-BBC2-991735F1989C}</author>
    <author>tc={6CEC617B-C578-4D75-BE8A-FD1293AEA318}</author>
    <author>tc={17C45EA7-DA47-4A80-A2CB-74D41158D2A8}</author>
    <author>tc={D472F5FA-48D2-4138-AEEA-E6E7CA0A4F53}</author>
    <author>tc={90F9B27C-F10B-4733-96FA-44276AAA5669}</author>
    <author>tc={63E1450F-9C3D-4D12-AF88-06A1A11D4289}</author>
    <author>tc={05F43288-1A2C-467F-AB5B-D70254860B34}</author>
    <author>tc={D4384E12-92D6-447F-BB78-AE2E8E07641E}</author>
    <author>tc={2B26D994-94A9-417F-8604-ECEC4C8F1E2A}</author>
    <author>tc={CCA3D6BA-FA5D-4514-AB69-1DB5ADC143A1}</author>
    <author>tc={FDD97F59-1F31-482B-9148-AF8D7AAD27B3}</author>
    <author>tc={306A9E25-C6E3-40F8-AD93-7D693D130492}</author>
    <author>tc={21B84F3C-44D4-420C-B8FD-4CB66FA75646}</author>
    <author>tc={78628328-E052-40CD-AE2B-4E7645D3C707}</author>
    <author>tc={5C505C27-3B89-4BD0-AA4C-D241053AD952}</author>
    <author>tc={39C50323-434A-4AEB-83B9-880970C20AA4}</author>
    <author>tc={8FBFB0ED-86CD-4952-A2B0-5B76BD08BAE7}</author>
    <author>tc={E00A5914-D7D1-4889-9557-E137CB35B406}</author>
    <author>tc={0BD70E66-98C6-4E51-AD31-334A95E6B3AF}</author>
    <author>usuario</author>
    <author>tc={A9DB372D-3DC5-434E-ABB1-BBC9AE4F2B51}</author>
    <author>tc={56497251-20AE-40C9-B581-E433007132CA}</author>
    <author>tc={C97C4AD7-9E5E-4CFC-9EDE-6254DFD48F89}</author>
    <author>tc={1E210E2A-5E0A-4062-AF14-2B215D7055AA}</author>
    <author>tc={4D5855EA-80D6-4D0D-9A0D-D4D0251DCBAE}</author>
    <author>tc={E3F8AA0D-DB15-4643-8EB5-2C72F0349DF0}</author>
    <author>tc={E5929778-D08F-439B-8E6B-BDF53898911C}</author>
    <author>tc={1658046C-6E2B-4DDE-B635-C1B4AFD245B7}</author>
    <author>tc={296F69B3-332C-42D8-97C1-BFA3573845C5}</author>
    <author>tc={192B3A49-AE9F-4018-B04B-4B6632D079B2}</author>
    <author>tc={7BA3DA67-CF29-4816-A1B7-B7E47AA78011}</author>
    <author>tc={79A6EE72-90C7-486F-A0A1-DE0D6809A497}</author>
    <author>tc={D8E76528-9BE4-40F2-8239-0354D81578EC}</author>
  </authors>
  <commentList>
    <comment ref="N5" authorId="0" shapeId="0" xr:uid="{E9E7359F-F908-44C3-A557-13FC746D09E9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 (datos Almería?)</t>
      </text>
    </comment>
    <comment ref="AB11" authorId="1" shapeId="0" xr:uid="{492CFD8F-6BED-43A4-98FF-1A475EF5E8D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https://ceta.zaragoza.unam.mx/wp-content/recursosi/calculadoras/constantes-de-antonio/constantes-de-antonio.htm</t>
      </text>
    </comment>
    <comment ref="F26" authorId="2" shapeId="0" xr:uid="{7465171E-7FC2-4755-8907-E1A469AFF789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Mismas concentraciones que Q7 y Q8</t>
      </text>
    </comment>
    <comment ref="J26" authorId="3" shapeId="0" xr:uid="{636A6408-74DE-45DD-A31B-D478D0EA7F5F}">
      <text>
        <t>[Threaded comment]
Your version of Excel allows you to read this threaded comment; however, any edits to it will get removed if the file is opened in a newer version of Excel. Learn more: https://go.microsoft.com/fwlink/?linkid=870924
Comment:
    Concentraciones igual que la purga (para sacar los flujos másicos)</t>
      </text>
    </comment>
    <comment ref="X26" authorId="4" shapeId="0" xr:uid="{D28E614D-EBFF-417B-832F-FA912BCBC782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26" authorId="5" shapeId="0" xr:uid="{2F7110B2-E598-4A24-9129-E8BED3A4A21B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O27" authorId="6" shapeId="0" xr:uid="{E9358EA6-09CB-41A9-BBC2-991735F1989C}">
      <text>
        <t>[Threaded comment]
Your version of Excel allows you to read this threaded comment; however, any edits to it will get removed if the file is opened in a newer version of Excel. Learn more: https://go.microsoft.com/fwlink/?linkid=870924
Comment:
    Se ha añadido acetona</t>
      </text>
    </comment>
    <comment ref="G28" authorId="7" shapeId="0" xr:uid="{6CEC617B-C578-4D75-BE8A-FD1293AEA318}">
      <text>
        <t>[Threaded comment]
Your version of Excel allows you to read this threaded comment; however, any edits to it will get removed if the file is opened in a newer version of Excel. Learn more: https://go.microsoft.com/fwlink/?linkid=870924
Comment:
    La entrada al reactor tiene que ser una dilución del purín del 10%</t>
      </text>
    </comment>
    <comment ref="D30" authorId="8" shapeId="0" xr:uid="{17C45EA7-DA47-4A80-A2CB-74D41158D2A8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al total sólo los sólidos</t>
      </text>
    </comment>
    <comment ref="Y32" authorId="9" shapeId="0" xr:uid="{D472F5FA-48D2-4138-AEEA-E6E7CA0A4F53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X34" authorId="10" shapeId="0" xr:uid="{90F9B27C-F10B-4733-96FA-44276AAA5669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35" authorId="11" shapeId="0" xr:uid="{63E1450F-9C3D-4D12-AF88-06A1A11D4289}">
      <text>
        <t>[Threaded comment]
Your version of Excel allows you to read this threaded comment; however, any edits to it will get removed if the file is opened in a newer version of Excel. Learn more: https://go.microsoft.com/fwlink/?linkid=870924
Comment:
    Area calculado según Excel Rubén</t>
      </text>
    </comment>
    <comment ref="L36" authorId="12" shapeId="0" xr:uid="{05F43288-1A2C-467F-AB5B-D70254860B34}">
      <text>
        <t>[Threaded comment]
Your version of Excel allows you to read this threaded comment; however, any edits to it will get removed if the file is opened in a newer version of Excel. Learn more: https://go.microsoft.com/fwlink/?linkid=870924
Comment:
    Suma del TOC de la alga y lo que no se ha eliminado en el sistema.
Se hace igual para el TN y el TP</t>
      </text>
    </comment>
    <comment ref="AB38" authorId="13" shapeId="0" xr:uid="{D4384E12-92D6-447F-BB78-AE2E8E07641E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H40" authorId="14" shapeId="0" xr:uid="{2B26D994-94A9-417F-8604-ECEC4C8F1E2A}">
      <text>
        <t>[Threaded comment]
Your version of Excel allows you to read this threaded comment; however, any edits to it will get removed if the file is opened in a newer version of Excel. Learn more: https://go.microsoft.com/fwlink/?linkid=870924
Comment:
    Pérdidas del 10% (buscar referencia de reactor que mida eso)</t>
      </text>
    </comment>
    <comment ref="J41" authorId="15" shapeId="0" xr:uid="{CCA3D6BA-FA5D-4514-AB69-1DB5ADC143A1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obtenido del Ecxel de Ruben y confirmado por Silvia 10/10/22</t>
      </text>
    </comment>
    <comment ref="X43" authorId="16" shapeId="0" xr:uid="{FDD97F59-1F31-482B-9148-AF8D7AAD27B3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43" authorId="17" shapeId="0" xr:uid="{306A9E25-C6E3-40F8-AD93-7D693D130492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Y47" authorId="18" shapeId="0" xr:uid="{21B84F3C-44D4-420C-B8FD-4CB66FA75646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AB48" authorId="19" shapeId="0" xr:uid="{78628328-E052-40CD-AE2B-4E7645D3C707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52" authorId="20" shapeId="0" xr:uid="{5C505C27-3B89-4BD0-AA4C-D241053AD952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Y55" authorId="21" shapeId="0" xr:uid="{39C50323-434A-4AEB-83B9-880970C20AA4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 concentración que usamos nosotros</t>
      </text>
    </comment>
    <comment ref="J78" authorId="22" shapeId="0" xr:uid="{8FBFB0ED-86CD-4952-A2B0-5B76BD08BAE7}">
      <text>
        <t>[Threaded comment]
Your version of Excel allows you to read this threaded comment; however, any edits to it will get removed if the file is opened in a newer version of Excel. Learn more: https://go.microsoft.com/fwlink/?linkid=870924
Comment:
    Meter aquí las bombas</t>
      </text>
    </comment>
    <comment ref="K107" authorId="23" shapeId="0" xr:uid="{E00A5914-D7D1-4889-9557-E137CB35B406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Valores medios</t>
      </text>
    </comment>
    <comment ref="D110" authorId="24" shapeId="0" xr:uid="{0BD70E66-98C6-4E51-AD31-334A95E6B3AF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Victor</t>
      </text>
    </comment>
    <comment ref="D117" authorId="25" shapeId="0" xr:uid="{D89B4B77-7016-4183-9F4A-A297C2CCF221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https://www.chemanalyst.com/Pricing-data/acetone-12</t>
        </r>
      </text>
    </comment>
    <comment ref="D118" authorId="26" shapeId="0" xr:uid="{A9DB372D-3DC5-434E-ABB1-BBC9AE4F2B5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Perez 2021</t>
      </text>
    </comment>
    <comment ref="D138" authorId="27" shapeId="0" xr:uid="{56497251-20AE-40C9-B581-E433007132CA}">
      <text>
        <t>[Threaded comment]
Your version of Excel allows you to read this threaded comment; however, any edits to it will get removed if the file is opened in a newer version of Excel. Learn more: https://go.microsoft.com/fwlink/?linkid=870924
Comment:
    Mirar cuanto sube la temperatura</t>
      </text>
    </comment>
    <comment ref="L138" authorId="28" shapeId="0" xr:uid="{C97C4AD7-9E5E-4CFC-9EDE-6254DFD48F89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https://www.kochseparation.com/technologies/membrane-filtration/puron-mbr-and-pulsion-mbr-modules/#datasheets</t>
      </text>
    </comment>
    <comment ref="D139" authorId="29" shapeId="0" xr:uid="{1E210E2A-5E0A-4062-AF14-2B215D7055AA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https://www.ingenierosindustriales.com/calculo-del-caudal-de-agua-en-instalaciones-de-calefaccion-o-climatizacion/</t>
      </text>
    </comment>
    <comment ref="D142" authorId="30" shapeId="0" xr:uid="{4D5855EA-80D6-4D0D-9A0D-D4D0251DCBAE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 (memoria Greenfarm)</t>
      </text>
    </comment>
    <comment ref="K174" authorId="31" shapeId="0" xr:uid="{E3F8AA0D-DB15-4643-8EB5-2C72F0349DF0}">
      <text>
        <t>[Threaded comment]
Your version of Excel allows you to read this threaded comment; however, any edits to it will get removed if the file is opened in a newer version of Excel. Learn more: https://go.microsoft.com/fwlink/?linkid=870924
Comment:
    Fertiberia 
https://fercampo.com/catalogo-de-productos/nutricion-vegetal/fertilizantes-liquidos/</t>
      </text>
    </comment>
    <comment ref="M176" authorId="32" shapeId="0" xr:uid="{E5929778-D08F-439B-8E6B-BDF53898911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https://www.fertiberia.com/es/agricultura/productos/categorias/foliar/especiales/energrow-green-mo/</t>
      </text>
    </comment>
    <comment ref="O176" authorId="33" shapeId="0" xr:uid="{1658046C-6E2B-4DDE-B635-C1B4AFD245B7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https://www.fertiberia.com/es/agricultura/productos/categorias/foliar/complejos/glugel-12-24-12/</t>
      </text>
    </comment>
    <comment ref="Q176" authorId="34" shapeId="0" xr:uid="{296F69B3-332C-42D8-97C1-BFA3573845C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M180" authorId="35" shapeId="0" xr:uid="{192B3A49-AE9F-4018-B04B-4B6632D079B2}">
      <text>
        <t>[Threaded comment]
Your version of Excel allows you to read this threaded comment; however, any edits to it will get removed if the file is opened in a newer version of Excel. Learn more: https://go.microsoft.com/fwlink/?linkid=870924
Comment:
    Al año</t>
      </text>
    </comment>
    <comment ref="O180" authorId="36" shapeId="0" xr:uid="{7BA3DA67-CF29-4816-A1B7-B7E47AA78011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Q180" authorId="37" shapeId="0" xr:uid="{79A6EE72-90C7-486F-A0A1-DE0D6809A497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D220" authorId="38" shapeId="0" xr:uid="{D8E76528-9BE4-40F2-8239-0354D81578EC}">
      <text>
        <t>[Threaded comment]
Your version of Excel allows you to read this threaded comment; however, any edits to it will get removed if the file is opened in a newer version of Excel. Learn more: https://go.microsoft.com/fwlink/?linkid=870924
Comment:
    Altura depósito purin = 3m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tc={C1421CFB-48E1-4C74-964D-AFC63B15AAFD}</author>
    <author>tc={BEEC24D3-3A8A-4968-A270-69F648AD89F6}</author>
    <author>tc={68AE8FF6-005C-4EBD-8D4E-846FEF02E09D}</author>
    <author>tc={C0EE3DEC-F9D7-4A3B-9991-2FFA42170B70}</author>
    <author>tc={72E68C70-4D1E-4F14-899B-4536BE9EB102}</author>
    <author>tc={B07F10C5-400D-426A-A384-951FB3B001C9}</author>
    <author>tc={343C7E7A-65EA-496A-9CF1-FCFE775A4F19}</author>
    <author>tc={9478EE63-2C79-4139-A4D1-1306DE85F443}</author>
    <author>tc={EEFFBF5C-1F90-4BAB-B50C-53F816CA47AD}</author>
    <author>tc={AA6FCE83-A8A9-46FC-A93A-E13ED2E06918}</author>
    <author>tc={6108DBEC-46C4-4181-84E2-3D97D3ED8E39}</author>
    <author>tc={BA25BEE8-261A-4F28-8448-70F32621BBB7}</author>
    <author>tc={EC913ED5-170D-464E-B233-240FABF40BAE}</author>
    <author>tc={A4310CB0-9903-4218-9285-CE4B5D3A5AC0}</author>
    <author>tc={6655324A-BABC-4AE5-AF9E-8A73FF5463FA}</author>
    <author>tc={19CF865A-BEDD-4AF8-9F85-5BF3D46B15D2}</author>
    <author>tc={984AD41A-F95C-4382-B46F-D8AC4D3DE47B}</author>
    <author>tc={C60079CB-4BBB-482A-97C9-FB9B36D266E0}</author>
    <author>tc={0865AA03-A9F0-401F-BD15-F4D76CC77A36}</author>
    <author>tc={4765B3CF-648E-4C76-92A6-0163CF46DF67}</author>
    <author>tc={6B5F2E09-0F38-4CE4-895A-F7CDA5003D8B}</author>
    <author>tc={EFE070F0-29EB-44A3-8E15-9375B530D647}</author>
    <author>tc={35D622E8-D510-4899-BA6C-FCA949F9F5A6}</author>
    <author>tc={ADFF36FD-4D17-4008-835A-3B1B194511EC}</author>
    <author>tc={3CAF4DAC-335C-41C4-B525-96619E57C201}</author>
    <author>usuario</author>
    <author>tc={3F39D69D-3E20-40DB-BB9B-2485793E4B8A}</author>
    <author>tc={D013B79C-301C-477E-AD72-E6F67A7AAB11}</author>
    <author>tc={C73D115A-147A-44A2-B1EC-FC181A22D3A7}</author>
    <author>tc={47E53D4D-A8C3-4200-98B8-9387F973B55A}</author>
    <author>tc={69EED15E-BD3E-47BD-8EC2-14E2DC2112AE}</author>
    <author>tc={D1E5B46E-B915-48DA-9425-48FC8240A7FB}</author>
    <author>tc={D2094E19-A743-4801-A222-BD1997012B9E}</author>
    <author>tc={C55C15CA-F70F-456D-9B20-2C4144FFA3FB}</author>
    <author>tc={231BC67B-9787-4CD7-85E2-15DE2019A354}</author>
    <author>tc={69C3018F-BDBE-4A39-9C63-7948A417AE75}</author>
    <author>tc={4F0C7C36-EE10-4924-8372-F56853BAB75E}</author>
    <author>tc={F3576335-FFB8-453A-A61D-78F2DD7C092C}</author>
    <author>tc={52295B7F-F368-41B1-B619-88464F50BC3B}</author>
  </authors>
  <commentList>
    <comment ref="N5" authorId="0" shapeId="0" xr:uid="{C1421CFB-48E1-4C74-964D-AFC63B15AAFD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 (datos Almería?)</t>
      </text>
    </comment>
    <comment ref="AB11" authorId="1" shapeId="0" xr:uid="{BEEC24D3-3A8A-4968-A270-69F648AD89F6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https://ceta.zaragoza.unam.mx/wp-content/recursosi/calculadoras/constantes-de-antonio/constantes-de-antonio.htm</t>
      </text>
    </comment>
    <comment ref="F26" authorId="2" shapeId="0" xr:uid="{68AE8FF6-005C-4EBD-8D4E-846FEF02E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Mismas concentraciones que Q7 y Q8</t>
      </text>
    </comment>
    <comment ref="J26" authorId="3" shapeId="0" xr:uid="{C0EE3DEC-F9D7-4A3B-9991-2FFA42170B70}">
      <text>
        <t>[Threaded comment]
Your version of Excel allows you to read this threaded comment; however, any edits to it will get removed if the file is opened in a newer version of Excel. Learn more: https://go.microsoft.com/fwlink/?linkid=870924
Comment:
    Concentraciones igual que la purga (para sacar los flujos másicos)</t>
      </text>
    </comment>
    <comment ref="X26" authorId="4" shapeId="0" xr:uid="{72E68C70-4D1E-4F14-899B-4536BE9EB102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26" authorId="5" shapeId="0" xr:uid="{B07F10C5-400D-426A-A384-951FB3B001C9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O27" authorId="6" shapeId="0" xr:uid="{343C7E7A-65EA-496A-9CF1-FCFE775A4F19}">
      <text>
        <t>[Threaded comment]
Your version of Excel allows you to read this threaded comment; however, any edits to it will get removed if the file is opened in a newer version of Excel. Learn more: https://go.microsoft.com/fwlink/?linkid=870924
Comment:
    Se ha añadido acetona</t>
      </text>
    </comment>
    <comment ref="G28" authorId="7" shapeId="0" xr:uid="{9478EE63-2C79-4139-A4D1-1306DE85F443}">
      <text>
        <t>[Threaded comment]
Your version of Excel allows you to read this threaded comment; however, any edits to it will get removed if the file is opened in a newer version of Excel. Learn more: https://go.microsoft.com/fwlink/?linkid=870924
Comment:
    La entrada al reactor tiene que ser una dilución del purín del 10%</t>
      </text>
    </comment>
    <comment ref="D30" authorId="8" shapeId="0" xr:uid="{EEFFBF5C-1F90-4BAB-B50C-53F816CA47AD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al total sólo los sólidos</t>
      </text>
    </comment>
    <comment ref="Y32" authorId="9" shapeId="0" xr:uid="{AA6FCE83-A8A9-46FC-A93A-E13ED2E06918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X34" authorId="10" shapeId="0" xr:uid="{6108DBEC-46C4-4181-84E2-3D97D3ED8E39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35" authorId="11" shapeId="0" xr:uid="{BA25BEE8-261A-4F28-8448-70F32621BBB7}">
      <text>
        <t>[Threaded comment]
Your version of Excel allows you to read this threaded comment; however, any edits to it will get removed if the file is opened in a newer version of Excel. Learn more: https://go.microsoft.com/fwlink/?linkid=870924
Comment:
    Area calculado según Excel Rubén</t>
      </text>
    </comment>
    <comment ref="L36" authorId="12" shapeId="0" xr:uid="{EC913ED5-170D-464E-B233-240FABF40BAE}">
      <text>
        <t>[Threaded comment]
Your version of Excel allows you to read this threaded comment; however, any edits to it will get removed if the file is opened in a newer version of Excel. Learn more: https://go.microsoft.com/fwlink/?linkid=870924
Comment:
    Suma del TOC de la alga y lo que no se ha eliminado en el sistema.
Se hace igual para el TN y el TP</t>
      </text>
    </comment>
    <comment ref="AB38" authorId="13" shapeId="0" xr:uid="{A4310CB0-9903-4218-9285-CE4B5D3A5AC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H40" authorId="14" shapeId="0" xr:uid="{6655324A-BABC-4AE5-AF9E-8A73FF5463FA}">
      <text>
        <t>[Threaded comment]
Your version of Excel allows you to read this threaded comment; however, any edits to it will get removed if the file is opened in a newer version of Excel. Learn more: https://go.microsoft.com/fwlink/?linkid=870924
Comment:
    Pérdidas del 10% (buscar referencia de reactor que mida eso)</t>
      </text>
    </comment>
    <comment ref="J41" authorId="15" shapeId="0" xr:uid="{19CF865A-BEDD-4AF8-9F85-5BF3D46B15D2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obtenido del Ecxel de Ruben y confirmado por Silvia 10/10/22</t>
      </text>
    </comment>
    <comment ref="X43" authorId="16" shapeId="0" xr:uid="{984AD41A-F95C-4382-B46F-D8AC4D3DE47B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43" authorId="17" shapeId="0" xr:uid="{C60079CB-4BBB-482A-97C9-FB9B36D266E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Y47" authorId="18" shapeId="0" xr:uid="{0865AA03-A9F0-401F-BD15-F4D76CC77A36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AB48" authorId="19" shapeId="0" xr:uid="{4765B3CF-648E-4C76-92A6-0163CF46DF67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52" authorId="20" shapeId="0" xr:uid="{6B5F2E09-0F38-4CE4-895A-F7CDA5003D8B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Y55" authorId="21" shapeId="0" xr:uid="{EFE070F0-29EB-44A3-8E15-9375B530D647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 concentración que usamos nosotros</t>
      </text>
    </comment>
    <comment ref="J78" authorId="22" shapeId="0" xr:uid="{35D622E8-D510-4899-BA6C-FCA949F9F5A6}">
      <text>
        <t>[Threaded comment]
Your version of Excel allows you to read this threaded comment; however, any edits to it will get removed if the file is opened in a newer version of Excel. Learn more: https://go.microsoft.com/fwlink/?linkid=870924
Comment:
    Meter aquí las bombas</t>
      </text>
    </comment>
    <comment ref="K107" authorId="23" shapeId="0" xr:uid="{ADFF36FD-4D17-4008-835A-3B1B194511EC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Valores medios</t>
      </text>
    </comment>
    <comment ref="D110" authorId="24" shapeId="0" xr:uid="{3CAF4DAC-335C-41C4-B525-96619E57C201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Victor</t>
      </text>
    </comment>
    <comment ref="D117" authorId="25" shapeId="0" xr:uid="{1757C5D4-CCE7-4F48-8D94-CDDF3121BD7C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https://www.chemanalyst.com/Pricing-data/acetone-12</t>
        </r>
      </text>
    </comment>
    <comment ref="D118" authorId="26" shapeId="0" xr:uid="{3F39D69D-3E20-40DB-BB9B-2485793E4B8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Perez 2021</t>
      </text>
    </comment>
    <comment ref="D138" authorId="27" shapeId="0" xr:uid="{D013B79C-301C-477E-AD72-E6F67A7AAB11}">
      <text>
        <t>[Threaded comment]
Your version of Excel allows you to read this threaded comment; however, any edits to it will get removed if the file is opened in a newer version of Excel. Learn more: https://go.microsoft.com/fwlink/?linkid=870924
Comment:
    Mirar cuanto sube la temperatura</t>
      </text>
    </comment>
    <comment ref="L138" authorId="28" shapeId="0" xr:uid="{C73D115A-147A-44A2-B1EC-FC181A22D3A7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https://www.kochseparation.com/technologies/membrane-filtration/puron-mbr-and-pulsion-mbr-modules/#datasheets</t>
      </text>
    </comment>
    <comment ref="D139" authorId="29" shapeId="0" xr:uid="{47E53D4D-A8C3-4200-98B8-9387F973B55A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https://www.ingenierosindustriales.com/calculo-del-caudal-de-agua-en-instalaciones-de-calefaccion-o-climatizacion/</t>
      </text>
    </comment>
    <comment ref="D142" authorId="30" shapeId="0" xr:uid="{69EED15E-BD3E-47BD-8EC2-14E2DC2112AE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 (memoria Greenfarm)</t>
      </text>
    </comment>
    <comment ref="K174" authorId="31" shapeId="0" xr:uid="{D1E5B46E-B915-48DA-9425-48FC8240A7FB}">
      <text>
        <t>[Threaded comment]
Your version of Excel allows you to read this threaded comment; however, any edits to it will get removed if the file is opened in a newer version of Excel. Learn more: https://go.microsoft.com/fwlink/?linkid=870924
Comment:
    Fertiberia 
https://fercampo.com/catalogo-de-productos/nutricion-vegetal/fertilizantes-liquidos/</t>
      </text>
    </comment>
    <comment ref="M176" authorId="32" shapeId="0" xr:uid="{D2094E19-A743-4801-A222-BD1997012B9E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https://www.fertiberia.com/es/agricultura/productos/categorias/foliar/especiales/energrow-green-mo/</t>
      </text>
    </comment>
    <comment ref="O176" authorId="33" shapeId="0" xr:uid="{C55C15CA-F70F-456D-9B20-2C4144FFA3FB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https://www.fertiberia.com/es/agricultura/productos/categorias/foliar/complejos/glugel-12-24-12/</t>
      </text>
    </comment>
    <comment ref="Q176" authorId="34" shapeId="0" xr:uid="{231BC67B-9787-4CD7-85E2-15DE2019A35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M180" authorId="35" shapeId="0" xr:uid="{69C3018F-BDBE-4A39-9C63-7948A417AE75}">
      <text>
        <t>[Threaded comment]
Your version of Excel allows you to read this threaded comment; however, any edits to it will get removed if the file is opened in a newer version of Excel. Learn more: https://go.microsoft.com/fwlink/?linkid=870924
Comment:
    Al año</t>
      </text>
    </comment>
    <comment ref="O180" authorId="36" shapeId="0" xr:uid="{4F0C7C36-EE10-4924-8372-F56853BAB75E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Q180" authorId="37" shapeId="0" xr:uid="{F3576335-FFB8-453A-A61D-78F2DD7C092C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D220" authorId="38" shapeId="0" xr:uid="{52295B7F-F368-41B1-B619-88464F50BC3B}">
      <text>
        <t>[Threaded comment]
Your version of Excel allows you to read this threaded comment; however, any edits to it will get removed if the file is opened in a newer version of Excel. Learn more: https://go.microsoft.com/fwlink/?linkid=870924
Comment:
    Altura depósito purin = 3m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tc={BD4D9BFC-88DD-45A9-986E-CFAB3A3F47C3}</author>
  </authors>
  <commentList>
    <comment ref="B197" authorId="0" shapeId="0" xr:uid="{BD4D9BFC-88DD-45A9-986E-CFAB3A3F47C3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Mismo equipo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tc={CBFB7D30-7D46-454F-9C4D-2BA5C445995C}</author>
  </authors>
  <commentList>
    <comment ref="B197" authorId="0" shapeId="0" xr:uid="{CBFB7D30-7D46-454F-9C4D-2BA5C445995C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Mismo equipo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tc={BBE9E799-FE0E-4535-B2B9-96F55451577F}</author>
  </authors>
  <commentList>
    <comment ref="B197" authorId="0" shapeId="0" xr:uid="{BBE9E799-FE0E-4535-B2B9-96F55451577F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Mismo equipo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tc={D30774B3-7704-4C78-91B1-68AE21DDAD02}</author>
    <author>tc={69477620-DD8F-4B80-8D12-3B380A32383B}</author>
    <author>tc={95FD5945-6ABA-43AA-B899-FA656FC3F79B}</author>
    <author>usuario</author>
    <author>tc={DA0C59FC-91AF-42C7-BA62-236B68BA08EA}</author>
    <author>tc={772D20F5-B345-4A57-8A0A-66AADB775418}</author>
    <author>tc={F6883160-3BF7-4233-ADEC-DB86612722AA}</author>
  </authors>
  <commentList>
    <comment ref="U9" authorId="0" shapeId="0" xr:uid="{D30774B3-7704-4C78-91B1-68AE21DDAD02}">
      <text>
        <t>[Threaded comment]
Your version of Excel allows you to read this threaded comment; however, any edits to it will get removed if the file is opened in a newer version of Excel. Learn more: https://go.microsoft.com/fwlink/?linkid=870924
Comment:
    Cultivo y cosechado</t>
      </text>
    </comment>
    <comment ref="V9" authorId="1" shapeId="0" xr:uid="{69477620-DD8F-4B80-8D12-3B380A32383B}">
      <text>
        <t>[Threaded comment]
Your version of Excel allows you to read this threaded comment; however, any edits to it will get removed if the file is opened in a newer version of Excel. Learn more: https://go.microsoft.com/fwlink/?linkid=870924
Comment:
    Pretratamiento y bioestimulante</t>
      </text>
    </comment>
    <comment ref="W9" authorId="2" shapeId="0" xr:uid="{95FD5945-6ABA-43AA-B899-FA656FC3F79B}">
      <text>
        <t>[Threaded comment]
Your version of Excel allows you to read this threaded comment; however, any edits to it will get removed if the file is opened in a newer version of Excel. Learn more: https://go.microsoft.com/fwlink/?linkid=870924
Comment:
    Biopesticida</t>
      </text>
    </comment>
    <comment ref="E21" authorId="3" shapeId="0" xr:uid="{39568653-C05C-436B-A212-5EBEB55E1B65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La sensibilidad con la [biomasa] después del cosechado es lineal
Si se multiplica por 4.5, sale el mismo precio</t>
        </r>
      </text>
    </comment>
    <comment ref="D28" authorId="4" shapeId="0" xr:uid="{DA0C59FC-91AF-42C7-BA62-236B68BA08EA}">
      <text>
        <t>[Threaded comment]
Your version of Excel allows you to read this threaded comment; however, any edits to it will get removed if the file is opened in a newer version of Excel. Learn more: https://go.microsoft.com/fwlink/?linkid=870924
Comment:
    Poniendo la misma eliminación, este valor bajo y la relación queda en 4,3 también</t>
      </text>
    </comment>
    <comment ref="I85" authorId="3" shapeId="0" xr:uid="{29C59C56-746B-4AF0-865F-1C1A1C69D7B8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Precio del biopesticida
</t>
        </r>
      </text>
    </comment>
    <comment ref="L85" authorId="3" shapeId="0" xr:uid="{1BDB971F-ECE4-4D5D-B8C1-915233CFE03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Precio del biopesticida
</t>
        </r>
      </text>
    </comment>
    <comment ref="B87" authorId="5" shapeId="0" xr:uid="{772D20F5-B345-4A57-8A0A-66AADB775418}">
      <text>
        <t>[Threaded comment]
Your version of Excel allows you to read this threaded comment; however, any edits to it will get removed if the file is opened in a newer version of Excel. Learn more: https://go.microsoft.com/fwlink/?linkid=870924
Comment:
    Tiene que ser el mismo equipo aumentando por ejemplo un 10% el flujo</t>
      </text>
    </comment>
    <comment ref="I93" authorId="3" shapeId="0" xr:uid="{FFDCE70F-B5F2-4817-8976-F8F4FF4A8449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Producción estimulante
</t>
        </r>
      </text>
    </comment>
    <comment ref="L93" authorId="3" shapeId="0" xr:uid="{2DC05FD3-5DA1-4E83-B041-DD054F970306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Producción estimulante
</t>
        </r>
      </text>
    </comment>
    <comment ref="D173" authorId="3" shapeId="0" xr:uid="{9977F5BC-16A5-4DB0-9233-6ACB9D319F2B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https://www.globalpetrolprices.com/Spain/diesel_prices/
(media entre 17/10/22 y 23/01/23)</t>
        </r>
      </text>
    </comment>
    <comment ref="D174" authorId="3" shapeId="0" xr:uid="{AD976A6B-A753-43D4-A1A4-F434661E6B25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https://www.sciencedirect.com/science/article/pii/S2590289X21000013
Sumar tiempo de viaje más 1 hora de descarga y carga</t>
        </r>
      </text>
    </comment>
    <comment ref="B177" authorId="3" shapeId="0" xr:uid="{FAC6E75E-479E-4B63-8395-7D28BD50BD25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https://www.sciencedirect.com/science/article/pii/S2352186422000748#b21</t>
        </r>
      </text>
    </comment>
    <comment ref="D177" authorId="3" shapeId="0" xr:uid="{0E4C3696-7C63-4938-BDC0-FD745C1AD81F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Camión de 2,5 T</t>
        </r>
      </text>
    </comment>
    <comment ref="D178" authorId="3" shapeId="0" xr:uid="{1F5B9C2E-3B3D-4477-B10B-181A79432D5C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Camión de 10 T</t>
        </r>
      </text>
    </comment>
    <comment ref="D179" authorId="3" shapeId="0" xr:uid="{71E6126E-CB76-4515-A1BB-A5875FAF7C1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https://www.sciencedirect.com/science/article/pii/S0168169921005032#fn6
20 Tº</t>
        </r>
      </text>
    </comment>
    <comment ref="D180" authorId="3" shapeId="0" xr:uid="{01B63968-B607-47CB-A361-2BBFF8B4E653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https://www.sciencedirect.com/science/article/pii/S2590289X21000013
Camión 30-35 T</t>
        </r>
      </text>
    </comment>
    <comment ref="D181" authorId="3" shapeId="0" xr:uid="{57B92FA7-2820-40F0-99FC-CF6643C52BD4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Para camión de 5T por interpolación con el resto de camiones</t>
        </r>
      </text>
    </comment>
    <comment ref="D182" authorId="3" shapeId="0" xr:uid="{79088943-D68C-4848-B4B6-56E40D8EB65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Por interpolación</t>
        </r>
      </text>
    </comment>
    <comment ref="C191" authorId="6" shapeId="0" xr:uid="{F6883160-3BF7-4233-ADEC-DB86612722AA}">
      <text>
        <t>[Threaded comment]
Your version of Excel allows you to read this threaded comment; however, any edits to it will get removed if the file is opened in a newer version of Excel. Learn more: https://go.microsoft.com/fwlink/?linkid=870924
Comment:
    En el de Jin, les sale 1.7 $/ha para el mismo camión y fertilizante líquido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tc={6FB20B08-A5CA-4021-9650-3DC71FB4A2D7}</author>
    <author>tc={EF8F5F5A-0751-4C1A-AE6F-1472BD33B128}</author>
    <author>tc={C1B56973-7E20-413F-86B3-4CC971AD2EAC}</author>
    <author>tc={67146BE1-500A-4755-A4AD-E9C2F1F58587}</author>
    <author>tc={DAC56037-A4AB-489B-8E03-C78828E16BA2}</author>
  </authors>
  <commentList>
    <comment ref="D104" authorId="0" shapeId="0" xr:uid="{00000000-0006-0000-07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https://powderprocess.net/Mixing/Power_Consumption.html</t>
      </text>
    </comment>
    <comment ref="Q155" authorId="1" shapeId="0" xr:uid="{00000000-0006-0000-07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Q159" authorId="2" shapeId="0" xr:uid="{00000000-0006-0000-07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O160" authorId="3" shapeId="0" xr:uid="{00000000-0006-0000-0700-00000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Estaba puesto antes 1.5</t>
      </text>
    </comment>
    <comment ref="Q160" authorId="4" shapeId="0" xr:uid="{00000000-0006-0000-07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https://www.collier-turf-care.co.uk/Catalogue/Turf-Care-Shop/Fertiliser/Liquid-Lawn-Fertiliser/Prestige-Liquid-Fertiliser/Prestige-NPK-Spring-Summer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tc={AE517C1A-6455-4567-8536-88E75CD009CE}</author>
    <author>tc={8E28A5FF-39A0-4E3E-A8D8-DD79CCEA06FC}</author>
    <author>tc={FCA9FDFA-E213-4341-833D-0D850200B84C}</author>
    <author>tc={CD0FEE76-885C-4E5A-B887-7D0C1FFFA217}</author>
    <author>tc={F49B51D2-7E47-47FA-9F79-BD96E6CA4992}</author>
    <author>tc={BB6E751E-01B5-4D26-A1B4-70FAFDF14244}</author>
    <author>tc={3DA655A1-1A24-4034-8E8C-4BA9CFEA3E7C}</author>
    <author>tc={6BD0E93B-02E1-4F27-9DC3-7263EBDE5FB5}</author>
    <author>tc={C6A2C418-5327-4070-B187-E3AD0D0368A2}</author>
    <author>tc={9E7567E5-BA8B-49DA-8DBB-0677A9D6EF9F}</author>
    <author>tc={84824B52-48B6-4B76-AAA7-842ADF3A2392}</author>
    <author>tc={7D1CDF76-4485-4F25-81CD-9D556C5035FC}</author>
    <author>tc={A0DD78D3-98E2-4A3E-934B-E95DCE0FF5A4}</author>
    <author>tc={45E8AB6B-FC64-4BB6-87D5-1D235EDA934D}</author>
    <author>tc={4F0B9D8E-52CD-4253-B210-580AFA46CEFD}</author>
    <author>tc={C172B2F7-F1B8-4A6C-9BF5-D570A4C512DD}</author>
    <author>tc={E4F7CC8E-3636-401C-92B1-146B7B493E69}</author>
    <author>tc={D460E028-9737-4BA6-A764-50B7E4F91AB1}</author>
    <author>tc={92B87367-CC10-42F5-A436-52C440050570}</author>
    <author>tc={BAF78052-F7D3-42F7-A9A1-330B6542DB22}</author>
    <author>tc={66EFC39B-0751-46FA-B52E-A0909569F0FA}</author>
    <author>usuario</author>
    <author>tc={51E5129E-3A12-4461-BA40-B08865B77D33}</author>
    <author>tc={33DBAE76-730B-40AC-87C2-7A00C77BFD90}</author>
    <author>tc={17450BC8-A672-45B7-BBB4-A1263D88886E}</author>
    <author>tc={A6E7680A-A921-4CFF-976A-8165868DE627}</author>
    <author>tc={8603BF5E-0B1C-48B3-980B-6C4D134489E7}</author>
    <author>tc={1AFBD320-AF00-400E-9D25-2862FB5110E3}</author>
    <author>tc={19AF7061-D7E4-40EA-B7B4-68E32729BB2C}</author>
    <author>tc={E07DA2E9-7221-4FF6-8E3C-F1BA752BAE91}</author>
    <author>tc={059A7AD7-0CB7-4955-B647-616159C1F25B}</author>
    <author>tc={13BBB0A0-3C73-4135-93A7-FF328851B3CE}</author>
    <author>tc={348E4799-99EC-4C26-A341-51B3884306F7}</author>
    <author>tc={5A22FB7E-982C-45F9-9F09-E76052BEB75E}</author>
    <author>tc={AAB47778-8AF7-476D-B5EC-60AD8340C08B}</author>
    <author>tc={06210E84-3D16-42F6-9730-4CDC2F535479}</author>
    <author>tc={4CCFCBDD-6CED-4437-B92F-10A4D2C92BF5}</author>
  </authors>
  <commentList>
    <comment ref="R4" authorId="0" shapeId="0" xr:uid="{00000000-0006-0000-08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 (datos Almería?)</t>
      </text>
    </comment>
    <comment ref="F18" authorId="1" shapeId="0" xr:uid="{00000000-0006-0000-08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Mismas concentraciones que Q7 y Q8</t>
      </text>
    </comment>
    <comment ref="J18" authorId="2" shapeId="0" xr:uid="{00000000-0006-0000-08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Concentraciones igual que la purga (para sacar los flujos másicos)</t>
      </text>
    </comment>
    <comment ref="Q18" authorId="3" shapeId="0" xr:uid="{00000000-0006-0000-0800-00000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U18" authorId="4" shapeId="0" xr:uid="{00000000-0006-0000-08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G20" authorId="5" shapeId="0" xr:uid="{00000000-0006-0000-0800-000006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La entrada al reactor tiene que ser una dilución del purín del 10%</t>
      </text>
    </comment>
    <comment ref="D22" authorId="6" shapeId="0" xr:uid="{00000000-0006-0000-0800-000007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al total sólo los sólidos</t>
      </text>
    </comment>
    <comment ref="R24" authorId="7" shapeId="0" xr:uid="{00000000-0006-0000-0800-000008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Q26" authorId="8" shapeId="0" xr:uid="{00000000-0006-0000-0800-000009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V27" authorId="9" shapeId="0" xr:uid="{00000000-0006-0000-0800-00000A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Area calculado según Excel Rubén</t>
      </text>
    </comment>
    <comment ref="L28" authorId="10" shapeId="0" xr:uid="{00000000-0006-0000-0800-00000B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Suma del TOC de la alga y lo que no se ha eliminado en el sistema.
Se hace igual para el TN y el TP</t>
      </text>
    </comment>
    <comment ref="U30" authorId="11" shapeId="0" xr:uid="{00000000-0006-0000-0800-00000C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H32" authorId="12" shapeId="0" xr:uid="{00000000-0006-0000-0800-00000D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Pérdidas del 10% (buscar referencia de reactor que mida eso)</t>
      </text>
    </comment>
    <comment ref="J33" authorId="13" shapeId="0" xr:uid="{00000000-0006-0000-0800-00000E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obtenido del Ecxel de Ruben y confirmado por Silvia 10/10/22</t>
      </text>
    </comment>
    <comment ref="N35" authorId="14" shapeId="0" xr:uid="{00000000-0006-0000-0800-00000F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Añadir fosfato hasta concentración 20g/l</t>
      </text>
    </comment>
    <comment ref="Q35" authorId="15" shapeId="0" xr:uid="{00000000-0006-0000-0800-00001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U35" authorId="16" shapeId="0" xr:uid="{00000000-0006-0000-0800-00001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R39" authorId="17" shapeId="0" xr:uid="{00000000-0006-0000-0800-00001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J68" authorId="18" shapeId="0" xr:uid="{00000000-0006-0000-0800-00001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Meter aquí las bombas</t>
      </text>
    </comment>
    <comment ref="B74" authorId="19" shapeId="0" xr:uid="{00000000-0006-0000-0800-00001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Fasaie 2018</t>
      </text>
    </comment>
    <comment ref="K88" authorId="20" shapeId="0" xr:uid="{00000000-0006-0000-0800-00001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Valores medios</t>
      </text>
    </comment>
    <comment ref="D90" authorId="21" shapeId="0" xr:uid="{00000000-0006-0000-0800-000016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Llamas 2021</t>
        </r>
      </text>
    </comment>
    <comment ref="D91" authorId="22" shapeId="0" xr:uid="{00000000-0006-0000-0800-000017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Victor</t>
      </text>
    </comment>
    <comment ref="D92" authorId="21" shapeId="0" xr:uid="{00000000-0006-0000-0800-000018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 Llamas 2021</t>
        </r>
      </text>
    </comment>
    <comment ref="D94" authorId="21" shapeId="0" xr:uid="{00000000-0006-0000-0800-000019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Referencia (Eurostat o REE)</t>
        </r>
      </text>
    </comment>
    <comment ref="D95" authorId="21" shapeId="0" xr:uid="{00000000-0006-0000-0800-00001A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Romero García 2022</t>
        </r>
      </text>
    </comment>
    <comment ref="D98" authorId="21" shapeId="0" xr:uid="{00000000-0006-0000-0800-00001B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Victor 2022</t>
        </r>
      </text>
    </comment>
    <comment ref="D103" authorId="23" shapeId="0" xr:uid="{00000000-0006-0000-0800-00001C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</t>
      </text>
    </comment>
    <comment ref="D115" authorId="24" shapeId="0" xr:uid="{00000000-0006-0000-0800-00001D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Mirar cuanto sube la temperatura</t>
      </text>
    </comment>
    <comment ref="D116" authorId="25" shapeId="0" xr:uid="{00000000-0006-0000-0800-00001E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https://www.ingenierosindustriales.com/calculo-del-caudal-de-agua-en-instalaciones-de-calefaccion-o-climatizacion/</t>
      </text>
    </comment>
    <comment ref="D117" authorId="26" shapeId="0" xr:uid="{00000000-0006-0000-0800-00001F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 (memoria Greenfarm)</t>
      </text>
    </comment>
    <comment ref="L119" authorId="27" shapeId="0" xr:uid="{00000000-0006-0000-08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https://www.kochseparation.com/technologies/membrane-filtration/puron-mbr-and-pulsion-mbr-modules/#datasheets</t>
      </text>
    </comment>
    <comment ref="B131" authorId="28" shapeId="0" xr:uid="{00000000-0006-0000-0800-00002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Sacado de mi Excel del TFG</t>
      </text>
    </comment>
    <comment ref="K153" authorId="29" shapeId="0" xr:uid="{00000000-0006-0000-0800-00002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Fertiberia 
https://fercampo.com/catalogo-de-productos/nutricion-vegetal/fertilizantes-liquidos/</t>
      </text>
    </comment>
    <comment ref="M155" authorId="30" shapeId="0" xr:uid="{00000000-0006-0000-0800-00002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https://www.fertiberia.com/es/agricultura/productos/categorias/foliar/especiales/energrow-green-mo/</t>
      </text>
    </comment>
    <comment ref="O155" authorId="31" shapeId="0" xr:uid="{00000000-0006-0000-0800-00002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https://www.fertiberia.com/es/agricultura/productos/categorias/foliar/complejos/glugel-12-24-12/</t>
      </text>
    </comment>
    <comment ref="Q155" authorId="32" shapeId="0" xr:uid="{00000000-0006-0000-0800-00002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M159" authorId="33" shapeId="0" xr:uid="{00000000-0006-0000-0800-000026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 año</t>
      </text>
    </comment>
    <comment ref="O159" authorId="34" shapeId="0" xr:uid="{00000000-0006-0000-0800-000027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Q159" authorId="35" shapeId="0" xr:uid="{00000000-0006-0000-0800-000028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D194" authorId="36" shapeId="0" xr:uid="{00000000-0006-0000-0800-000029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Altura depósito purin = 3m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tc={8ED2FEFC-5760-4EF7-8A97-6E31CFECA9CB}</author>
    <author>tc={B2D96E57-3EE8-4F5B-84FD-1BA5EF0308BA}</author>
    <author>tc={19684D77-7CDA-47CF-996A-FD8BC2CEEE79}</author>
    <author>tc={E382F112-5759-44B0-98DF-97792ABA856C}</author>
    <author>tc={14090658-6107-434D-9ED4-DBBD831111E4}</author>
    <author>tc={882B536A-D4BE-4D77-8591-954A1142A367}</author>
    <author>tc={2D9AA47A-20FF-4E1C-873A-4845A6B0E1AB}</author>
    <author>tc={EBF0DC7E-3189-485F-B719-38852EA6E8C1}</author>
    <author>tc={2738615B-35BB-4F59-BA33-96A0DBF1754F}</author>
    <author>tc={8CAABB89-E493-4565-9629-C4F8767DFEA3}</author>
    <author>tc={5686E5D5-CC69-47E1-9833-18106121C397}</author>
    <author>tc={AB6C4891-1AAC-4C7B-B3AD-1FDA07B2C5DB}</author>
    <author>tc={899CD756-FCD1-4B89-BADA-08B1A942E31A}</author>
    <author>tc={A939F6D0-E213-4C19-AEAE-9A0ED3F4AC79}</author>
    <author>tc={E722ACE6-0247-4D2B-9DD7-3E6B8CD16230}</author>
    <author>tc={7AD2D129-9A74-4DA0-A41A-7D4A51325FED}</author>
    <author>tc={5C2D327F-8E67-4B1C-A3F2-B3A09DA0DC13}</author>
    <author>tc={31C5A14D-CCE9-4EB4-9209-5B4A8758FAEE}</author>
    <author>tc={93262834-479C-4033-8A0D-65FEEA947C47}</author>
    <author>tc={961E3B39-AD28-4F72-8DB0-2AE877A64110}</author>
    <author>tc={48640FC4-D46C-4994-AC97-DD718DC639C4}</author>
    <author>tc={129B4D6E-E76A-4218-A735-B45D30D02105}</author>
    <author>tc={9409117F-A828-4E52-9EAF-F7953039BDA0}</author>
    <author>tc={8A1106F0-780D-42F3-97F2-180EEB5C4CB8}</author>
    <author>tc={574E6A89-C796-410A-85B9-52DC7ABD7F39}</author>
    <author>usuario</author>
    <author>tc={6145D7CE-19AB-4034-9334-ACF18C56CCE7}</author>
    <author>tc={BCAFD0E9-16A0-44BD-9E26-4DB80EA4D10F}</author>
    <author>tc={5E036037-E081-43D6-A851-81D20DD21BCC}</author>
    <author>tc={40C947D6-A5A2-4760-AF31-168BB82CA088}</author>
    <author>tc={D1C96050-8F4A-4A09-ACFC-F55C775E8874}</author>
    <author>tc={933AB6FA-AF01-4AD8-90EC-A5FB381FD28A}</author>
    <author>tc={B624CEC3-5C60-48FA-AC91-8ABE72A5C0D5}</author>
    <author>tc={90C61C9D-FFA4-4ED9-90B7-8CA4A59625D6}</author>
    <author>tc={86959E27-C718-4C12-9C85-779F926CB6E1}</author>
    <author>tc={CA1A6A91-9C08-4B48-8579-644B7AD06306}</author>
    <author>tc={91AFB94B-5751-4082-9E37-8F6F7B053F0B}</author>
    <author>tc={2418B130-BAC3-4A67-88E9-4430A8356A09}</author>
    <author>tc={2CAAD1B7-04CF-4C55-BEE8-B1057B1A8C1F}</author>
  </authors>
  <commentList>
    <comment ref="N5" authorId="0" shapeId="0" xr:uid="{8ED2FEFC-5760-4EF7-8A97-6E31CFECA9CB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 (datos Almería?)</t>
      </text>
    </comment>
    <comment ref="AB11" authorId="1" shapeId="0" xr:uid="{B2D96E57-3EE8-4F5B-84FD-1BA5EF0308BA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https://ceta.zaragoza.unam.mx/wp-content/recursosi/calculadoras/constantes-de-antonio/constantes-de-antonio.htm</t>
      </text>
    </comment>
    <comment ref="F26" authorId="2" shapeId="0" xr:uid="{19684D77-7CDA-47CF-996A-FD8BC2CEEE79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Mismas concentraciones que Q7 y Q8</t>
      </text>
    </comment>
    <comment ref="J26" authorId="3" shapeId="0" xr:uid="{E382F112-5759-44B0-98DF-97792ABA856C}">
      <text>
        <t>[Threaded comment]
Your version of Excel allows you to read this threaded comment; however, any edits to it will get removed if the file is opened in a newer version of Excel. Learn more: https://go.microsoft.com/fwlink/?linkid=870924
Comment:
    Concentraciones igual que la purga (para sacar los flujos másicos)</t>
      </text>
    </comment>
    <comment ref="X26" authorId="4" shapeId="0" xr:uid="{14090658-6107-434D-9ED4-DBBD831111E4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26" authorId="5" shapeId="0" xr:uid="{882B536A-D4BE-4D77-8591-954A1142A367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O27" authorId="6" shapeId="0" xr:uid="{2D9AA47A-20FF-4E1C-873A-4845A6B0E1A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ha añadido acetona</t>
      </text>
    </comment>
    <comment ref="G28" authorId="7" shapeId="0" xr:uid="{EBF0DC7E-3189-485F-B719-38852EA6E8C1}">
      <text>
        <t>[Threaded comment]
Your version of Excel allows you to read this threaded comment; however, any edits to it will get removed if the file is opened in a newer version of Excel. Learn more: https://go.microsoft.com/fwlink/?linkid=870924
Comment:
    La entrada al reactor tiene que ser una dilución del purín del 10%</t>
      </text>
    </comment>
    <comment ref="D30" authorId="8" shapeId="0" xr:uid="{2738615B-35BB-4F59-BA33-96A0DBF1754F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al total sólo los sólidos</t>
      </text>
    </comment>
    <comment ref="Y32" authorId="9" shapeId="0" xr:uid="{8CAABB89-E493-4565-9629-C4F8767DFEA3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X34" authorId="10" shapeId="0" xr:uid="{5686E5D5-CC69-47E1-9833-18106121C397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35" authorId="11" shapeId="0" xr:uid="{AB6C4891-1AAC-4C7B-B3AD-1FDA07B2C5DB}">
      <text>
        <t>[Threaded comment]
Your version of Excel allows you to read this threaded comment; however, any edits to it will get removed if the file is opened in a newer version of Excel. Learn more: https://go.microsoft.com/fwlink/?linkid=870924
Comment:
    Area calculado según Excel Rubén</t>
      </text>
    </comment>
    <comment ref="L36" authorId="12" shapeId="0" xr:uid="{899CD756-FCD1-4B89-BADA-08B1A942E31A}">
      <text>
        <t>[Threaded comment]
Your version of Excel allows you to read this threaded comment; however, any edits to it will get removed if the file is opened in a newer version of Excel. Learn more: https://go.microsoft.com/fwlink/?linkid=870924
Comment:
    Suma del TOC de la alga y lo que no se ha eliminado en el sistema.
Se hace igual para el TN y el TP</t>
      </text>
    </comment>
    <comment ref="AB38" authorId="13" shapeId="0" xr:uid="{A939F6D0-E213-4C19-AEAE-9A0ED3F4AC79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H40" authorId="14" shapeId="0" xr:uid="{E722ACE6-0247-4D2B-9DD7-3E6B8CD16230}">
      <text>
        <t>[Threaded comment]
Your version of Excel allows you to read this threaded comment; however, any edits to it will get removed if the file is opened in a newer version of Excel. Learn more: https://go.microsoft.com/fwlink/?linkid=870924
Comment:
    Pérdidas del 10% (buscar referencia de reactor que mida eso)</t>
      </text>
    </comment>
    <comment ref="J41" authorId="15" shapeId="0" xr:uid="{7AD2D129-9A74-4DA0-A41A-7D4A51325FED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obtenido del Ecxel de Ruben y confirmado por Silvia 10/10/22</t>
      </text>
    </comment>
    <comment ref="X43" authorId="16" shapeId="0" xr:uid="{5C2D327F-8E67-4B1C-A3F2-B3A09DA0DC13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43" authorId="17" shapeId="0" xr:uid="{31C5A14D-CCE9-4EB4-9209-5B4A8758FAEE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Y47" authorId="18" shapeId="0" xr:uid="{93262834-479C-4033-8A0D-65FEEA947C47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AB48" authorId="19" shapeId="0" xr:uid="{961E3B39-AD28-4F72-8DB0-2AE877A6411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52" authorId="20" shapeId="0" xr:uid="{48640FC4-D46C-4994-AC97-DD718DC639C4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Y55" authorId="21" shapeId="0" xr:uid="{129B4D6E-E76A-4218-A735-B45D30D02105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 concentración que usamos nosotros</t>
      </text>
    </comment>
    <comment ref="J78" authorId="22" shapeId="0" xr:uid="{9409117F-A828-4E52-9EAF-F7953039BDA0}">
      <text>
        <t>[Threaded comment]
Your version of Excel allows you to read this threaded comment; however, any edits to it will get removed if the file is opened in a newer version of Excel. Learn more: https://go.microsoft.com/fwlink/?linkid=870924
Comment:
    Meter aquí las bombas</t>
      </text>
    </comment>
    <comment ref="K107" authorId="23" shapeId="0" xr:uid="{8A1106F0-780D-42F3-97F2-180EEB5C4CB8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Valores medios</t>
      </text>
    </comment>
    <comment ref="D110" authorId="24" shapeId="0" xr:uid="{574E6A89-C796-410A-85B9-52DC7ABD7F39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Victor</t>
      </text>
    </comment>
    <comment ref="D117" authorId="25" shapeId="0" xr:uid="{13D4461E-35B5-4D58-917F-D31BAC333E69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https://www.chemanalyst.com/Pricing-data/acetone-12</t>
        </r>
      </text>
    </comment>
    <comment ref="D118" authorId="26" shapeId="0" xr:uid="{6145D7CE-19AB-4034-9334-ACF18C56CCE7}">
      <text>
        <t>[Threaded comment]
Your version of Excel allows you to read this threaded comment; however, any edits to it will get removed if the file is opened in a newer version of Excel. Learn more: https://go.microsoft.com/fwlink/?linkid=870924
Comment:
    Perez 2021</t>
      </text>
    </comment>
    <comment ref="D138" authorId="27" shapeId="0" xr:uid="{BCAFD0E9-16A0-44BD-9E26-4DB80EA4D10F}">
      <text>
        <t>[Threaded comment]
Your version of Excel allows you to read this threaded comment; however, any edits to it will get removed if the file is opened in a newer version of Excel. Learn more: https://go.microsoft.com/fwlink/?linkid=870924
Comment:
    Mirar cuanto sube la temperatura</t>
      </text>
    </comment>
    <comment ref="L138" authorId="28" shapeId="0" xr:uid="{5E036037-E081-43D6-A851-81D20DD21BC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https://www.kochseparation.com/technologies/membrane-filtration/puron-mbr-and-pulsion-mbr-modules/#datasheets</t>
      </text>
    </comment>
    <comment ref="D139" authorId="29" shapeId="0" xr:uid="{40C947D6-A5A2-4760-AF31-168BB82CA088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https://www.ingenierosindustriales.com/calculo-del-caudal-de-agua-en-instalaciones-de-calefaccion-o-climatizacion/</t>
      </text>
    </comment>
    <comment ref="D142" authorId="30" shapeId="0" xr:uid="{D1C96050-8F4A-4A09-ACFC-F55C775E8874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 (memoria Greenfarm)</t>
      </text>
    </comment>
    <comment ref="K174" authorId="31" shapeId="0" xr:uid="{933AB6FA-AF01-4AD8-90EC-A5FB381FD28A}">
      <text>
        <t>[Threaded comment]
Your version of Excel allows you to read this threaded comment; however, any edits to it will get removed if the file is opened in a newer version of Excel. Learn more: https://go.microsoft.com/fwlink/?linkid=870924
Comment:
    Fertiberia 
https://fercampo.com/catalogo-de-productos/nutricion-vegetal/fertilizantes-liquidos/</t>
      </text>
    </comment>
    <comment ref="M176" authorId="32" shapeId="0" xr:uid="{B624CEC3-5C60-48FA-AC91-8ABE72A5C0D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https://www.fertiberia.com/es/agricultura/productos/categorias/foliar/especiales/energrow-green-mo/</t>
      </text>
    </comment>
    <comment ref="O176" authorId="33" shapeId="0" xr:uid="{90C61C9D-FFA4-4ED9-90B7-8CA4A59625D6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https://www.fertiberia.com/es/agricultura/productos/categorias/foliar/complejos/glugel-12-24-12/</t>
      </text>
    </comment>
    <comment ref="Q176" authorId="34" shapeId="0" xr:uid="{86959E27-C718-4C12-9C85-779F926CB6E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M180" authorId="35" shapeId="0" xr:uid="{CA1A6A91-9C08-4B48-8579-644B7AD06306}">
      <text>
        <t>[Threaded comment]
Your version of Excel allows you to read this threaded comment; however, any edits to it will get removed if the file is opened in a newer version of Excel. Learn more: https://go.microsoft.com/fwlink/?linkid=870924
Comment:
    Al año</t>
      </text>
    </comment>
    <comment ref="O180" authorId="36" shapeId="0" xr:uid="{91AFB94B-5751-4082-9E37-8F6F7B053F0B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Q180" authorId="37" shapeId="0" xr:uid="{2418B130-BAC3-4A67-88E9-4430A8356A09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D220" authorId="38" shapeId="0" xr:uid="{2CAAD1B7-04CF-4C55-BEE8-B1057B1A8C1F}">
      <text>
        <t>[Threaded comment]
Your version of Excel allows you to read this threaded comment; however, any edits to it will get removed if the file is opened in a newer version of Excel. Learn more: https://go.microsoft.com/fwlink/?linkid=870924
Comment:
    Altura depósito purin = 3m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tc={2B481A56-28D6-472A-B36E-A3B8A53E0594}</author>
    <author>tc={8F3926F6-408F-44BC-B79D-8132643D3B36}</author>
    <author>tc={61258B56-90AD-4CEF-BB30-9D6A749C5675}</author>
    <author>tc={35135191-7CB3-4D95-A134-B5E752A2FD73}</author>
    <author>tc={D4E6B5FD-39B5-414E-BA86-D39949986880}</author>
    <author>tc={0CBF72CB-BDF1-4CE1-8A37-86D8AB233728}</author>
    <author>tc={A30AF6FE-BB9B-41C9-9B2B-41138F451C04}</author>
    <author>tc={C29C611D-6581-4BA0-9E72-76631DB32673}</author>
    <author>tc={C7EBB036-4362-4B1B-988A-5641ADF2C949}</author>
    <author>tc={9B710404-FC24-4C4F-8142-E63B066DF57E}</author>
    <author>tc={1CCCD4EF-716D-416D-A4B9-96CD97DA1021}</author>
    <author>tc={05DFAF1D-B00C-4A36-8224-625C6B9D5D23}</author>
    <author>tc={E64087C7-8458-4EDC-B1F3-F9197215A0DE}</author>
    <author>tc={9B8CB03E-9E31-45BC-988E-D7873DC1B89C}</author>
    <author>tc={E4853884-9899-4986-B131-46FA42F2D135}</author>
    <author>tc={41BF0F15-282F-49FA-B5A5-10FED4662839}</author>
    <author>tc={4E77625E-763B-4FC2-950F-F40D366F5F3A}</author>
    <author>tc={387882F6-F351-484D-9343-CAC840899B50}</author>
    <author>tc={49479B42-4D2F-49A0-A70D-4B5CA7168593}</author>
    <author>tc={C734F926-33DD-415B-9B6F-3C08C69F121C}</author>
    <author>tc={34A62BD3-8167-4B53-BF9C-71164115D222}</author>
    <author>tc={29E1886A-7A37-4133-B014-67303617FB01}</author>
    <author>tc={F99E1276-7E0D-4ABF-8B88-7C7B2088F7B0}</author>
    <author>tc={945456D9-5C75-4913-8591-AE8CAB182CA1}</author>
    <author>tc={46320A33-E50D-4BA6-8F37-1DCE52556698}</author>
    <author>usuario</author>
    <author>tc={930FF7B9-AA41-417B-B29C-CADCB0661C49}</author>
    <author>tc={482282F0-7EDD-409E-BFA4-3832B899C3B7}</author>
    <author>tc={BDE3E6A8-181E-4019-B4AD-CC33E991E409}</author>
    <author>tc={2207DDA3-39C6-4D5A-A262-A3F8F1DB42B1}</author>
    <author>tc={9C5A80E4-3844-46FB-9BE2-CBECAE347242}</author>
    <author>tc={45B62A81-88D7-43AA-A965-4D3D2D426379}</author>
    <author>tc={2A756F89-3739-486C-AF99-82EE0653D1E1}</author>
    <author>tc={8CA5C121-A70B-417B-8EAA-950D6421DC68}</author>
    <author>tc={8969FBE7-B659-4A36-8DDE-8B81EA00A761}</author>
    <author>tc={A7355971-83B9-41A9-B1E9-1A8C4E80FB77}</author>
    <author>tc={EBF471D1-57BF-4911-85E1-440864969B84}</author>
    <author>tc={17BD6978-F5E4-4396-86F6-3595B4E12912}</author>
    <author>tc={FB5D55D5-D8C2-4CFC-83D2-B273E79B2611}</author>
  </authors>
  <commentList>
    <comment ref="N5" authorId="0" shapeId="0" xr:uid="{2B481A56-28D6-472A-B36E-A3B8A53E0594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 (datos Almería?)</t>
      </text>
    </comment>
    <comment ref="AB11" authorId="1" shapeId="0" xr:uid="{8F3926F6-408F-44BC-B79D-8132643D3B36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https://ceta.zaragoza.unam.mx/wp-content/recursosi/calculadoras/constantes-de-antonio/constantes-de-antonio.htm</t>
      </text>
    </comment>
    <comment ref="F26" authorId="2" shapeId="0" xr:uid="{61258B56-90AD-4CEF-BB30-9D6A749C5675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Mismas concentraciones que Q7 y Q8</t>
      </text>
    </comment>
    <comment ref="J26" authorId="3" shapeId="0" xr:uid="{35135191-7CB3-4D95-A134-B5E752A2FD73}">
      <text>
        <t>[Threaded comment]
Your version of Excel allows you to read this threaded comment; however, any edits to it will get removed if the file is opened in a newer version of Excel. Learn more: https://go.microsoft.com/fwlink/?linkid=870924
Comment:
    Concentraciones igual que la purga (para sacar los flujos másicos)</t>
      </text>
    </comment>
    <comment ref="X26" authorId="4" shapeId="0" xr:uid="{D4E6B5FD-39B5-414E-BA86-D3994998688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26" authorId="5" shapeId="0" xr:uid="{0CBF72CB-BDF1-4CE1-8A37-86D8AB233728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O27" authorId="6" shapeId="0" xr:uid="{A30AF6FE-BB9B-41C9-9B2B-41138F451C04}">
      <text>
        <t>[Threaded comment]
Your version of Excel allows you to read this threaded comment; however, any edits to it will get removed if the file is opened in a newer version of Excel. Learn more: https://go.microsoft.com/fwlink/?linkid=870924
Comment:
    Se ha añadido acetona</t>
      </text>
    </comment>
    <comment ref="G28" authorId="7" shapeId="0" xr:uid="{C29C611D-6581-4BA0-9E72-76631DB32673}">
      <text>
        <t>[Threaded comment]
Your version of Excel allows you to read this threaded comment; however, any edits to it will get removed if the file is opened in a newer version of Excel. Learn more: https://go.microsoft.com/fwlink/?linkid=870924
Comment:
    La entrada al reactor tiene que ser una dilución del purín del 10%</t>
      </text>
    </comment>
    <comment ref="D30" authorId="8" shapeId="0" xr:uid="{C7EBB036-4362-4B1B-988A-5641ADF2C949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al total sólo los sólidos</t>
      </text>
    </comment>
    <comment ref="Y32" authorId="9" shapeId="0" xr:uid="{9B710404-FC24-4C4F-8142-E63B066DF57E}">
      <text>
        <t>[Threaded comment]
Your version of Excel allows you to read this threaded comment; however, any edits to it will get removed if the file is opened in a newer version of Excel. Learn more: https://go.microsoft.com/fwlink/?linkid=870924
Comment:
    Del Excel de Rubén</t>
      </text>
    </comment>
    <comment ref="X34" authorId="10" shapeId="0" xr:uid="{1CCCD4EF-716D-416D-A4B9-96CD97DA1021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35" authorId="11" shapeId="0" xr:uid="{05DFAF1D-B00C-4A36-8224-625C6B9D5D23}">
      <text>
        <t>[Threaded comment]
Your version of Excel allows you to read this threaded comment; however, any edits to it will get removed if the file is opened in a newer version of Excel. Learn more: https://go.microsoft.com/fwlink/?linkid=870924
Comment:
    Area calculado según Excel Rubén</t>
      </text>
    </comment>
    <comment ref="L36" authorId="12" shapeId="0" xr:uid="{E64087C7-8458-4EDC-B1F3-F9197215A0DE}">
      <text>
        <t>[Threaded comment]
Your version of Excel allows you to read this threaded comment; however, any edits to it will get removed if the file is opened in a newer version of Excel. Learn more: https://go.microsoft.com/fwlink/?linkid=870924
Comment:
    Suma del TOC de la alga y lo que no se ha eliminado en el sistema.
Se hace igual para el TN y el TP</t>
      </text>
    </comment>
    <comment ref="AB38" authorId="13" shapeId="0" xr:uid="{9B8CB03E-9E31-45BC-988E-D7873DC1B89C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H40" authorId="14" shapeId="0" xr:uid="{E4853884-9899-4986-B131-46FA42F2D135}">
      <text>
        <t>[Threaded comment]
Your version of Excel allows you to read this threaded comment; however, any edits to it will get removed if the file is opened in a newer version of Excel. Learn more: https://go.microsoft.com/fwlink/?linkid=870924
Comment:
    Pérdidas del 10% (buscar referencia de reactor que mida eso)</t>
      </text>
    </comment>
    <comment ref="J41" authorId="15" shapeId="0" xr:uid="{41BF0F15-282F-49FA-B5A5-10FED4662839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 obtenido del Ecxel de Ruben y confirmado por Silvia 10/10/22</t>
      </text>
    </comment>
    <comment ref="X43" authorId="16" shapeId="0" xr:uid="{4E77625E-763B-4FC2-950F-F40D366F5F3A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B43" authorId="17" shapeId="0" xr:uid="{387882F6-F351-484D-9343-CAC840899B50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Y47" authorId="18" shapeId="0" xr:uid="{49479B42-4D2F-49A0-A70D-4B5CA7168593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AB48" authorId="19" shapeId="0" xr:uid="{C734F926-33DD-415B-9B6F-3C08C69F121C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Javiera</t>
      </text>
    </comment>
    <comment ref="AC52" authorId="20" shapeId="0" xr:uid="{34A62BD3-8167-4B53-BF9C-71164115D222}">
      <text>
        <t>[Threaded comment]
Your version of Excel allows you to read this threaded comment; however, any edits to it will get removed if the file is opened in a newer version of Excel. Learn more: https://go.microsoft.com/fwlink/?linkid=870924
Comment:
    Excel Rubén</t>
      </text>
    </comment>
    <comment ref="Y55" authorId="21" shapeId="0" xr:uid="{29E1886A-7A37-4133-B014-67303617FB01}">
      <text>
        <t>[Threaded comment]
Your version of Excel allows you to read this threaded comment; however, any edits to it will get removed if the file is opened in a newer version of Excel. Learn more: https://go.microsoft.com/fwlink/?linkid=870924
Comment:
    Misma concentración que usamos nosotros</t>
      </text>
    </comment>
    <comment ref="J78" authorId="22" shapeId="0" xr:uid="{F99E1276-7E0D-4ABF-8B88-7C7B2088F7B0}">
      <text>
        <t>[Threaded comment]
Your version of Excel allows you to read this threaded comment; however, any edits to it will get removed if the file is opened in a newer version of Excel. Learn more: https://go.microsoft.com/fwlink/?linkid=870924
Comment:
    Meter aquí las bombas</t>
      </text>
    </comment>
    <comment ref="K107" authorId="23" shapeId="0" xr:uid="{945456D9-5C75-4913-8591-AE8CAB182CA1}">
      <text>
        <t>[Threaded comment]
Your version of Excel allows you to read this threaded comment; however, any edits to it will get removed if the file is opened in a newer version of Excel. Learn more: https://go.microsoft.com/fwlink/?linkid=870924
Comment:
    Valores medios</t>
      </text>
    </comment>
    <comment ref="D110" authorId="24" shapeId="0" xr:uid="{46320A33-E50D-4BA6-8F37-1DCE52556698}">
      <text>
        <t>[Threaded comment]
Your version of Excel allows you to read this threaded comment; however, any edits to it will get removed if the file is opened in a newer version of Excel. Learn more: https://go.microsoft.com/fwlink/?linkid=870924
Comment:
    Artículo Victor</t>
      </text>
    </comment>
    <comment ref="D117" authorId="25" shapeId="0" xr:uid="{E22B86C0-D170-4B3E-8A20-9FB1C4CA78D8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https://www.chemanalyst.com/Pricing-data/acetone-12</t>
        </r>
      </text>
    </comment>
    <comment ref="D118" authorId="26" shapeId="0" xr:uid="{930FF7B9-AA41-417B-B29C-CADCB0661C49}">
      <text>
        <t>[Threaded comment]
Your version of Excel allows you to read this threaded comment; however, any edits to it will get removed if the file is opened in a newer version of Excel. Learn more: https://go.microsoft.com/fwlink/?linkid=870924
Comment:
    Perez 2021</t>
      </text>
    </comment>
    <comment ref="D138" authorId="27" shapeId="0" xr:uid="{482282F0-7EDD-409E-BFA4-3832B899C3B7}">
      <text>
        <t>[Threaded comment]
Your version of Excel allows you to read this threaded comment; however, any edits to it will get removed if the file is opened in a newer version of Excel. Learn more: https://go.microsoft.com/fwlink/?linkid=870924
Comment:
    Mirar cuanto sube la temperatura</t>
      </text>
    </comment>
    <comment ref="L138" authorId="28" shapeId="0" xr:uid="{BDE3E6A8-181E-4019-B4AD-CC33E991E409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https://www.kochseparation.com/technologies/membrane-filtration/puron-mbr-and-pulsion-mbr-modules/#datasheets</t>
      </text>
    </comment>
    <comment ref="D139" authorId="29" shapeId="0" xr:uid="{2207DDA3-39C6-4D5A-A262-A3F8F1DB42B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https://www.ingenierosindustriales.com/calculo-del-caudal-de-agua-en-instalaciones-de-calefaccion-o-climatizacion/</t>
      </text>
    </comment>
    <comment ref="D142" authorId="30" shapeId="0" xr:uid="{9C5A80E4-3844-46FB-9BE2-CBECAE347242}">
      <text>
        <t>[Threaded comment]
Your version of Excel allows you to read this threaded comment; however, any edits to it will get removed if the file is opened in a newer version of Excel. Learn more: https://go.microsoft.com/fwlink/?linkid=870924
Comment:
    Dato de Grabriel (memoria Greenfarm)</t>
      </text>
    </comment>
    <comment ref="K174" authorId="31" shapeId="0" xr:uid="{45B62A81-88D7-43AA-A965-4D3D2D426379}">
      <text>
        <t>[Threaded comment]
Your version of Excel allows you to read this threaded comment; however, any edits to it will get removed if the file is opened in a newer version of Excel. Learn more: https://go.microsoft.com/fwlink/?linkid=870924
Comment:
    Fertiberia 
https://fercampo.com/catalogo-de-productos/nutricion-vegetal/fertilizantes-liquidos/</t>
      </text>
    </comment>
    <comment ref="M176" authorId="32" shapeId="0" xr:uid="{2A756F89-3739-486C-AF99-82EE0653D1E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https://www.fertiberia.com/es/agricultura/productos/categorias/foliar/especiales/energrow-green-mo/</t>
      </text>
    </comment>
    <comment ref="O176" authorId="33" shapeId="0" xr:uid="{8CA5C121-A70B-417B-8EAA-950D6421DC68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https://www.fertiberia.com/es/agricultura/productos/categorias/foliar/complejos/glugel-12-24-12/</t>
      </text>
    </comment>
    <comment ref="Q176" authorId="34" shapeId="0" xr:uid="{8969FBE7-B659-4A36-8DDE-8B81EA00A76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https://fercampo.com/catalogo-de-productos/nutricion-vegetal/fertilizantes-liquidos/</t>
      </text>
    </comment>
    <comment ref="M180" authorId="35" shapeId="0" xr:uid="{A7355971-83B9-41A9-B1E9-1A8C4E80FB77}">
      <text>
        <t>[Threaded comment]
Your version of Excel allows you to read this threaded comment; however, any edits to it will get removed if the file is opened in a newer version of Excel. Learn more: https://go.microsoft.com/fwlink/?linkid=870924
Comment:
    Al año</t>
      </text>
    </comment>
    <comment ref="O180" authorId="36" shapeId="0" xr:uid="{EBF471D1-57BF-4911-85E1-440864969B84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Q180" authorId="37" shapeId="0" xr:uid="{17BD6978-F5E4-4396-86F6-3595B4E12912}">
      <text>
        <t>[Threaded comment]
Your version of Excel allows you to read this threaded comment; however, any edits to it will get removed if the file is opened in a newer version of Excel. Learn more: https://go.microsoft.com/fwlink/?linkid=870924
Comment:
    Al mes son 5L/ha</t>
      </text>
    </comment>
    <comment ref="D220" authorId="38" shapeId="0" xr:uid="{FB5D55D5-D8C2-4CFC-83D2-B273E79B2611}">
      <text>
        <t>[Threaded comment]
Your version of Excel allows you to read this threaded comment; however, any edits to it will get removed if the file is opened in a newer version of Excel. Learn more: https://go.microsoft.com/fwlink/?linkid=870924
Comment:
    Altura depósito purin = 3m</t>
      </text>
    </comment>
  </commentList>
</comments>
</file>

<file path=xl/sharedStrings.xml><?xml version="1.0" encoding="utf-8"?>
<sst xmlns="http://schemas.openxmlformats.org/spreadsheetml/2006/main" count="7008" uniqueCount="696">
  <si>
    <t>Culture height (cm)</t>
  </si>
  <si>
    <t>Min</t>
  </si>
  <si>
    <t>Max</t>
  </si>
  <si>
    <t>Mean</t>
  </si>
  <si>
    <t>IC</t>
  </si>
  <si>
    <t>OMC</t>
  </si>
  <si>
    <t>Fixed parameters</t>
  </si>
  <si>
    <t>TAEC</t>
  </si>
  <si>
    <t>Electricity</t>
  </si>
  <si>
    <t>€/kWh</t>
  </si>
  <si>
    <r>
      <t>Unit cost (€/m</t>
    </r>
    <r>
      <rPr>
        <vertAlign val="superscript"/>
        <sz val="11"/>
        <color theme="0"/>
        <rFont val="Calibri"/>
        <family val="2"/>
        <scheme val="minor"/>
      </rPr>
      <t>3</t>
    </r>
    <r>
      <rPr>
        <sz val="11"/>
        <color theme="0"/>
        <rFont val="Calibri"/>
        <family val="2"/>
        <scheme val="minor"/>
      </rPr>
      <t>)</t>
    </r>
  </si>
  <si>
    <t>Sale</t>
  </si>
  <si>
    <t>-</t>
  </si>
  <si>
    <t>€/L</t>
  </si>
  <si>
    <t>Production</t>
  </si>
  <si>
    <r>
      <t>m</t>
    </r>
    <r>
      <rPr>
        <i/>
        <vertAlign val="superscript"/>
        <sz val="11"/>
        <color rgb="FF7F7F7F"/>
        <rFont val="Calibri"/>
        <family val="2"/>
        <scheme val="minor"/>
      </rPr>
      <t>3</t>
    </r>
    <r>
      <rPr>
        <i/>
        <sz val="11"/>
        <color rgb="FF7F7F7F"/>
        <rFont val="Calibri"/>
        <family val="2"/>
        <scheme val="minor"/>
      </rPr>
      <t>/año</t>
    </r>
  </si>
  <si>
    <t>i</t>
  </si>
  <si>
    <t>%</t>
  </si>
  <si>
    <t>[]</t>
  </si>
  <si>
    <t>g/L</t>
  </si>
  <si>
    <t>Evapor.</t>
  </si>
  <si>
    <r>
      <t>L/m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/d</t>
    </r>
  </si>
  <si>
    <t>PWW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</si>
  <si>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</t>
    </r>
  </si>
  <si>
    <t>Recircul</t>
  </si>
  <si>
    <t>Time</t>
  </si>
  <si>
    <t>d</t>
  </si>
  <si>
    <r>
      <t>PWW (m</t>
    </r>
    <r>
      <rPr>
        <b/>
        <vertAlign val="superscript"/>
        <sz val="11"/>
        <color theme="5" tint="-0.249977111117893"/>
        <rFont val="Calibri"/>
        <family val="2"/>
        <scheme val="minor"/>
      </rPr>
      <t>3</t>
    </r>
    <r>
      <rPr>
        <b/>
        <sz val="11"/>
        <color theme="5" tint="-0.249977111117893"/>
        <rFont val="Calibri"/>
        <family val="2"/>
        <scheme val="minor"/>
      </rPr>
      <t>/d)</t>
    </r>
  </si>
  <si>
    <t>Culture height</t>
  </si>
  <si>
    <t>Recirculation</t>
  </si>
  <si>
    <t>K</t>
  </si>
  <si>
    <t>Evaporation</t>
  </si>
  <si>
    <t>Worst case</t>
  </si>
  <si>
    <r>
      <t>€/m</t>
    </r>
    <r>
      <rPr>
        <vertAlign val="superscript"/>
        <sz val="11"/>
        <color theme="1"/>
        <rFont val="Calibri"/>
        <family val="2"/>
        <scheme val="minor"/>
      </rPr>
      <t>3</t>
    </r>
  </si>
  <si>
    <t>cm</t>
  </si>
  <si>
    <r>
      <t>Unit cost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</si>
  <si>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Height</t>
  </si>
  <si>
    <t>Best case</t>
  </si>
  <si>
    <t>Recirculation (%)</t>
  </si>
  <si>
    <t>Time (d)</t>
  </si>
  <si>
    <r>
      <t>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/d</t>
    </r>
  </si>
  <si>
    <t>Recirc.</t>
  </si>
  <si>
    <r>
      <t>Evaporation (L/m</t>
    </r>
    <r>
      <rPr>
        <b/>
        <vertAlign val="superscript"/>
        <sz val="11"/>
        <color theme="5" tint="-0.249977111117893"/>
        <rFont val="Calibri"/>
        <family val="2"/>
        <scheme val="minor"/>
      </rPr>
      <t>2</t>
    </r>
    <r>
      <rPr>
        <b/>
        <sz val="11"/>
        <color theme="5" tint="-0.249977111117893"/>
        <rFont val="Calibri"/>
        <family val="2"/>
        <scheme val="minor"/>
      </rPr>
      <t>/d)</t>
    </r>
  </si>
  <si>
    <t>Coste unit.</t>
  </si>
  <si>
    <t>Producción</t>
  </si>
  <si>
    <t>CELDAS OCULTAS ARRIBA</t>
  </si>
  <si>
    <t>Heat</t>
  </si>
  <si>
    <t>Phosphate</t>
  </si>
  <si>
    <t>Enzymes</t>
  </si>
  <si>
    <r>
      <t>CO</t>
    </r>
    <r>
      <rPr>
        <vertAlign val="subscript"/>
        <sz val="11"/>
        <color theme="0"/>
        <rFont val="Calibri"/>
        <family val="2"/>
        <scheme val="minor"/>
      </rPr>
      <t>2</t>
    </r>
  </si>
  <si>
    <t>Electricity (€/kWh)</t>
  </si>
  <si>
    <t>Heat (€/kg)</t>
  </si>
  <si>
    <t>Phosphate (€/kg)</t>
  </si>
  <si>
    <t>Enzymes (€/kg)</t>
  </si>
  <si>
    <r>
      <t>CO</t>
    </r>
    <r>
      <rPr>
        <b/>
        <vertAlign val="subscript"/>
        <sz val="11"/>
        <color theme="5" tint="-0.249977111117893"/>
        <rFont val="Calibri"/>
        <family val="2"/>
        <scheme val="minor"/>
      </rPr>
      <t>2</t>
    </r>
    <r>
      <rPr>
        <b/>
        <sz val="11"/>
        <color theme="5" tint="-0.249977111117893"/>
        <rFont val="Calibri"/>
        <family val="2"/>
        <scheme val="minor"/>
      </rPr>
      <t xml:space="preserve"> (€/kg)</t>
    </r>
  </si>
  <si>
    <t>Altura fotobiorreactos (cm)</t>
  </si>
  <si>
    <t>Minimum</t>
  </si>
  <si>
    <t>Maximum</t>
  </si>
  <si>
    <t>Average</t>
  </si>
  <si>
    <t>Parámetros fijos</t>
  </si>
  <si>
    <t>Electricidad</t>
  </si>
  <si>
    <t>Biopesticida</t>
  </si>
  <si>
    <t>Venta</t>
  </si>
  <si>
    <t>Bioestimulante</t>
  </si>
  <si>
    <t>Purín</t>
  </si>
  <si>
    <t>Tiempo</t>
  </si>
  <si>
    <t>CAMBIAR</t>
  </si>
  <si>
    <t>Pesticida</t>
  </si>
  <si>
    <r>
      <t>Cantidad de purín (m</t>
    </r>
    <r>
      <rPr>
        <b/>
        <vertAlign val="superscript"/>
        <sz val="11"/>
        <color theme="5" tint="-0.249977111117893"/>
        <rFont val="Calibri"/>
        <family val="2"/>
        <scheme val="minor"/>
      </rPr>
      <t>3</t>
    </r>
    <r>
      <rPr>
        <b/>
        <sz val="11"/>
        <color theme="5" tint="-0.249977111117893"/>
        <rFont val="Calibri"/>
        <family val="2"/>
        <scheme val="minor"/>
      </rPr>
      <t>/d)</t>
    </r>
  </si>
  <si>
    <t>Estimulante</t>
  </si>
  <si>
    <t>Altura</t>
  </si>
  <si>
    <t>Recirculación (%)</t>
  </si>
  <si>
    <t>Tiempo (d)</t>
  </si>
  <si>
    <r>
      <t>Evaporación (L/m</t>
    </r>
    <r>
      <rPr>
        <b/>
        <vertAlign val="superscript"/>
        <sz val="11"/>
        <color theme="5" tint="-0.249977111117893"/>
        <rFont val="Calibri"/>
        <family val="2"/>
        <scheme val="minor"/>
      </rPr>
      <t>2</t>
    </r>
    <r>
      <rPr>
        <b/>
        <sz val="11"/>
        <color theme="5" tint="-0.249977111117893"/>
        <rFont val="Calibri"/>
        <family val="2"/>
        <scheme val="minor"/>
      </rPr>
      <t>/d)</t>
    </r>
  </si>
  <si>
    <t>Pesticide</t>
  </si>
  <si>
    <t>Stimulant</t>
  </si>
  <si>
    <t>Comparación escenarios TEC y capital fijo</t>
  </si>
  <si>
    <t>OK</t>
  </si>
  <si>
    <t>Microalgae cultivation</t>
  </si>
  <si>
    <t>Biomass harvesting</t>
  </si>
  <si>
    <t>Biomass pretreatment</t>
  </si>
  <si>
    <t>Biostimulant production</t>
  </si>
  <si>
    <t>Biopesticide production</t>
  </si>
  <si>
    <t>Fix capital</t>
  </si>
  <si>
    <t>Auxiliar</t>
  </si>
  <si>
    <t>Biostimulant producion with membrane</t>
  </si>
  <si>
    <t>Biostimulant producion with centrifuge</t>
  </si>
  <si>
    <t>Biostimulant and biopesticide producion with membrane</t>
  </si>
  <si>
    <t>Biostimulant and biopesticide producion with centrifuge</t>
  </si>
  <si>
    <t>TEC</t>
  </si>
  <si>
    <r>
      <t>TEC (€/kg</t>
    </r>
    <r>
      <rPr>
        <vertAlign val="subscript"/>
        <sz val="11"/>
        <color theme="1"/>
        <rFont val="Calibri"/>
        <family val="2"/>
        <scheme val="minor"/>
      </rPr>
      <t>biomass</t>
    </r>
    <r>
      <rPr>
        <sz val="11"/>
        <color theme="1"/>
        <rFont val="Calibri"/>
        <family val="2"/>
        <scheme val="minor"/>
      </rPr>
      <t>)</t>
    </r>
  </si>
  <si>
    <t>Scenario 1</t>
  </si>
  <si>
    <t>Scenario 2</t>
  </si>
  <si>
    <t>Scenario 3</t>
  </si>
  <si>
    <t>Scenario 4</t>
  </si>
  <si>
    <t>Comparación bioestimulante NPK 12-24-12</t>
  </si>
  <si>
    <t>Medium, air blower, CO2, photobioreactor, pump Q1, Q2 and Q6</t>
  </si>
  <si>
    <r>
      <t>Biostimulant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</si>
  <si>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Cost (€/ha·year)</t>
  </si>
  <si>
    <t>Requeriment (L/ha·year)</t>
  </si>
  <si>
    <t>Harvest tank, membrane/centrifuge, pump Q3and Q9</t>
  </si>
  <si>
    <t>Sonication, pump Q10</t>
  </si>
  <si>
    <t>Reactor, storga tank, pump Q11</t>
  </si>
  <si>
    <t>Reactor, storage tank, centrifuge, heat exchanger, flash, pump Q12, Q13, Q17</t>
  </si>
  <si>
    <t>Commercial</t>
  </si>
  <si>
    <t>C (%)</t>
  </si>
  <si>
    <t>N (%)</t>
  </si>
  <si>
    <t>P (%)</t>
  </si>
  <si>
    <t>Reduction (%)</t>
  </si>
  <si>
    <r>
      <t>Limit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</si>
  <si>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Electricity (max)</t>
  </si>
  <si>
    <t>Steam (max)</t>
  </si>
  <si>
    <t>PWW (min)</t>
  </si>
  <si>
    <r>
      <t>12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</t>
    </r>
  </si>
  <si>
    <r>
      <t>25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</t>
    </r>
  </si>
  <si>
    <t>Relación 1/2</t>
  </si>
  <si>
    <t>Relación 1/3</t>
  </si>
  <si>
    <t>Relación 1/4</t>
  </si>
  <si>
    <t>Relación 3/4</t>
  </si>
  <si>
    <t>Sensibilidad para conocer el valor máximo de PWW, electricidad y steam para llegar al mismo coste que el comercial</t>
  </si>
  <si>
    <t>Comparación bioestimulante NPK 12-4-12 (acumulado por bloques)</t>
  </si>
  <si>
    <r>
      <t>€/m</t>
    </r>
    <r>
      <rPr>
        <vertAlign val="superscript"/>
        <sz val="11"/>
        <color rgb="FFFF0000"/>
        <rFont val="Calibri"/>
        <family val="2"/>
        <scheme val="minor"/>
      </rPr>
      <t>3</t>
    </r>
  </si>
  <si>
    <t>Comparación biopesticida</t>
  </si>
  <si>
    <t>Biostimulant</t>
  </si>
  <si>
    <t>Biopesticide</t>
  </si>
  <si>
    <t>Total</t>
  </si>
  <si>
    <t>Comparación escenarios costes de operación y mantenimiento (€/año)</t>
  </si>
  <si>
    <t>Water</t>
  </si>
  <si>
    <t>CO</t>
  </si>
  <si>
    <t>Solvent</t>
  </si>
  <si>
    <t>Pumps</t>
  </si>
  <si>
    <t>Membrane</t>
  </si>
  <si>
    <t>Mixing</t>
  </si>
  <si>
    <t>Ultrasound</t>
  </si>
  <si>
    <t>Centrifuge</t>
  </si>
  <si>
    <t>Raw material</t>
  </si>
  <si>
    <t>Operation</t>
  </si>
  <si>
    <t>Análisis de sensibilidad</t>
  </si>
  <si>
    <r>
      <t>Scenario 1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</si>
  <si>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Scenario 2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</si>
  <si>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Scenario 3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</si>
  <si>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Scenario 4 (€/m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</si>
  <si>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Steam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</si>
  <si>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</si>
  <si>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r>
      <t>Scenario 1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/year)</t>
    </r>
  </si>
  <si>
    <r>
      <t>Scenario 2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/year)</t>
    </r>
  </si>
  <si>
    <r>
      <t>Scenario 3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/year)</t>
    </r>
  </si>
  <si>
    <r>
      <t>Scenario 4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/year)</t>
    </r>
  </si>
  <si>
    <t>Distribución TEC (%)</t>
  </si>
  <si>
    <t>Distribución materia prima (%)</t>
  </si>
  <si>
    <t>Distribución operación (%)</t>
  </si>
  <si>
    <t>Inputs (%)</t>
  </si>
  <si>
    <t>Acetone</t>
  </si>
  <si>
    <t>Power</t>
  </si>
  <si>
    <t>Comparación transporte en un año para 1 hectárea (€/ha·year)</t>
  </si>
  <si>
    <t>Camión</t>
  </si>
  <si>
    <t>Cost (€) 5 km</t>
  </si>
  <si>
    <t>Cost (€) 10 km</t>
  </si>
  <si>
    <t>Cost (€) 20 km</t>
  </si>
  <si>
    <t>Cost (€) 30 km</t>
  </si>
  <si>
    <t>Cost (€) 40 km</t>
  </si>
  <si>
    <t>Cost (€) 50 km</t>
  </si>
  <si>
    <t>Cost (€) 60 km</t>
  </si>
  <si>
    <t>Cost (€) 70 km</t>
  </si>
  <si>
    <t>Cost (€) 80 km</t>
  </si>
  <si>
    <t>Cost (€) 90 km</t>
  </si>
  <si>
    <t>Cost (€) 100 km</t>
  </si>
  <si>
    <t>Cost (€) 1100 km</t>
  </si>
  <si>
    <t>Cost (€) 120 km</t>
  </si>
  <si>
    <t>Cost (€) 130 km</t>
  </si>
  <si>
    <t>Cost (€) 140 km</t>
  </si>
  <si>
    <t>Cost (€) 150 km</t>
  </si>
  <si>
    <t>Cost (€) 200 km</t>
  </si>
  <si>
    <t>Cost (€) 250 km</t>
  </si>
  <si>
    <t>Cost (€) 300 km</t>
  </si>
  <si>
    <t>Cost (€) 350 km</t>
  </si>
  <si>
    <t>Cost (€) 400 km</t>
  </si>
  <si>
    <t>Cost (€) 450 km</t>
  </si>
  <si>
    <t>Cost (€) 500 km</t>
  </si>
  <si>
    <t>Cost (€) 550 km</t>
  </si>
  <si>
    <t>Cost (€) 600 km</t>
  </si>
  <si>
    <t>Cost (€) 650 km</t>
  </si>
  <si>
    <t>Cost (€) 700 km</t>
  </si>
  <si>
    <t>Cost (€) 750 km</t>
  </si>
  <si>
    <t>Cost (€) 800 km</t>
  </si>
  <si>
    <t>Cost (€) 850 km</t>
  </si>
  <si>
    <t>Cost (€) 900 km</t>
  </si>
  <si>
    <t>Cost (€) 950 km</t>
  </si>
  <si>
    <t>Cost (€) 1000 km</t>
  </si>
  <si>
    <t>1T</t>
  </si>
  <si>
    <t>2,5T</t>
  </si>
  <si>
    <t>5T</t>
  </si>
  <si>
    <t>10T</t>
  </si>
  <si>
    <t>20T</t>
  </si>
  <si>
    <t>Coste diésel (€/L)</t>
  </si>
  <si>
    <t>Costes de operación vehículo (€/h)</t>
  </si>
  <si>
    <t>Velocidad media camión (km/h)</t>
  </si>
  <si>
    <t>Consumo diésel (L/km)</t>
  </si>
  <si>
    <t>Coste transporte (€/km)</t>
  </si>
  <si>
    <t>Consumo combustible (L/km)</t>
  </si>
  <si>
    <t>30T</t>
  </si>
  <si>
    <t>Distancia (km)</t>
  </si>
  <si>
    <t>Tiempo (h)</t>
  </si>
  <si>
    <t>Ida y vuelta camión</t>
  </si>
  <si>
    <t>Total (h)</t>
  </si>
  <si>
    <t>Más 1 hora carga y descarga</t>
  </si>
  <si>
    <t>Coste OMC (€)</t>
  </si>
  <si>
    <t>Coste operación camión</t>
  </si>
  <si>
    <t>Coste diésel (€)</t>
  </si>
  <si>
    <t>Coste distancia camión 1 T</t>
  </si>
  <si>
    <t>Coste distancia camión 2,5 T</t>
  </si>
  <si>
    <t>Coste distancia camión 5 T</t>
  </si>
  <si>
    <t>Coste distancia camión 10 T</t>
  </si>
  <si>
    <t>Coste distancia camión 20 T</t>
  </si>
  <si>
    <t>Total (€)</t>
  </si>
  <si>
    <t>Camión 1T</t>
  </si>
  <si>
    <t>Camión 2,5 T</t>
  </si>
  <si>
    <t>Camión 5 T</t>
  </si>
  <si>
    <t>Camión 10T</t>
  </si>
  <si>
    <t>Camión 20T</t>
  </si>
  <si>
    <t>€/km</t>
  </si>
  <si>
    <r>
      <t>Volume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</si>
  <si>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Cost (€)</t>
  </si>
  <si>
    <t>Camión (T)</t>
  </si>
  <si>
    <t>Distance (km)</t>
  </si>
  <si>
    <t>[1-2]</t>
  </si>
  <si>
    <t>[1-3]</t>
  </si>
  <si>
    <t>T</t>
  </si>
  <si>
    <t>€</t>
  </si>
  <si>
    <t>A partir de 700 km, compensa centrífuga</t>
  </si>
  <si>
    <t>A partir de 900 km, compensa centrífuga</t>
  </si>
  <si>
    <t>https://www.sciencedirect.com/science/article/pii/S1385894710011654</t>
  </si>
  <si>
    <t>Jin - biofertilizantes con bajas concentraciones y por lo tanto problemas de transporte</t>
  </si>
  <si>
    <t>Metson - costes de operación</t>
  </si>
  <si>
    <r>
      <t xml:space="preserve">Compensa centrífuga a partir de </t>
    </r>
    <r>
      <rPr>
        <b/>
        <sz val="11"/>
        <color rgb="FFFF0000"/>
        <rFont val="Calibri"/>
        <family val="2"/>
        <scheme val="minor"/>
      </rPr>
      <t>550 km</t>
    </r>
    <r>
      <rPr>
        <sz val="11"/>
        <color theme="1"/>
        <rFont val="Calibri"/>
        <family val="2"/>
        <scheme val="minor"/>
      </rPr>
      <t xml:space="preserve"> (igualando las ecuaciones de 1 y 2)</t>
    </r>
  </si>
  <si>
    <r>
      <t xml:space="preserve">Compensa centrífuga a partir de </t>
    </r>
    <r>
      <rPr>
        <b/>
        <sz val="11"/>
        <color rgb="FFFF0000"/>
        <rFont val="Calibri"/>
        <family val="2"/>
        <scheme val="minor"/>
      </rPr>
      <t>695 km</t>
    </r>
    <r>
      <rPr>
        <sz val="11"/>
        <color theme="1"/>
        <rFont val="Calibri"/>
        <family val="2"/>
        <scheme val="minor"/>
      </rPr>
      <t xml:space="preserve"> (igualando las ecuaciones de 3 y 4)</t>
    </r>
  </si>
  <si>
    <r>
      <t xml:space="preserve">Para el escenario 1, compensa sobre el comercial a menos de </t>
    </r>
    <r>
      <rPr>
        <b/>
        <sz val="11"/>
        <color rgb="FFFF0000"/>
        <rFont val="Calibri"/>
        <family val="2"/>
        <scheme val="minor"/>
      </rPr>
      <t xml:space="preserve">300 km </t>
    </r>
    <r>
      <rPr>
        <sz val="11"/>
        <color theme="1"/>
        <rFont val="Calibri"/>
        <family val="2"/>
        <scheme val="minor"/>
      </rPr>
      <t>(igualando la ecuación al precio del comercial)</t>
    </r>
  </si>
  <si>
    <r>
      <t xml:space="preserve">Para el escenario 3, compensa sobre el comercial a menos de </t>
    </r>
    <r>
      <rPr>
        <b/>
        <sz val="11"/>
        <color rgb="FFFF0000"/>
        <rFont val="Calibri"/>
        <family val="2"/>
        <scheme val="minor"/>
      </rPr>
      <t xml:space="preserve">318 km </t>
    </r>
    <r>
      <rPr>
        <sz val="11"/>
        <color theme="1"/>
        <rFont val="Calibri"/>
        <family val="2"/>
        <scheme val="minor"/>
      </rPr>
      <t>(igualando la ecuación al precio del comercial)</t>
    </r>
  </si>
  <si>
    <r>
      <t xml:space="preserve">Para el escenario 2, compensa sobre el comercial a menos de </t>
    </r>
    <r>
      <rPr>
        <b/>
        <sz val="11"/>
        <color rgb="FFFF0000"/>
        <rFont val="Calibri"/>
        <family val="2"/>
        <scheme val="minor"/>
      </rPr>
      <t xml:space="preserve">188 km </t>
    </r>
    <r>
      <rPr>
        <sz val="11"/>
        <color theme="1"/>
        <rFont val="Calibri"/>
        <family val="2"/>
        <scheme val="minor"/>
      </rPr>
      <t>(igualando la ecuación al precio del comercial)</t>
    </r>
  </si>
  <si>
    <r>
      <t xml:space="preserve">Para el escenario 4, compensa sobre el comercial a menos de </t>
    </r>
    <r>
      <rPr>
        <b/>
        <sz val="11"/>
        <color rgb="FFFF0000"/>
        <rFont val="Calibri"/>
        <family val="2"/>
        <scheme val="minor"/>
      </rPr>
      <t xml:space="preserve">147 km </t>
    </r>
    <r>
      <rPr>
        <sz val="11"/>
        <color theme="1"/>
        <rFont val="Calibri"/>
        <family val="2"/>
        <scheme val="minor"/>
      </rPr>
      <t>(igualando la ecuación al precio del comercial)</t>
    </r>
  </si>
  <si>
    <t>Rendimientos hidrólisis</t>
  </si>
  <si>
    <t>Proteínas (%)</t>
  </si>
  <si>
    <t>Carbohidratos (%)</t>
  </si>
  <si>
    <t>Lípidos (%)</t>
  </si>
  <si>
    <t>2 granjas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</si>
  <si>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</si>
  <si>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</si>
  <si>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</si>
  <si>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</si>
  <si>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</si>
  <si>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</si>
  <si>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</si>
  <si>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</si>
  <si>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</si>
  <si>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</si>
  <si>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</si>
  <si>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Parámetros purín fresco</t>
  </si>
  <si>
    <t>Parámetros fertilizante</t>
  </si>
  <si>
    <t>Purín fresco</t>
  </si>
  <si>
    <t>Agua fresca</t>
  </si>
  <si>
    <t>Recirculación</t>
  </si>
  <si>
    <t>Entrada reactor</t>
  </si>
  <si>
    <t>Evaporación</t>
  </si>
  <si>
    <t>Salida reactor</t>
  </si>
  <si>
    <t>Permeado</t>
  </si>
  <si>
    <t>Purga</t>
  </si>
  <si>
    <t>Retenido</t>
  </si>
  <si>
    <t>Salida US</t>
  </si>
  <si>
    <t>SST</t>
  </si>
  <si>
    <t>mg/L</t>
  </si>
  <si>
    <t>C</t>
  </si>
  <si>
    <t>Q</t>
  </si>
  <si>
    <t>TOC</t>
  </si>
  <si>
    <t>N</t>
  </si>
  <si>
    <t>kg/d</t>
  </si>
  <si>
    <t>TN</t>
  </si>
  <si>
    <t>P</t>
  </si>
  <si>
    <t>Agua</t>
  </si>
  <si>
    <t>Amonio</t>
  </si>
  <si>
    <t>TP</t>
  </si>
  <si>
    <t>Membrana</t>
  </si>
  <si>
    <t>Microalga</t>
  </si>
  <si>
    <t>Pérdidas</t>
  </si>
  <si>
    <t>Parámetros fotobiorreactor</t>
  </si>
  <si>
    <t>Cálculo fotobiorreactor</t>
  </si>
  <si>
    <t>Dilución purín</t>
  </si>
  <si>
    <t>Area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</si>
  <si>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</si>
  <si>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Volumen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</si>
  <si>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</si>
  <si>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Eliminaciones fotobiorreactor</t>
  </si>
  <si>
    <t>[Alga seca]</t>
  </si>
  <si>
    <t>Productividad</t>
  </si>
  <si>
    <t>Composición microalga</t>
  </si>
  <si>
    <t>Proteínas</t>
  </si>
  <si>
    <t>Flujo</t>
  </si>
  <si>
    <r>
      <t>L/m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/h</t>
    </r>
  </si>
  <si>
    <t>Carbohidratos</t>
  </si>
  <si>
    <t>[Retenido]</t>
  </si>
  <si>
    <t>Lípidos</t>
  </si>
  <si>
    <t>Factor []</t>
  </si>
  <si>
    <t>N-NH4 que se transforma en N-proteina</t>
  </si>
  <si>
    <t>Amonio: si no se ha transformado en P</t>
  </si>
  <si>
    <t>Comprobación del balance</t>
  </si>
  <si>
    <t>Entrada</t>
  </si>
  <si>
    <t>Salida</t>
  </si>
  <si>
    <t>Biomasa</t>
  </si>
  <si>
    <t>EQUIPOS</t>
  </si>
  <si>
    <t>Fotobiorreactor</t>
  </si>
  <si>
    <t>Ultrasonidos</t>
  </si>
  <si>
    <t>Reactor hidrólisis</t>
  </si>
  <si>
    <t>Tanque final</t>
  </si>
  <si>
    <t>Potencia</t>
  </si>
  <si>
    <t>W</t>
  </si>
  <si>
    <t>Enzima</t>
  </si>
  <si>
    <t>Caudal</t>
  </si>
  <si>
    <t>Tiempo uso</t>
  </si>
  <si>
    <t>h</t>
  </si>
  <si>
    <t>Total enzima</t>
  </si>
  <si>
    <t>m</t>
  </si>
  <si>
    <t>Modelo</t>
  </si>
  <si>
    <t>Energía</t>
  </si>
  <si>
    <t>MJ/kg</t>
  </si>
  <si>
    <t>Coste unitario</t>
  </si>
  <si>
    <t>€/kg</t>
  </si>
  <si>
    <t>Cantidad mín</t>
  </si>
  <si>
    <t>Energía total</t>
  </si>
  <si>
    <t>MJ/d</t>
  </si>
  <si>
    <t>Coste total</t>
  </si>
  <si>
    <t>€/d</t>
  </si>
  <si>
    <t>Cantidad nec.</t>
  </si>
  <si>
    <t>Fosfato</t>
  </si>
  <si>
    <t>ESTUDIO TECNOECONÓMICO</t>
  </si>
  <si>
    <t>Calentamiento reactor</t>
  </si>
  <si>
    <t>COSTES Y EQUIPOS</t>
  </si>
  <si>
    <t>Flow</t>
  </si>
  <si>
    <t>Necesidades calorificas</t>
  </si>
  <si>
    <t>Equipo</t>
  </si>
  <si>
    <t>Tamaño mínimo unidad</t>
  </si>
  <si>
    <t>Coste (€/uni)</t>
  </si>
  <si>
    <t>Capacidad</t>
  </si>
  <si>
    <t>Item</t>
  </si>
  <si>
    <t>Descripción</t>
  </si>
  <si>
    <t>Unidades</t>
  </si>
  <si>
    <t>kJ/día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</si>
  <si>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</t>
    </r>
  </si>
  <si>
    <t>Unidad de preparación de medio</t>
  </si>
  <si>
    <t>T inicial</t>
  </si>
  <si>
    <t>ºC</t>
  </si>
  <si>
    <t>kW</t>
  </si>
  <si>
    <t>Compresor de aire</t>
  </si>
  <si>
    <t>T final</t>
  </si>
  <si>
    <t>kg/h</t>
  </si>
  <si>
    <r>
      <t>Unidad de suministro de CO</t>
    </r>
    <r>
      <rPr>
        <vertAlign val="subscript"/>
        <sz val="11"/>
        <color theme="1"/>
        <rFont val="Calibri"/>
        <family val="2"/>
        <scheme val="minor"/>
      </rPr>
      <t>2</t>
    </r>
  </si>
  <si>
    <t>Cp</t>
  </si>
  <si>
    <t>J/kg·ºC</t>
  </si>
  <si>
    <t>T2</t>
  </si>
  <si>
    <t>Tanque de almacenamiento para cosecha</t>
  </si>
  <si>
    <t>T1</t>
  </si>
  <si>
    <t>Sistema de membranas</t>
  </si>
  <si>
    <t>Sistema de ultrasonidos</t>
  </si>
  <si>
    <t>Flujo vapor necesario (LPS a 2 bar)</t>
  </si>
  <si>
    <t>Reactor de hidrólisis</t>
  </si>
  <si>
    <t>Tanque final de almacenamiento</t>
  </si>
  <si>
    <t>λ</t>
  </si>
  <si>
    <t>kJ/kg</t>
  </si>
  <si>
    <t>Bomba corriente 1</t>
  </si>
  <si>
    <t>mf</t>
  </si>
  <si>
    <t>kg/s</t>
  </si>
  <si>
    <t>Bomba corriente 2</t>
  </si>
  <si>
    <t>kg/día</t>
  </si>
  <si>
    <t>Bomba corriente 3</t>
  </si>
  <si>
    <t>Bomba corriente 6</t>
  </si>
  <si>
    <t>Bomba corriente 9</t>
  </si>
  <si>
    <t>Bomba corriente 10</t>
  </si>
  <si>
    <t>Bomba corriente 11</t>
  </si>
  <si>
    <t>Factor exponencial</t>
  </si>
  <si>
    <t>Tasa inflación EE.UU (2014 - 2022)</t>
  </si>
  <si>
    <t>CAPITAL FIJO</t>
  </si>
  <si>
    <t>Tasa inflación España (2014 - 2022)</t>
  </si>
  <si>
    <t>Factor</t>
  </si>
  <si>
    <t>Coste (€)</t>
  </si>
  <si>
    <t>Coste total de equipos</t>
  </si>
  <si>
    <t>COSTES RELEVANTES</t>
  </si>
  <si>
    <t>Horas</t>
  </si>
  <si>
    <t>Días</t>
  </si>
  <si>
    <t>Costes de instalación</t>
  </si>
  <si>
    <t>Instrumentación y control</t>
  </si>
  <si>
    <t>Tubería</t>
  </si>
  <si>
    <t>Sistemas eléctricos</t>
  </si>
  <si>
    <t>Fertilizantes</t>
  </si>
  <si>
    <t>Edificios</t>
  </si>
  <si>
    <t>Mejoras de terreno</t>
  </si>
  <si>
    <t>Enzimas</t>
  </si>
  <si>
    <t>Servicios</t>
  </si>
  <si>
    <t>Agua enfriamiento</t>
  </si>
  <si>
    <t>Terreno</t>
  </si>
  <si>
    <t>Ingeniería y supervisión</t>
  </si>
  <si>
    <t>LPS 2 bar</t>
  </si>
  <si>
    <t>Gastos de construcción</t>
  </si>
  <si>
    <t>CONSUMOS DE ENERGÍA</t>
  </si>
  <si>
    <t>Contratista</t>
  </si>
  <si>
    <t>Mezclado thin-layer</t>
  </si>
  <si>
    <r>
      <t>W/m</t>
    </r>
    <r>
      <rPr>
        <vertAlign val="superscript"/>
        <sz val="11"/>
        <color theme="1"/>
        <rFont val="Calibri"/>
        <family val="2"/>
        <scheme val="minor"/>
      </rPr>
      <t>3</t>
    </r>
  </si>
  <si>
    <t>Contingencia</t>
  </si>
  <si>
    <t>Energía TL</t>
  </si>
  <si>
    <t>kWh/d</t>
  </si>
  <si>
    <t>Mezclado reactor</t>
  </si>
  <si>
    <r>
      <t>kW/m</t>
    </r>
    <r>
      <rPr>
        <vertAlign val="superscript"/>
        <sz val="11"/>
        <color theme="1"/>
        <rFont val="Calibri"/>
        <family val="2"/>
        <scheme val="minor"/>
      </rPr>
      <t>3</t>
    </r>
  </si>
  <si>
    <t>CAPITAL FIJO ANUAL</t>
  </si>
  <si>
    <t>Energía reactor</t>
  </si>
  <si>
    <t>kWh</t>
  </si>
  <si>
    <t>Tiempo de vida</t>
  </si>
  <si>
    <t>Total mezclado</t>
  </si>
  <si>
    <t>Depreciación</t>
  </si>
  <si>
    <t>US</t>
  </si>
  <si>
    <t>Impuesto sobre bienes (1% depreciación)</t>
  </si>
  <si>
    <t>Energía US</t>
  </si>
  <si>
    <t>Seguros (0,6% depreciación)</t>
  </si>
  <si>
    <t>Impuesto IVA (21% items 1-12/tiempo)</t>
  </si>
  <si>
    <t>MJ</t>
  </si>
  <si>
    <t>Calor reactor</t>
  </si>
  <si>
    <t>Mantener a 50ºC y subir desde 30ºC</t>
  </si>
  <si>
    <t>Flujo LPS 120ºC y 2 bar</t>
  </si>
  <si>
    <t>COSTES PRODUCCIÓN DIRECTOS</t>
  </si>
  <si>
    <t>OPEX (OMC)</t>
  </si>
  <si>
    <t>Distribución</t>
  </si>
  <si>
    <t>Utilities</t>
  </si>
  <si>
    <t>Labor</t>
  </si>
  <si>
    <t>Materia prima</t>
  </si>
  <si>
    <t>Cantidad anual</t>
  </si>
  <si>
    <t>€/unidad</t>
  </si>
  <si>
    <t>Capex</t>
  </si>
  <si>
    <t>Fertilizers</t>
  </si>
  <si>
    <t>Energy</t>
  </si>
  <si>
    <t>Calor US</t>
  </si>
  <si>
    <t>Fertilizantes (kg)</t>
  </si>
  <si>
    <t>Opex</t>
  </si>
  <si>
    <t>Heat water</t>
  </si>
  <si>
    <t>Supervision</t>
  </si>
  <si>
    <t>Flujo agua necesario US (enfriar)</t>
  </si>
  <si>
    <t>Sube de 20ºC a 35ºC (poco tiempo, no hace falta enfriar)</t>
  </si>
  <si>
    <r>
      <t>Agua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</si>
  <si>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Payroll charges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</si>
  <si>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(kg)</t>
    </r>
  </si>
  <si>
    <t>Maintenance</t>
  </si>
  <si>
    <r>
      <t>kWh/m</t>
    </r>
    <r>
      <rPr>
        <vertAlign val="superscript"/>
        <sz val="11"/>
        <color theme="1"/>
        <rFont val="Calibri"/>
        <family val="2"/>
        <scheme val="minor"/>
      </rPr>
      <t>3</t>
    </r>
  </si>
  <si>
    <t>Enzimas (kg)</t>
  </si>
  <si>
    <t>Operating supplies</t>
  </si>
  <si>
    <t>Membranas</t>
  </si>
  <si>
    <t>General plant overheads</t>
  </si>
  <si>
    <t>Fosfato (kg)</t>
  </si>
  <si>
    <t>Tax</t>
  </si>
  <si>
    <t>CASO ESCENARIO 1</t>
  </si>
  <si>
    <t>TOTAL</t>
  </si>
  <si>
    <t>Contingency</t>
  </si>
  <si>
    <t>Tiempo operación</t>
  </si>
  <si>
    <t>Marketing</t>
  </si>
  <si>
    <t>Tasa dilución</t>
  </si>
  <si>
    <t>1/d</t>
  </si>
  <si>
    <t>Energía mezcla (kWh)</t>
  </si>
  <si>
    <t>Energía ultrasonidos (kWh)</t>
  </si>
  <si>
    <t>Flujo aire</t>
  </si>
  <si>
    <t>v/v/min</t>
  </si>
  <si>
    <t>Energía bombas y membrana (kWh)</t>
  </si>
  <si>
    <t>M</t>
  </si>
  <si>
    <r>
      <t>Consumo CO</t>
    </r>
    <r>
      <rPr>
        <vertAlign val="subscript"/>
        <sz val="11"/>
        <color theme="1"/>
        <rFont val="Calibri"/>
        <family val="2"/>
        <scheme val="minor"/>
      </rPr>
      <t>2</t>
    </r>
  </si>
  <si>
    <t>kg/kg alga</t>
  </si>
  <si>
    <r>
      <t>Agua enfriamiento US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</si>
  <si>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B</t>
  </si>
  <si>
    <t>g/L/d</t>
  </si>
  <si>
    <t>Consumo enzimas</t>
  </si>
  <si>
    <t>Personal y otros</t>
  </si>
  <si>
    <t>Personal</t>
  </si>
  <si>
    <t>CONSUMOS BOMBAS (eficacia del 75%, ASPEN)</t>
  </si>
  <si>
    <t>Supervision (20% de personal)</t>
  </si>
  <si>
    <t>P (Q1)</t>
  </si>
  <si>
    <t>Cargos de nómica (25% de personal + supervisión)</t>
  </si>
  <si>
    <t>P (Q2)</t>
  </si>
  <si>
    <t>Mantenimiento (4% de equipos totales)</t>
  </si>
  <si>
    <t>P (Q3)</t>
  </si>
  <si>
    <t>Suministros de operación (0,4% de materia prima)</t>
  </si>
  <si>
    <t>P (Q6)</t>
  </si>
  <si>
    <t>Gastos generales planta (55% de personal + supervision + mantenimiento)</t>
  </si>
  <si>
    <t>P (Q9)</t>
  </si>
  <si>
    <t>Impuestos (21% de materia prima + utilities + mantenimiento + suministros)</t>
  </si>
  <si>
    <t>P (Q10)</t>
  </si>
  <si>
    <t>Contingencia (5% de materia prima + utilities)</t>
  </si>
  <si>
    <t>P (Q11)</t>
  </si>
  <si>
    <t>Marketing (5% de materia prima + utilities + supervisicion + cargos + mantenimiento + suministros + gastos gener.)</t>
  </si>
  <si>
    <t>8 h/d</t>
  </si>
  <si>
    <t>Para pasar de kW a kWh/d multiplicar por el tiempo uso h/d</t>
  </si>
  <si>
    <t>COSTES TOTALES</t>
  </si>
  <si>
    <t>Capital fijo anual</t>
  </si>
  <si>
    <t>COSTE DE PRODUCCIÓN TOTAL</t>
  </si>
  <si>
    <r>
      <t>COSTE UNITARIO PRODUCCIÓN BIOESTIMULANTE (€/m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>)</t>
    </r>
  </si>
  <si>
    <r>
      <t>COSTE TOTAL TRATAMIENTO PURÍN (€/m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>)</t>
    </r>
  </si>
  <si>
    <t>BALANCE ECONÓMICO</t>
  </si>
  <si>
    <t>PRODUCTO OBTENIDO (uso en 1 año y 1 hectárea)</t>
  </si>
  <si>
    <t>CAPEX</t>
  </si>
  <si>
    <t>K (IC)</t>
  </si>
  <si>
    <t>Energrow Green</t>
  </si>
  <si>
    <t>NPK 12-24-12</t>
  </si>
  <si>
    <t>NPK 12-4-8 MO</t>
  </si>
  <si>
    <t>OPEX</t>
  </si>
  <si>
    <t>OMC (€/year)</t>
  </si>
  <si>
    <t>j</t>
  </si>
  <si>
    <t>Uso (L/ha·year)</t>
  </si>
  <si>
    <t>€/año</t>
  </si>
  <si>
    <t>Coste unit (€/L)</t>
  </si>
  <si>
    <r>
      <t>€/m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</si>
  <si>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C (kg/ha)</t>
  </si>
  <si>
    <t>N (kg/ha)</t>
  </si>
  <si>
    <t>IC (€)</t>
  </si>
  <si>
    <t>Coste fijo total + coste fijo año - depreciación</t>
  </si>
  <si>
    <t>P (kg/ha)</t>
  </si>
  <si>
    <t>OMC (€/año)</t>
  </si>
  <si>
    <t>Costes de operación y mantenimiento</t>
  </si>
  <si>
    <t>Coste final (€/ha·year)</t>
  </si>
  <si>
    <t>i (%)</t>
  </si>
  <si>
    <t>interés</t>
  </si>
  <si>
    <t>j (años)</t>
  </si>
  <si>
    <t>vida útil</t>
  </si>
  <si>
    <t>C/N</t>
  </si>
  <si>
    <t>Dosis: fertiberia y fercampo</t>
  </si>
  <si>
    <t>Costes totales de producción</t>
  </si>
  <si>
    <t>Precio: fertiberia y enlace</t>
  </si>
  <si>
    <t>Coger NPK 12-24-12 con precio de 6,39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</si>
  <si>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/año</t>
    </r>
  </si>
  <si>
    <t>Buscar en cuanto se diluyen los 60 L de fertilizante</t>
  </si>
  <si>
    <t>FLUJO DE CAJA (Sobra lo del VAN=0)</t>
  </si>
  <si>
    <t>Año</t>
  </si>
  <si>
    <t>Inversión</t>
  </si>
  <si>
    <t>Ingresos</t>
  </si>
  <si>
    <t>Costes</t>
  </si>
  <si>
    <t>Flujo caja</t>
  </si>
  <si>
    <t>Numerador VAN</t>
  </si>
  <si>
    <t>VAN</t>
  </si>
  <si>
    <t>Cuanto cuesta (€)</t>
  </si>
  <si>
    <t>Cuanto vendo (€)</t>
  </si>
  <si>
    <t>kg/año</t>
  </si>
  <si>
    <t>Precio sacado para VAN = 0 y comparar con otros fertilizantes</t>
  </si>
  <si>
    <t>EQUIPOS ASPEN</t>
  </si>
  <si>
    <t>Bombas</t>
  </si>
  <si>
    <t>Corriente</t>
  </si>
  <si>
    <t>Flujo (kg/h)</t>
  </si>
  <si>
    <t>P entrada (bar)</t>
  </si>
  <si>
    <t>P salida (bar)</t>
  </si>
  <si>
    <t>T (ºC)</t>
  </si>
  <si>
    <t>H (m)</t>
  </si>
  <si>
    <r>
      <t>Act. Volume flow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/h)</t>
    </r>
  </si>
  <si>
    <t>Adiabatic efficiency</t>
  </si>
  <si>
    <t>Price (€) año 2021</t>
  </si>
  <si>
    <t>Energía (W)</t>
  </si>
  <si>
    <t>Reactor</t>
  </si>
  <si>
    <t>Caudal (kg/h)</t>
  </si>
  <si>
    <r>
      <t>Volumen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</si>
  <si>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Altura (m)</t>
  </si>
  <si>
    <t>Diámetro (m)</t>
  </si>
  <si>
    <t>Electricidad (kW)</t>
  </si>
  <si>
    <t>LPS (KJ/h)</t>
  </si>
  <si>
    <t>Prices (€)</t>
  </si>
  <si>
    <t>Electricidad (W)</t>
  </si>
  <si>
    <t>Fracción líquida</t>
  </si>
  <si>
    <t>Frac. Sólida</t>
  </si>
  <si>
    <t>Centrifuga</t>
  </si>
  <si>
    <t>Centrífuga</t>
  </si>
  <si>
    <t>Cantidad</t>
  </si>
  <si>
    <t>Tanque de almacenamiento</t>
  </si>
  <si>
    <t>LPS 2 Bar</t>
  </si>
  <si>
    <t>Sube de 20ºC a 30ºC (poco tiempo, no hace falta enfriar)</t>
  </si>
  <si>
    <t>Energía mezcla</t>
  </si>
  <si>
    <t>Energía ultrasonidos</t>
  </si>
  <si>
    <t>Energía bombas y centrífuga</t>
  </si>
  <si>
    <t>CONSUMOS BOMBAS</t>
  </si>
  <si>
    <t>2", Do=60,3, Di=38,16, P=0,00954, v=0,4587</t>
  </si>
  <si>
    <t>3", Do=88,9 Di=84,68, P=0,00281, v=0,4075</t>
  </si>
  <si>
    <t>1/4", Do=13,7 Di=10,4 P=0,058, v=0,49</t>
  </si>
  <si>
    <t>NPK 4-12-4</t>
  </si>
  <si>
    <t>https://blogs.worldbank.org/opendata/fertilizer-prices-expected-remain-higher-longer (2022)</t>
  </si>
  <si>
    <t>K (€)</t>
  </si>
  <si>
    <t>FLUJO DE CAJA</t>
  </si>
  <si>
    <t>Caudal entrada (kg/h)</t>
  </si>
  <si>
    <t>Caudal S (kg/h)</t>
  </si>
  <si>
    <t>Caudal L (kg/h)</t>
  </si>
  <si>
    <t>Destilación Flash</t>
  </si>
  <si>
    <t>Q13</t>
  </si>
  <si>
    <t>V (acetona) Q16</t>
  </si>
  <si>
    <t>L (pesticida) Q17</t>
  </si>
  <si>
    <t>kmol/d</t>
  </si>
  <si>
    <t>z</t>
  </si>
  <si>
    <t>y</t>
  </si>
  <si>
    <t>x</t>
  </si>
  <si>
    <t>Acetona</t>
  </si>
  <si>
    <t>Rendimientos extracción</t>
  </si>
  <si>
    <t>Constantes Antoine</t>
  </si>
  <si>
    <t>Richford</t>
  </si>
  <si>
    <t>A</t>
  </si>
  <si>
    <t>f (ρ)</t>
  </si>
  <si>
    <t>Total (%)</t>
  </si>
  <si>
    <t>Suponer que se va un 10% (correo Gabriel 22/10/22)</t>
  </si>
  <si>
    <t>P (atm)</t>
  </si>
  <si>
    <t>Constante equilibrio</t>
  </si>
  <si>
    <t>ρ</t>
  </si>
  <si>
    <t>Ps (mmHg)</t>
  </si>
  <si>
    <t>Ps (bar)</t>
  </si>
  <si>
    <t xml:space="preserve">Agua </t>
  </si>
  <si>
    <t>Ratio</t>
  </si>
  <si>
    <t>https://www.youtube.com/watch?v=iYtwmPxySNM</t>
  </si>
  <si>
    <t>https://www.youtube.com/watch?v=3csq7DyAsh0</t>
  </si>
  <si>
    <t>Q12</t>
  </si>
  <si>
    <t>Q14</t>
  </si>
  <si>
    <t>Q15</t>
  </si>
  <si>
    <t>Q16</t>
  </si>
  <si>
    <t>Q17</t>
  </si>
  <si>
    <t>Salida extracción</t>
  </si>
  <si>
    <t>Fase sólida</t>
  </si>
  <si>
    <t>Acet. Recuperada</t>
  </si>
  <si>
    <t>Biopesticida puro</t>
  </si>
  <si>
    <r>
      <t>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/d</t>
    </r>
  </si>
  <si>
    <t>N biomasa</t>
  </si>
  <si>
    <t>N líquido</t>
  </si>
  <si>
    <t>N líquido []</t>
  </si>
  <si>
    <r>
      <t>m</t>
    </r>
    <r>
      <rPr>
        <vertAlign val="superscript"/>
        <sz val="11"/>
        <color rgb="FF00B0F0"/>
        <rFont val="Calibri"/>
        <family val="2"/>
        <scheme val="minor"/>
      </rPr>
      <t>3</t>
    </r>
  </si>
  <si>
    <t>N Q13</t>
  </si>
  <si>
    <t>N Q14</t>
  </si>
  <si>
    <t>Extracción (acetona)</t>
  </si>
  <si>
    <t>Solvente</t>
  </si>
  <si>
    <t>Rendimiento</t>
  </si>
  <si>
    <r>
      <t>[SST]</t>
    </r>
    <r>
      <rPr>
        <vertAlign val="subscript"/>
        <sz val="11"/>
        <color theme="1"/>
        <rFont val="Calibri"/>
        <family val="2"/>
        <scheme val="minor"/>
      </rPr>
      <t>13</t>
    </r>
  </si>
  <si>
    <t>[SST] concentrado</t>
  </si>
  <si>
    <t>mg/mL</t>
  </si>
  <si>
    <t>[Hidrólisis]</t>
  </si>
  <si>
    <t>Densidad</t>
  </si>
  <si>
    <t>kg/m3</t>
  </si>
  <si>
    <t>Intercambiador de calor</t>
  </si>
  <si>
    <t>Reactor hidrólisis bioestimulante</t>
  </si>
  <si>
    <t>Tanque final biopesticida</t>
  </si>
  <si>
    <t>Destilador flash</t>
  </si>
  <si>
    <t>Tanque final bioestimulante</t>
  </si>
  <si>
    <t>Intercambiador</t>
  </si>
  <si>
    <t>min</t>
  </si>
  <si>
    <t>Reactor hidrólisis biopesticida</t>
  </si>
  <si>
    <t>Membrana 2</t>
  </si>
  <si>
    <t>Calentamiento hidrólisis</t>
  </si>
  <si>
    <t>Reactor extracción biopesticida</t>
  </si>
  <si>
    <t>Reactor de hidrólisis bioestimulante</t>
  </si>
  <si>
    <t>Tanque final de almacenamiento biopesticida</t>
  </si>
  <si>
    <t>Tanque final de almacenamiento bioestimulante</t>
  </si>
  <si>
    <t>Bomba corriente 12</t>
  </si>
  <si>
    <t>Bomba corriente 13</t>
  </si>
  <si>
    <t>Bomba corriente 15</t>
  </si>
  <si>
    <t>Bomba corriente 14</t>
  </si>
  <si>
    <t>Bomba corriente 17</t>
  </si>
  <si>
    <t>Intercambiador calor (placas)</t>
  </si>
  <si>
    <t>LPS</t>
  </si>
  <si>
    <t>Mezclado reactor pest.</t>
  </si>
  <si>
    <t>Energía reactor pest.</t>
  </si>
  <si>
    <t>Mezclado reactor esti.</t>
  </si>
  <si>
    <t>Energía reactor esti.</t>
  </si>
  <si>
    <t>Heating</t>
  </si>
  <si>
    <t>Calor intercambiador</t>
  </si>
  <si>
    <t>Subir hasta 96ºC desde 30ºC</t>
  </si>
  <si>
    <t>Flujo LPS</t>
  </si>
  <si>
    <t>CASO ESCENARIO 2</t>
  </si>
  <si>
    <t>Energía bombas</t>
  </si>
  <si>
    <t>Energía membranas</t>
  </si>
  <si>
    <t>Consumo acetona</t>
  </si>
  <si>
    <t>P (Q12)</t>
  </si>
  <si>
    <t>P (Q13)</t>
  </si>
  <si>
    <t>P (Q15)</t>
  </si>
  <si>
    <t>p (Q16)</t>
  </si>
  <si>
    <t>P (Q17)</t>
  </si>
  <si>
    <r>
      <t>COSTE UNITARIO PRODUCCIÓN BIOPESTICIDA (€/m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>)</t>
    </r>
  </si>
  <si>
    <t>TAEC estimulante (€/año)</t>
  </si>
  <si>
    <t>TAEC pesticida (€/año)</t>
  </si>
  <si>
    <t>https://www.sciencedirect.com/science/article/pii/S0960852419313744</t>
  </si>
  <si>
    <t>Tecnoeconomico producción de pesticidas (2,54 $/L, planta de 5000 m3 de producción)</t>
  </si>
  <si>
    <t>Uso (L/ha)</t>
  </si>
  <si>
    <t>Coste unitario pesticida</t>
  </si>
  <si>
    <t>Coste unitario estimulante</t>
  </si>
  <si>
    <t>Poner el mismo precio que en el 1</t>
  </si>
  <si>
    <t>Coste final (€)</t>
  </si>
  <si>
    <t>Producción pesticida</t>
  </si>
  <si>
    <t>Producción estimulante</t>
  </si>
  <si>
    <t>Reactor acetona</t>
  </si>
  <si>
    <t>Tanques final</t>
  </si>
  <si>
    <t>Centrífugas</t>
  </si>
  <si>
    <t>Energía centrífuga</t>
  </si>
  <si>
    <t>Equipo mínimo bombas</t>
  </si>
  <si>
    <t>Precio</t>
  </si>
  <si>
    <t>Equipo mínimo centrífuga</t>
  </si>
  <si>
    <t>Equipo mínimo tanque</t>
  </si>
  <si>
    <t>V</t>
  </si>
  <si>
    <t>m3</t>
  </si>
  <si>
    <t>Equipo mínimo reactor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</si>
</sst>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0"/>
    <numFmt numFmtId="165" formatCode="#,##0.00\ &quot;€&quot;"/>
    <numFmt numFmtId="166" formatCode="0.00000"/>
    <numFmt numFmtId="167" formatCode="0.0000"/>
    <numFmt numFmtId="168" formatCode="0.0"/>
    <numFmt numFmtId="169" formatCode="0.0%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rgb="FF7F7F7F"/>
      <name val="Calibri"/>
      <family val="2"/>
      <scheme val="minor"/>
    </font>
    <font>
      <b/>
      <vertAlign val="superscript"/>
      <sz val="11"/>
      <color theme="5" tint="-0.249977111117893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1"/>
      <color rgb="FFFF0000"/>
      <name val="Calibri"/>
      <family val="2"/>
      <scheme val="minor"/>
    </font>
    <font>
      <b/>
      <vertAlign val="subscript"/>
      <sz val="11"/>
      <color theme="5" tint="-0.249977111117893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vertAlign val="superscript"/>
      <sz val="11"/>
      <color rgb="FF00B0F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7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1">
    <xf numFmtId="0" fontId="0" fillId="0" borderId="0"/>
    <xf numFmtId="0" fontId="2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5" borderId="0" applyNumberFormat="0" applyBorder="0" applyAlignment="0" applyProtection="0"/>
    <xf numFmtId="0" fontId="1" fillId="6" borderId="0" applyNumberFormat="0" applyBorder="0" applyAlignment="0" applyProtection="0"/>
    <xf numFmtId="0" fontId="5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3" fillId="17" borderId="0" applyNumberFormat="0" applyBorder="0" applyAlignment="0" applyProtection="0"/>
    <xf numFmtId="0" fontId="1" fillId="18" borderId="21" applyNumberFormat="0" applyFont="0" applyAlignment="0" applyProtection="0"/>
    <xf numFmtId="0" fontId="5" fillId="19" borderId="0" applyNumberFormat="0" applyBorder="0" applyAlignment="0" applyProtection="0"/>
    <xf numFmtId="0" fontId="15" fillId="20" borderId="23" applyNumberFormat="0" applyAlignment="0" applyProtection="0"/>
    <xf numFmtId="0" fontId="3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6" fillId="23" borderId="0" applyNumberFormat="0" applyBorder="0" applyAlignment="0" applyProtection="0"/>
    <xf numFmtId="0" fontId="1" fillId="25" borderId="0" applyNumberFormat="0" applyBorder="0" applyAlignment="0" applyProtection="0"/>
    <xf numFmtId="0" fontId="18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</cellStyleXfs>
  <cellXfs count="339">
    <xf numFmtId="0" fontId="0" fillId="0" borderId="0" xfId="0"/>
    <xf numFmtId="0" fontId="0" fillId="0" borderId="2" xfId="0" applyBorder="1"/>
    <xf numFmtId="0" fontId="0" fillId="0" borderId="2" xfId="0" applyBorder="1" applyAlignment="1">
      <alignment horizontal="center"/>
    </xf>
    <xf numFmtId="0" fontId="5" fillId="2" borderId="2" xfId="3" applyBorder="1" applyAlignment="1">
      <alignment horizontal="center"/>
    </xf>
    <xf numFmtId="0" fontId="1" fillId="3" borderId="2" xfId="4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1" fillId="3" borderId="2" xfId="4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0" xfId="0" applyNumberFormat="1"/>
    <xf numFmtId="2" fontId="0" fillId="0" borderId="2" xfId="0" applyNumberFormat="1" applyBorder="1" applyAlignment="1">
      <alignment horizontal="center"/>
    </xf>
    <xf numFmtId="0" fontId="1" fillId="4" borderId="2" xfId="5" applyBorder="1" applyAlignment="1">
      <alignment horizontal="center" vertical="center"/>
    </xf>
    <xf numFmtId="0" fontId="0" fillId="3" borderId="2" xfId="4" applyFont="1" applyBorder="1" applyAlignment="1">
      <alignment horizontal="center"/>
    </xf>
    <xf numFmtId="0" fontId="0" fillId="3" borderId="2" xfId="4" applyFont="1" applyBorder="1" applyAlignment="1">
      <alignment horizontal="center" vertical="center"/>
    </xf>
    <xf numFmtId="2" fontId="1" fillId="4" borderId="2" xfId="5" applyNumberFormat="1" applyBorder="1" applyAlignment="1">
      <alignment horizontal="center" vertical="center"/>
    </xf>
    <xf numFmtId="0" fontId="1" fillId="8" borderId="2" xfId="9" applyBorder="1" applyAlignment="1">
      <alignment horizontal="center"/>
    </xf>
    <xf numFmtId="0" fontId="0" fillId="4" borderId="2" xfId="5" applyFont="1" applyBorder="1" applyAlignment="1">
      <alignment horizontal="center" vertical="center"/>
    </xf>
    <xf numFmtId="0" fontId="1" fillId="6" borderId="2" xfId="7" applyBorder="1" applyAlignment="1">
      <alignment horizontal="center"/>
    </xf>
    <xf numFmtId="0" fontId="1" fillId="6" borderId="2" xfId="7" applyBorder="1" applyAlignment="1">
      <alignment horizontal="center" vertical="center"/>
    </xf>
    <xf numFmtId="2" fontId="7" fillId="4" borderId="2" xfId="5" applyNumberFormat="1" applyFont="1" applyBorder="1" applyAlignment="1">
      <alignment horizontal="center" vertical="center"/>
    </xf>
    <xf numFmtId="2" fontId="0" fillId="0" borderId="2" xfId="0" applyNumberFormat="1" applyBorder="1"/>
    <xf numFmtId="44" fontId="0" fillId="0" borderId="2" xfId="0" applyNumberFormat="1" applyBorder="1" applyAlignment="1">
      <alignment horizontal="center"/>
    </xf>
    <xf numFmtId="44" fontId="0" fillId="0" borderId="2" xfId="0" applyNumberFormat="1" applyBorder="1"/>
    <xf numFmtId="0" fontId="0" fillId="0" borderId="8" xfId="0" applyBorder="1"/>
    <xf numFmtId="0" fontId="0" fillId="0" borderId="2" xfId="0" applyBorder="1" applyAlignment="1">
      <alignment horizontal="left"/>
    </xf>
    <xf numFmtId="44" fontId="0" fillId="0" borderId="8" xfId="0" applyNumberFormat="1" applyBorder="1"/>
    <xf numFmtId="0" fontId="5" fillId="9" borderId="2" xfId="11" applyBorder="1" applyAlignment="1">
      <alignment horizontal="center"/>
    </xf>
    <xf numFmtId="0" fontId="1" fillId="10" borderId="2" xfId="12" applyBorder="1"/>
    <xf numFmtId="0" fontId="4" fillId="0" borderId="0" xfId="2" applyAlignment="1">
      <alignment horizontal="right"/>
    </xf>
    <xf numFmtId="0" fontId="2" fillId="0" borderId="0" xfId="1" applyFill="1" applyBorder="1" applyAlignment="1"/>
    <xf numFmtId="0" fontId="1" fillId="10" borderId="2" xfId="12" applyBorder="1" applyAlignment="1">
      <alignment horizontal="center"/>
    </xf>
    <xf numFmtId="8" fontId="0" fillId="0" borderId="0" xfId="0" applyNumberFormat="1"/>
    <xf numFmtId="0" fontId="1" fillId="16" borderId="2" xfId="18" applyBorder="1" applyAlignment="1">
      <alignment horizontal="center"/>
    </xf>
    <xf numFmtId="44" fontId="0" fillId="0" borderId="8" xfId="0" applyNumberFormat="1" applyBorder="1" applyAlignment="1">
      <alignment horizontal="center"/>
    </xf>
    <xf numFmtId="44" fontId="9" fillId="0" borderId="9" xfId="0" applyNumberFormat="1" applyFont="1" applyBorder="1"/>
    <xf numFmtId="9" fontId="9" fillId="0" borderId="10" xfId="10" applyFont="1" applyFill="1" applyBorder="1" applyAlignment="1">
      <alignment horizontal="center"/>
    </xf>
    <xf numFmtId="9" fontId="0" fillId="0" borderId="2" xfId="10" applyFont="1" applyBorder="1" applyAlignment="1">
      <alignment horizontal="center"/>
    </xf>
    <xf numFmtId="9" fontId="0" fillId="0" borderId="8" xfId="10" applyFont="1" applyBorder="1" applyAlignment="1">
      <alignment horizontal="center"/>
    </xf>
    <xf numFmtId="9" fontId="9" fillId="0" borderId="10" xfId="10" applyFont="1" applyBorder="1" applyAlignment="1">
      <alignment horizontal="center"/>
    </xf>
    <xf numFmtId="0" fontId="1" fillId="16" borderId="8" xfId="18" applyBorder="1" applyAlignment="1">
      <alignment horizontal="center"/>
    </xf>
    <xf numFmtId="0" fontId="1" fillId="16" borderId="7" xfId="18" applyBorder="1" applyAlignment="1">
      <alignment horizontal="center"/>
    </xf>
    <xf numFmtId="0" fontId="9" fillId="0" borderId="9" xfId="0" applyFont="1" applyBorder="1" applyAlignment="1">
      <alignment horizontal="right"/>
    </xf>
    <xf numFmtId="44" fontId="9" fillId="0" borderId="11" xfId="0" applyNumberFormat="1" applyFont="1" applyBorder="1"/>
    <xf numFmtId="0" fontId="1" fillId="16" borderId="6" xfId="18" applyBorder="1" applyAlignment="1">
      <alignment horizontal="center"/>
    </xf>
    <xf numFmtId="44" fontId="9" fillId="0" borderId="11" xfId="0" applyNumberFormat="1" applyFont="1" applyBorder="1" applyAlignment="1">
      <alignment horizontal="center"/>
    </xf>
    <xf numFmtId="0" fontId="8" fillId="7" borderId="12" xfId="8" applyFont="1" applyBorder="1"/>
    <xf numFmtId="44" fontId="11" fillId="0" borderId="13" xfId="0" applyNumberFormat="1" applyFont="1" applyBorder="1"/>
    <xf numFmtId="0" fontId="8" fillId="9" borderId="16" xfId="11" applyFont="1" applyBorder="1" applyAlignment="1">
      <alignment horizontal="center"/>
    </xf>
    <xf numFmtId="44" fontId="9" fillId="0" borderId="17" xfId="0" applyNumberFormat="1" applyFont="1" applyBorder="1"/>
    <xf numFmtId="0" fontId="9" fillId="0" borderId="13" xfId="0" applyFont="1" applyBorder="1" applyAlignment="1">
      <alignment horizontal="center"/>
    </xf>
    <xf numFmtId="0" fontId="8" fillId="9" borderId="14" xfId="11" applyFont="1" applyBorder="1" applyAlignment="1">
      <alignment horizontal="center"/>
    </xf>
    <xf numFmtId="44" fontId="9" fillId="0" borderId="18" xfId="0" applyNumberFormat="1" applyFont="1" applyBorder="1"/>
    <xf numFmtId="0" fontId="9" fillId="0" borderId="15" xfId="0" applyFont="1" applyBorder="1" applyAlignment="1">
      <alignment horizontal="center"/>
    </xf>
    <xf numFmtId="0" fontId="1" fillId="12" borderId="2" xfId="14" applyBorder="1"/>
    <xf numFmtId="0" fontId="0" fillId="12" borderId="2" xfId="14" applyFont="1" applyBorder="1"/>
    <xf numFmtId="0" fontId="1" fillId="12" borderId="2" xfId="14" applyBorder="1" applyAlignment="1">
      <alignment horizontal="center"/>
    </xf>
    <xf numFmtId="0" fontId="1" fillId="14" borderId="2" xfId="16" applyBorder="1" applyAlignment="1">
      <alignment horizontal="center"/>
    </xf>
    <xf numFmtId="0" fontId="0" fillId="14" borderId="2" xfId="16" applyFont="1" applyBorder="1" applyAlignment="1">
      <alignment horizontal="center"/>
    </xf>
    <xf numFmtId="0" fontId="1" fillId="12" borderId="2" xfId="14" applyBorder="1" applyAlignment="1">
      <alignment horizontal="center" vertical="center"/>
    </xf>
    <xf numFmtId="0" fontId="8" fillId="9" borderId="9" xfId="11" applyFont="1" applyBorder="1" applyAlignment="1">
      <alignment horizontal="center"/>
    </xf>
    <xf numFmtId="44" fontId="9" fillId="0" borderId="10" xfId="0" applyNumberFormat="1" applyFont="1" applyBorder="1"/>
    <xf numFmtId="0" fontId="4" fillId="0" borderId="0" xfId="2"/>
    <xf numFmtId="2" fontId="3" fillId="0" borderId="0" xfId="0" applyNumberFormat="1" applyFont="1"/>
    <xf numFmtId="0" fontId="5" fillId="7" borderId="2" xfId="8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18" borderId="22" xfId="20" applyFont="1" applyBorder="1" applyAlignment="1">
      <alignment horizontal="center" vertical="center"/>
    </xf>
    <xf numFmtId="0" fontId="7" fillId="18" borderId="2" xfId="20" applyFont="1" applyBorder="1" applyAlignment="1">
      <alignment horizontal="center" vertical="center"/>
    </xf>
    <xf numFmtId="0" fontId="1" fillId="12" borderId="20" xfId="14" applyBorder="1"/>
    <xf numFmtId="1" fontId="0" fillId="0" borderId="2" xfId="0" applyNumberFormat="1" applyBorder="1" applyAlignment="1">
      <alignment horizontal="center"/>
    </xf>
    <xf numFmtId="0" fontId="4" fillId="0" borderId="0" xfId="2" applyNumberFormat="1" applyAlignment="1">
      <alignment horizontal="left"/>
    </xf>
    <xf numFmtId="0" fontId="5" fillId="11" borderId="2" xfId="13" applyBorder="1" applyAlignment="1">
      <alignment horizontal="center"/>
    </xf>
    <xf numFmtId="0" fontId="1" fillId="13" borderId="2" xfId="15" applyBorder="1" applyAlignment="1">
      <alignment horizontal="center"/>
    </xf>
    <xf numFmtId="0" fontId="3" fillId="0" borderId="0" xfId="0" applyFont="1"/>
    <xf numFmtId="0" fontId="0" fillId="6" borderId="2" xfId="7" applyFont="1" applyBorder="1" applyAlignment="1">
      <alignment horizontal="center" vertical="center"/>
    </xf>
    <xf numFmtId="0" fontId="8" fillId="7" borderId="24" xfId="8" applyFont="1" applyBorder="1"/>
    <xf numFmtId="44" fontId="11" fillId="0" borderId="25" xfId="0" applyNumberFormat="1" applyFont="1" applyBorder="1"/>
    <xf numFmtId="0" fontId="8" fillId="7" borderId="26" xfId="8" applyFont="1" applyBorder="1"/>
    <xf numFmtId="44" fontId="11" fillId="0" borderId="27" xfId="0" applyNumberFormat="1" applyFont="1" applyBorder="1"/>
    <xf numFmtId="44" fontId="9" fillId="0" borderId="2" xfId="0" applyNumberFormat="1" applyFont="1" applyBorder="1"/>
    <xf numFmtId="0" fontId="8" fillId="9" borderId="12" xfId="11" applyFont="1" applyBorder="1" applyAlignment="1">
      <alignment horizontal="center"/>
    </xf>
    <xf numFmtId="0" fontId="8" fillId="9" borderId="26" xfId="1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44" fontId="9" fillId="0" borderId="0" xfId="0" applyNumberFormat="1" applyFont="1"/>
    <xf numFmtId="44" fontId="0" fillId="0" borderId="6" xfId="0" applyNumberFormat="1" applyBorder="1" applyAlignment="1">
      <alignment horizontal="center"/>
    </xf>
    <xf numFmtId="0" fontId="8" fillId="9" borderId="28" xfId="11" applyFont="1" applyBorder="1" applyAlignment="1">
      <alignment horizontal="center"/>
    </xf>
    <xf numFmtId="44" fontId="0" fillId="0" borderId="6" xfId="0" applyNumberFormat="1" applyBorder="1"/>
    <xf numFmtId="0" fontId="1" fillId="22" borderId="2" xfId="25" applyBorder="1" applyAlignment="1">
      <alignment horizontal="center"/>
    </xf>
    <xf numFmtId="0" fontId="13" fillId="17" borderId="2" xfId="19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/>
    <xf numFmtId="0" fontId="5" fillId="11" borderId="2" xfId="13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44" fontId="9" fillId="0" borderId="9" xfId="0" applyNumberFormat="1" applyFont="1" applyBorder="1" applyAlignment="1">
      <alignment horizontal="center"/>
    </xf>
    <xf numFmtId="2" fontId="13" fillId="17" borderId="2" xfId="19" applyNumberFormat="1" applyBorder="1" applyAlignment="1">
      <alignment horizontal="center" vertical="center"/>
    </xf>
    <xf numFmtId="16" fontId="0" fillId="0" borderId="0" xfId="0" applyNumberFormat="1"/>
    <xf numFmtId="0" fontId="0" fillId="0" borderId="0" xfId="0" applyAlignment="1">
      <alignment horizontal="center" vertical="center"/>
    </xf>
    <xf numFmtId="0" fontId="4" fillId="0" borderId="0" xfId="2" applyFill="1" applyBorder="1" applyAlignment="1">
      <alignment horizontal="center" vertical="center"/>
    </xf>
    <xf numFmtId="0" fontId="0" fillId="14" borderId="8" xfId="16" applyFont="1" applyBorder="1" applyAlignment="1">
      <alignment horizontal="center" vertical="center"/>
    </xf>
    <xf numFmtId="0" fontId="0" fillId="14" borderId="6" xfId="16" applyFont="1" applyBorder="1" applyAlignment="1">
      <alignment horizontal="center" vertical="center"/>
    </xf>
    <xf numFmtId="2" fontId="7" fillId="18" borderId="2" xfId="20" applyNumberFormat="1" applyFont="1" applyBorder="1" applyAlignment="1">
      <alignment horizontal="center" vertical="center"/>
    </xf>
    <xf numFmtId="0" fontId="1" fillId="12" borderId="6" xfId="14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8" xfId="0" applyBorder="1" applyAlignment="1">
      <alignment horizontal="center"/>
    </xf>
    <xf numFmtId="0" fontId="1" fillId="12" borderId="18" xfId="14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28"/>
    <xf numFmtId="0" fontId="0" fillId="0" borderId="2" xfId="0" applyBorder="1" applyAlignment="1">
      <alignment horizontal="right"/>
    </xf>
    <xf numFmtId="0" fontId="5" fillId="5" borderId="2" xfId="6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2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19" fillId="0" borderId="0" xfId="0" applyNumberFormat="1" applyFont="1" applyAlignment="1">
      <alignment horizontal="center"/>
    </xf>
    <xf numFmtId="0" fontId="1" fillId="26" borderId="2" xfId="29" applyBorder="1" applyAlignment="1">
      <alignment horizontal="right"/>
    </xf>
    <xf numFmtId="0" fontId="19" fillId="0" borderId="2" xfId="0" applyFont="1" applyBorder="1" applyAlignment="1">
      <alignment horizontal="center"/>
    </xf>
    <xf numFmtId="0" fontId="1" fillId="26" borderId="2" xfId="29" applyBorder="1" applyAlignment="1">
      <alignment horizontal="center"/>
    </xf>
    <xf numFmtId="0" fontId="1" fillId="25" borderId="2" xfId="27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" fontId="13" fillId="17" borderId="2" xfId="19" applyNumberFormat="1" applyBorder="1"/>
    <xf numFmtId="0" fontId="3" fillId="0" borderId="0" xfId="23"/>
    <xf numFmtId="168" fontId="0" fillId="0" borderId="2" xfId="0" applyNumberFormat="1" applyBorder="1" applyAlignment="1">
      <alignment horizontal="center"/>
    </xf>
    <xf numFmtId="9" fontId="0" fillId="0" borderId="2" xfId="10" applyFont="1" applyBorder="1"/>
    <xf numFmtId="0" fontId="1" fillId="10" borderId="6" xfId="12" applyBorder="1" applyAlignment="1">
      <alignment horizontal="center"/>
    </xf>
    <xf numFmtId="9" fontId="0" fillId="0" borderId="2" xfId="0" applyNumberFormat="1" applyBorder="1" applyAlignment="1">
      <alignment horizontal="center"/>
    </xf>
    <xf numFmtId="44" fontId="0" fillId="0" borderId="0" xfId="0" applyNumberFormat="1" applyAlignment="1">
      <alignment horizontal="center"/>
    </xf>
    <xf numFmtId="0" fontId="5" fillId="9" borderId="2" xfId="11" applyBorder="1" applyAlignment="1">
      <alignment horizontal="center" vertical="center"/>
    </xf>
    <xf numFmtId="0" fontId="5" fillId="5" borderId="12" xfId="6" applyBorder="1" applyAlignment="1">
      <alignment horizontal="center" vertical="center"/>
    </xf>
    <xf numFmtId="0" fontId="5" fillId="2" borderId="13" xfId="3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2" fontId="9" fillId="4" borderId="26" xfId="5" applyNumberFormat="1" applyFont="1" applyBorder="1" applyAlignment="1">
      <alignment horizontal="center" vertical="center"/>
    </xf>
    <xf numFmtId="0" fontId="9" fillId="4" borderId="27" xfId="5" applyFon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2" fontId="9" fillId="4" borderId="14" xfId="5" applyNumberFormat="1" applyFont="1" applyBorder="1" applyAlignment="1">
      <alignment horizontal="center" vertical="center"/>
    </xf>
    <xf numFmtId="0" fontId="9" fillId="4" borderId="15" xfId="5" applyFont="1" applyBorder="1" applyAlignment="1">
      <alignment horizontal="center" vertical="center"/>
    </xf>
    <xf numFmtId="2" fontId="0" fillId="0" borderId="26" xfId="0" applyNumberFormat="1" applyBorder="1" applyAlignment="1">
      <alignment horizontal="center"/>
    </xf>
    <xf numFmtId="0" fontId="0" fillId="0" borderId="27" xfId="0" applyBorder="1" applyAlignment="1">
      <alignment horizontal="center"/>
    </xf>
    <xf numFmtId="164" fontId="0" fillId="0" borderId="31" xfId="0" applyNumberFormat="1" applyBorder="1" applyAlignment="1">
      <alignment horizontal="center" vertical="center"/>
    </xf>
    <xf numFmtId="0" fontId="1" fillId="3" borderId="32" xfId="4" applyBorder="1" applyAlignment="1">
      <alignment horizontal="center" vertical="center"/>
    </xf>
    <xf numFmtId="0" fontId="1" fillId="3" borderId="33" xfId="4" applyBorder="1" applyAlignment="1">
      <alignment horizontal="center" vertical="center"/>
    </xf>
    <xf numFmtId="0" fontId="1" fillId="3" borderId="34" xfId="4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9" fillId="4" borderId="15" xfId="5" applyNumberFormat="1" applyFont="1" applyBorder="1" applyAlignment="1">
      <alignment horizontal="center" vertical="center"/>
    </xf>
    <xf numFmtId="2" fontId="0" fillId="0" borderId="27" xfId="0" applyNumberFormat="1" applyBorder="1" applyAlignment="1">
      <alignment horizontal="center"/>
    </xf>
    <xf numFmtId="0" fontId="0" fillId="13" borderId="2" xfId="15" applyFont="1" applyBorder="1" applyAlignment="1">
      <alignment horizontal="center"/>
    </xf>
    <xf numFmtId="0" fontId="0" fillId="22" borderId="2" xfId="25" applyFont="1" applyBorder="1" applyAlignment="1">
      <alignment horizontal="center"/>
    </xf>
    <xf numFmtId="0" fontId="23" fillId="0" borderId="0" xfId="2" applyFont="1"/>
    <xf numFmtId="0" fontId="23" fillId="0" borderId="0" xfId="2" applyFont="1" applyFill="1" applyBorder="1"/>
    <xf numFmtId="0" fontId="0" fillId="10" borderId="2" xfId="12" applyFont="1" applyBorder="1"/>
    <xf numFmtId="0" fontId="7" fillId="0" borderId="2" xfId="0" applyFont="1" applyBorder="1"/>
    <xf numFmtId="0" fontId="7" fillId="0" borderId="8" xfId="0" applyFont="1" applyBorder="1"/>
    <xf numFmtId="0" fontId="0" fillId="3" borderId="33" xfId="4" applyFont="1" applyBorder="1" applyAlignment="1">
      <alignment horizontal="center" vertical="center"/>
    </xf>
    <xf numFmtId="0" fontId="0" fillId="3" borderId="34" xfId="4" applyFont="1" applyBorder="1" applyAlignment="1">
      <alignment horizontal="center" vertical="center"/>
    </xf>
    <xf numFmtId="9" fontId="0" fillId="0" borderId="0" xfId="10" applyFont="1"/>
    <xf numFmtId="44" fontId="3" fillId="0" borderId="2" xfId="23" applyNumberFormat="1" applyBorder="1"/>
    <xf numFmtId="0" fontId="1" fillId="21" borderId="2" xfId="24" applyBorder="1" applyAlignment="1">
      <alignment horizontal="center"/>
    </xf>
    <xf numFmtId="0" fontId="0" fillId="21" borderId="2" xfId="24" applyFont="1" applyBorder="1" applyAlignment="1">
      <alignment horizontal="center"/>
    </xf>
    <xf numFmtId="0" fontId="4" fillId="0" borderId="0" xfId="2" applyAlignment="1">
      <alignment horizontal="center"/>
    </xf>
    <xf numFmtId="165" fontId="4" fillId="0" borderId="0" xfId="2" applyNumberFormat="1" applyAlignment="1">
      <alignment horizontal="left"/>
    </xf>
    <xf numFmtId="0" fontId="1" fillId="3" borderId="2" xfId="4" applyBorder="1" applyAlignment="1">
      <alignment horizontal="center" wrapText="1"/>
    </xf>
    <xf numFmtId="0" fontId="1" fillId="3" borderId="2" xfId="4" applyBorder="1" applyAlignment="1">
      <alignment horizontal="center" vertical="center" wrapText="1"/>
    </xf>
    <xf numFmtId="0" fontId="1" fillId="3" borderId="8" xfId="4" applyBorder="1" applyAlignment="1">
      <alignment horizontal="center" wrapText="1"/>
    </xf>
    <xf numFmtId="0" fontId="1" fillId="3" borderId="8" xfId="4" applyBorder="1" applyAlignment="1">
      <alignment horizontal="center" vertical="center" wrapText="1"/>
    </xf>
    <xf numFmtId="165" fontId="0" fillId="0" borderId="6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165" fontId="0" fillId="0" borderId="37" xfId="0" applyNumberFormat="1" applyBorder="1" applyAlignment="1">
      <alignment horizontal="center"/>
    </xf>
    <xf numFmtId="165" fontId="7" fillId="0" borderId="37" xfId="0" applyNumberFormat="1" applyFont="1" applyBorder="1" applyAlignment="1">
      <alignment horizontal="center"/>
    </xf>
    <xf numFmtId="165" fontId="0" fillId="0" borderId="38" xfId="0" applyNumberFormat="1" applyBorder="1" applyAlignment="1">
      <alignment horizontal="center"/>
    </xf>
    <xf numFmtId="0" fontId="0" fillId="27" borderId="2" xfId="0" applyFill="1" applyBorder="1" applyAlignment="1">
      <alignment horizontal="center"/>
    </xf>
    <xf numFmtId="169" fontId="0" fillId="0" borderId="2" xfId="10" applyNumberFormat="1" applyFont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2" fontId="3" fillId="4" borderId="2" xfId="5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4" borderId="2" xfId="5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12" borderId="2" xfId="14" applyBorder="1" applyAlignment="1">
      <alignment horizontal="left"/>
    </xf>
    <xf numFmtId="2" fontId="0" fillId="0" borderId="32" xfId="0" applyNumberFormat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 vertical="center"/>
    </xf>
    <xf numFmtId="0" fontId="5" fillId="5" borderId="28" xfId="6" applyBorder="1" applyAlignment="1">
      <alignment horizontal="center" vertical="center"/>
    </xf>
    <xf numFmtId="44" fontId="0" fillId="0" borderId="2" xfId="0" applyNumberFormat="1" applyBorder="1" applyAlignment="1">
      <alignment vertical="center"/>
    </xf>
    <xf numFmtId="168" fontId="4" fillId="0" borderId="2" xfId="2" applyNumberFormat="1" applyBorder="1" applyAlignment="1">
      <alignment horizontal="center"/>
    </xf>
    <xf numFmtId="0" fontId="16" fillId="23" borderId="2" xfId="26" applyBorder="1" applyAlignment="1">
      <alignment horizontal="center"/>
    </xf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3" fillId="0" borderId="0" xfId="0" applyFont="1" applyAlignment="1">
      <alignment horizontal="right" vertical="center" textRotation="90"/>
    </xf>
    <xf numFmtId="165" fontId="0" fillId="0" borderId="0" xfId="0" applyNumberFormat="1" applyAlignment="1">
      <alignment horizontal="center"/>
    </xf>
    <xf numFmtId="0" fontId="1" fillId="3" borderId="4" xfId="4" applyBorder="1" applyAlignment="1">
      <alignment horizontal="center"/>
    </xf>
    <xf numFmtId="0" fontId="0" fillId="3" borderId="4" xfId="4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1" fillId="28" borderId="2" xfId="30" applyBorder="1" applyAlignment="1">
      <alignment horizontal="center"/>
    </xf>
    <xf numFmtId="0" fontId="9" fillId="0" borderId="2" xfId="0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2" fontId="1" fillId="22" borderId="2" xfId="25" applyNumberFormat="1" applyBorder="1" applyAlignment="1">
      <alignment horizontal="center"/>
    </xf>
    <xf numFmtId="2" fontId="0" fillId="22" borderId="2" xfId="25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0" fontId="4" fillId="0" borderId="0" xfId="2" applyFill="1" applyBorder="1"/>
    <xf numFmtId="165" fontId="0" fillId="0" borderId="0" xfId="0" applyNumberFormat="1"/>
    <xf numFmtId="0" fontId="0" fillId="28" borderId="2" xfId="30" applyFont="1" applyBorder="1" applyAlignment="1">
      <alignment horizontal="center"/>
    </xf>
    <xf numFmtId="0" fontId="0" fillId="22" borderId="2" xfId="25" applyFont="1" applyBorder="1" applyAlignment="1">
      <alignment horizontal="center" vertical="center"/>
    </xf>
    <xf numFmtId="0" fontId="1" fillId="22" borderId="4" xfId="25" applyBorder="1" applyAlignment="1">
      <alignment horizontal="center"/>
    </xf>
    <xf numFmtId="165" fontId="0" fillId="0" borderId="2" xfId="0" applyNumberFormat="1" applyBorder="1" applyAlignment="1">
      <alignment horizontal="right"/>
    </xf>
    <xf numFmtId="2" fontId="3" fillId="0" borderId="2" xfId="0" applyNumberFormat="1" applyFont="1" applyBorder="1" applyAlignment="1">
      <alignment horizontal="center"/>
    </xf>
    <xf numFmtId="44" fontId="7" fillId="0" borderId="2" xfId="0" applyNumberFormat="1" applyFont="1" applyBorder="1" applyAlignment="1">
      <alignment horizontal="center"/>
    </xf>
    <xf numFmtId="0" fontId="3" fillId="3" borderId="4" xfId="4" applyFont="1" applyBorder="1" applyAlignment="1">
      <alignment horizontal="center"/>
    </xf>
    <xf numFmtId="9" fontId="0" fillId="0" borderId="35" xfId="10" applyFont="1" applyBorder="1" applyAlignment="1">
      <alignment horizontal="center"/>
    </xf>
    <xf numFmtId="165" fontId="19" fillId="0" borderId="6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0" fontId="0" fillId="27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23" fillId="0" borderId="2" xfId="2" applyFont="1" applyFill="1" applyBorder="1" applyAlignment="1">
      <alignment horizontal="center"/>
    </xf>
    <xf numFmtId="0" fontId="3" fillId="29" borderId="2" xfId="0" applyFont="1" applyFill="1" applyBorder="1" applyAlignment="1">
      <alignment horizontal="center"/>
    </xf>
    <xf numFmtId="0" fontId="3" fillId="29" borderId="35" xfId="0" applyFont="1" applyFill="1" applyBorder="1" applyAlignment="1">
      <alignment horizontal="center"/>
    </xf>
    <xf numFmtId="2" fontId="29" fillId="4" borderId="14" xfId="5" applyNumberFormat="1" applyFont="1" applyBorder="1" applyAlignment="1">
      <alignment horizontal="center" vertical="center"/>
    </xf>
    <xf numFmtId="0" fontId="29" fillId="4" borderId="15" xfId="5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0" fontId="0" fillId="0" borderId="2" xfId="10" applyNumberFormat="1" applyFont="1" applyBorder="1" applyAlignment="1">
      <alignment horizontal="center"/>
    </xf>
    <xf numFmtId="0" fontId="7" fillId="4" borderId="2" xfId="5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2" fontId="7" fillId="0" borderId="35" xfId="0" applyNumberFormat="1" applyFont="1" applyBorder="1" applyAlignment="1">
      <alignment horizontal="center" vertical="center"/>
    </xf>
    <xf numFmtId="0" fontId="7" fillId="4" borderId="6" xfId="5" applyFont="1" applyBorder="1" applyAlignment="1">
      <alignment horizontal="center" vertical="center"/>
    </xf>
    <xf numFmtId="2" fontId="7" fillId="4" borderId="6" xfId="5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2" fontId="31" fillId="0" borderId="2" xfId="0" applyNumberFormat="1" applyFont="1" applyBorder="1" applyAlignment="1">
      <alignment horizontal="center" vertical="center"/>
    </xf>
    <xf numFmtId="0" fontId="31" fillId="0" borderId="0" xfId="0" applyFont="1"/>
    <xf numFmtId="0" fontId="31" fillId="3" borderId="2" xfId="4" applyFont="1" applyBorder="1" applyAlignment="1">
      <alignment horizontal="center" vertical="center"/>
    </xf>
    <xf numFmtId="0" fontId="31" fillId="4" borderId="2" xfId="5" applyFont="1" applyBorder="1" applyAlignment="1">
      <alignment horizontal="center" vertical="center"/>
    </xf>
    <xf numFmtId="2" fontId="31" fillId="4" borderId="2" xfId="5" applyNumberFormat="1" applyFont="1" applyBorder="1" applyAlignment="1">
      <alignment horizontal="center" vertical="center"/>
    </xf>
    <xf numFmtId="2" fontId="31" fillId="0" borderId="0" xfId="0" applyNumberFormat="1" applyFont="1"/>
    <xf numFmtId="0" fontId="31" fillId="18" borderId="2" xfId="20" applyFont="1" applyBorder="1" applyAlignment="1">
      <alignment horizontal="center" vertical="center"/>
    </xf>
    <xf numFmtId="2" fontId="31" fillId="0" borderId="2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2" fontId="29" fillId="4" borderId="2" xfId="5" applyNumberFormat="1" applyFont="1" applyBorder="1" applyAlignment="1">
      <alignment horizontal="center" vertical="center"/>
    </xf>
    <xf numFmtId="166" fontId="31" fillId="0" borderId="0" xfId="0" applyNumberFormat="1" applyFont="1"/>
    <xf numFmtId="2" fontId="7" fillId="0" borderId="2" xfId="0" applyNumberFormat="1" applyFont="1" applyBorder="1" applyAlignment="1">
      <alignment horizontal="center"/>
    </xf>
    <xf numFmtId="167" fontId="7" fillId="0" borderId="2" xfId="0" applyNumberFormat="1" applyFont="1" applyBorder="1" applyAlignment="1">
      <alignment horizontal="center"/>
    </xf>
    <xf numFmtId="2" fontId="1" fillId="12" borderId="2" xfId="14" applyNumberFormat="1" applyBorder="1" applyAlignment="1">
      <alignment horizontal="center"/>
    </xf>
    <xf numFmtId="0" fontId="17" fillId="18" borderId="2" xfId="20" applyFont="1" applyBorder="1" applyAlignment="1">
      <alignment horizontal="center"/>
    </xf>
    <xf numFmtId="0" fontId="0" fillId="13" borderId="2" xfId="15" applyFont="1" applyBorder="1" applyAlignment="1">
      <alignment horizontal="center"/>
    </xf>
    <xf numFmtId="0" fontId="1" fillId="13" borderId="2" xfId="15" applyBorder="1" applyAlignment="1">
      <alignment horizontal="center"/>
    </xf>
    <xf numFmtId="0" fontId="0" fillId="0" borderId="0" xfId="0" applyAlignment="1">
      <alignment horizontal="left"/>
    </xf>
    <xf numFmtId="0" fontId="0" fillId="0" borderId="39" xfId="0" applyBorder="1" applyAlignment="1">
      <alignment horizontal="left"/>
    </xf>
    <xf numFmtId="0" fontId="17" fillId="24" borderId="2" xfId="22" applyFont="1" applyFill="1" applyBorder="1" applyAlignment="1">
      <alignment horizontal="center"/>
    </xf>
    <xf numFmtId="0" fontId="5" fillId="9" borderId="2" xfId="11" applyBorder="1" applyAlignment="1">
      <alignment horizontal="center"/>
    </xf>
    <xf numFmtId="0" fontId="5" fillId="2" borderId="2" xfId="3" applyBorder="1" applyAlignment="1">
      <alignment horizontal="center"/>
    </xf>
    <xf numFmtId="0" fontId="4" fillId="0" borderId="29" xfId="2" applyBorder="1" applyAlignment="1">
      <alignment horizontal="center" vertical="center"/>
    </xf>
    <xf numFmtId="0" fontId="0" fillId="22" borderId="8" xfId="25" applyFont="1" applyBorder="1" applyAlignment="1">
      <alignment horizontal="center" vertical="center" wrapText="1"/>
    </xf>
    <xf numFmtId="0" fontId="1" fillId="22" borderId="20" xfId="25" applyBorder="1" applyAlignment="1">
      <alignment horizontal="center" vertical="center" wrapText="1"/>
    </xf>
    <xf numFmtId="0" fontId="1" fillId="22" borderId="45" xfId="25" applyBorder="1" applyAlignment="1">
      <alignment horizontal="center" vertical="center" wrapText="1"/>
    </xf>
    <xf numFmtId="0" fontId="9" fillId="22" borderId="38" xfId="25" applyFont="1" applyBorder="1" applyAlignment="1">
      <alignment horizontal="center" vertical="center"/>
    </xf>
    <xf numFmtId="0" fontId="9" fillId="22" borderId="20" xfId="25" applyFont="1" applyBorder="1" applyAlignment="1">
      <alignment horizontal="center" vertical="center"/>
    </xf>
    <xf numFmtId="0" fontId="9" fillId="22" borderId="45" xfId="25" applyFont="1" applyBorder="1" applyAlignment="1">
      <alignment horizontal="center" vertical="center"/>
    </xf>
    <xf numFmtId="0" fontId="9" fillId="22" borderId="6" xfId="25" applyFont="1" applyBorder="1" applyAlignment="1">
      <alignment horizontal="center" vertical="center"/>
    </xf>
    <xf numFmtId="0" fontId="9" fillId="22" borderId="2" xfId="25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1" borderId="4" xfId="24" applyBorder="1" applyAlignment="1">
      <alignment horizontal="center"/>
    </xf>
    <xf numFmtId="0" fontId="1" fillId="21" borderId="5" xfId="24" applyBorder="1" applyAlignment="1">
      <alignment horizontal="center"/>
    </xf>
    <xf numFmtId="0" fontId="5" fillId="2" borderId="4" xfId="3" applyBorder="1" applyAlignment="1">
      <alignment horizontal="center"/>
    </xf>
    <xf numFmtId="0" fontId="5" fillId="2" borderId="19" xfId="3" applyBorder="1" applyAlignment="1">
      <alignment horizontal="center"/>
    </xf>
    <xf numFmtId="0" fontId="5" fillId="2" borderId="5" xfId="3" applyBorder="1" applyAlignment="1">
      <alignment horizontal="center"/>
    </xf>
    <xf numFmtId="0" fontId="0" fillId="27" borderId="2" xfId="0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9" borderId="2" xfId="11" applyBorder="1" applyAlignment="1">
      <alignment horizontal="center" vertical="center"/>
    </xf>
    <xf numFmtId="0" fontId="3" fillId="0" borderId="7" xfId="0" applyFont="1" applyBorder="1" applyAlignment="1">
      <alignment horizontal="right" vertical="center" textRotation="90"/>
    </xf>
    <xf numFmtId="0" fontId="3" fillId="0" borderId="36" xfId="0" applyFont="1" applyBorder="1" applyAlignment="1">
      <alignment horizontal="right" vertical="center" textRotation="90"/>
    </xf>
    <xf numFmtId="0" fontId="3" fillId="0" borderId="44" xfId="0" applyFont="1" applyBorder="1" applyAlignment="1">
      <alignment horizontal="right" vertical="center" textRotation="90"/>
    </xf>
    <xf numFmtId="0" fontId="5" fillId="9" borderId="8" xfId="11" applyBorder="1" applyAlignment="1">
      <alignment horizontal="center" vertical="center"/>
    </xf>
    <xf numFmtId="0" fontId="5" fillId="9" borderId="6" xfId="11" applyBorder="1" applyAlignment="1">
      <alignment horizontal="center" vertical="center"/>
    </xf>
    <xf numFmtId="0" fontId="2" fillId="0" borderId="1" xfId="1" applyFill="1" applyAlignment="1">
      <alignment horizontal="center"/>
    </xf>
    <xf numFmtId="0" fontId="5" fillId="7" borderId="2" xfId="8" applyBorder="1" applyAlignment="1">
      <alignment horizontal="center"/>
    </xf>
    <xf numFmtId="0" fontId="0" fillId="12" borderId="8" xfId="14" applyFont="1" applyBorder="1" applyAlignment="1">
      <alignment horizontal="center" vertical="center" wrapText="1"/>
    </xf>
    <xf numFmtId="0" fontId="0" fillId="12" borderId="6" xfId="14" applyFont="1" applyBorder="1" applyAlignment="1">
      <alignment horizontal="center" vertical="center" wrapText="1"/>
    </xf>
    <xf numFmtId="0" fontId="1" fillId="15" borderId="4" xfId="17" applyBorder="1" applyAlignment="1">
      <alignment horizontal="center"/>
    </xf>
    <xf numFmtId="0" fontId="1" fillId="15" borderId="19" xfId="17" applyBorder="1" applyAlignment="1">
      <alignment horizontal="center"/>
    </xf>
    <xf numFmtId="0" fontId="1" fillId="15" borderId="5" xfId="17" applyBorder="1" applyAlignment="1">
      <alignment horizontal="center"/>
    </xf>
    <xf numFmtId="0" fontId="5" fillId="19" borderId="2" xfId="21" applyBorder="1" applyAlignment="1">
      <alignment horizontal="center"/>
    </xf>
    <xf numFmtId="44" fontId="0" fillId="0" borderId="2" xfId="0" applyNumberFormat="1" applyBorder="1" applyAlignment="1">
      <alignment horizontal="center"/>
    </xf>
    <xf numFmtId="0" fontId="5" fillId="9" borderId="4" xfId="11" applyBorder="1" applyAlignment="1">
      <alignment horizontal="center"/>
    </xf>
    <xf numFmtId="0" fontId="5" fillId="9" borderId="19" xfId="11" applyBorder="1" applyAlignment="1">
      <alignment horizontal="center"/>
    </xf>
    <xf numFmtId="0" fontId="5" fillId="9" borderId="5" xfId="11" applyBorder="1" applyAlignment="1">
      <alignment horizontal="center"/>
    </xf>
    <xf numFmtId="0" fontId="5" fillId="7" borderId="2" xfId="8" applyBorder="1" applyAlignment="1">
      <alignment horizontal="left"/>
    </xf>
    <xf numFmtId="0" fontId="1" fillId="12" borderId="8" xfId="14" applyBorder="1" applyAlignment="1">
      <alignment horizontal="center" vertical="center"/>
    </xf>
    <xf numFmtId="0" fontId="1" fillId="12" borderId="6" xfId="14" applyBorder="1" applyAlignment="1">
      <alignment horizontal="center" vertical="center"/>
    </xf>
    <xf numFmtId="0" fontId="1" fillId="12" borderId="20" xfId="14" applyBorder="1" applyAlignment="1">
      <alignment horizontal="center" vertical="center"/>
    </xf>
    <xf numFmtId="0" fontId="1" fillId="12" borderId="30" xfId="14" applyBorder="1" applyAlignment="1">
      <alignment horizontal="center" vertical="center"/>
    </xf>
    <xf numFmtId="0" fontId="1" fillId="16" borderId="2" xfId="18" applyBorder="1" applyAlignment="1">
      <alignment horizontal="center"/>
    </xf>
    <xf numFmtId="0" fontId="1" fillId="10" borderId="2" xfId="12" applyBorder="1" applyAlignment="1">
      <alignment horizontal="center" vertical="center"/>
    </xf>
    <xf numFmtId="0" fontId="5" fillId="11" borderId="2" xfId="13" applyBorder="1" applyAlignment="1">
      <alignment horizontal="center"/>
    </xf>
    <xf numFmtId="0" fontId="5" fillId="11" borderId="4" xfId="13" applyBorder="1" applyAlignment="1">
      <alignment horizontal="center"/>
    </xf>
    <xf numFmtId="0" fontId="5" fillId="11" borderId="19" xfId="13" applyBorder="1" applyAlignment="1">
      <alignment horizontal="center"/>
    </xf>
    <xf numFmtId="0" fontId="5" fillId="11" borderId="5" xfId="13" applyBorder="1" applyAlignment="1">
      <alignment horizontal="center"/>
    </xf>
    <xf numFmtId="0" fontId="5" fillId="5" borderId="2" xfId="6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2" fillId="0" borderId="1" xfId="1" applyAlignment="1">
      <alignment horizontal="center"/>
    </xf>
    <xf numFmtId="0" fontId="1" fillId="3" borderId="2" xfId="4" applyBorder="1" applyAlignment="1">
      <alignment horizontal="center" vertical="center"/>
    </xf>
    <xf numFmtId="0" fontId="5" fillId="2" borderId="2" xfId="3" applyBorder="1" applyAlignment="1">
      <alignment horizontal="center" vertical="center"/>
    </xf>
    <xf numFmtId="0" fontId="3" fillId="3" borderId="2" xfId="4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15" borderId="4" xfId="17" applyFont="1" applyBorder="1" applyAlignment="1">
      <alignment horizontal="center"/>
    </xf>
    <xf numFmtId="0" fontId="0" fillId="15" borderId="19" xfId="17" applyFont="1" applyBorder="1" applyAlignment="1">
      <alignment horizontal="center"/>
    </xf>
    <xf numFmtId="0" fontId="0" fillId="15" borderId="5" xfId="17" applyFont="1" applyBorder="1" applyAlignment="1">
      <alignment horizontal="center"/>
    </xf>
    <xf numFmtId="0" fontId="0" fillId="14" borderId="8" xfId="16" applyFont="1" applyBorder="1" applyAlignment="1">
      <alignment horizontal="center" vertical="center"/>
    </xf>
    <xf numFmtId="0" fontId="0" fillId="14" borderId="6" xfId="16" applyFont="1" applyBorder="1" applyAlignment="1">
      <alignment horizontal="center" vertical="center"/>
    </xf>
    <xf numFmtId="0" fontId="7" fillId="3" borderId="2" xfId="4" applyFont="1" applyBorder="1" applyAlignment="1">
      <alignment horizontal="center" vertical="center"/>
    </xf>
    <xf numFmtId="0" fontId="5" fillId="2" borderId="4" xfId="3" applyBorder="1" applyAlignment="1">
      <alignment horizontal="center" vertical="center"/>
    </xf>
    <xf numFmtId="0" fontId="5" fillId="2" borderId="19" xfId="3" applyBorder="1" applyAlignment="1">
      <alignment horizontal="center" vertical="center"/>
    </xf>
    <xf numFmtId="0" fontId="5" fillId="2" borderId="5" xfId="3" applyBorder="1" applyAlignment="1">
      <alignment horizontal="center" vertical="center"/>
    </xf>
    <xf numFmtId="0" fontId="0" fillId="3" borderId="8" xfId="4" applyFont="1" applyBorder="1" applyAlignment="1">
      <alignment horizontal="center" vertical="center"/>
    </xf>
    <xf numFmtId="0" fontId="0" fillId="3" borderId="6" xfId="4" applyFont="1" applyBorder="1" applyAlignment="1">
      <alignment horizontal="center" vertical="center"/>
    </xf>
    <xf numFmtId="0" fontId="0" fillId="3" borderId="20" xfId="4" applyFont="1" applyBorder="1" applyAlignment="1">
      <alignment horizontal="center" vertical="center"/>
    </xf>
    <xf numFmtId="0" fontId="7" fillId="3" borderId="35" xfId="4" applyFont="1" applyBorder="1" applyAlignment="1">
      <alignment horizontal="center" vertical="center"/>
    </xf>
    <xf numFmtId="0" fontId="7" fillId="3" borderId="6" xfId="4" applyFont="1" applyBorder="1" applyAlignment="1">
      <alignment horizontal="center" vertical="center"/>
    </xf>
    <xf numFmtId="0" fontId="31" fillId="2" borderId="4" xfId="3" applyFont="1" applyBorder="1" applyAlignment="1">
      <alignment horizontal="center" vertical="center"/>
    </xf>
    <xf numFmtId="0" fontId="31" fillId="2" borderId="19" xfId="3" applyFont="1" applyBorder="1" applyAlignment="1">
      <alignment horizontal="center" vertical="center"/>
    </xf>
    <xf numFmtId="0" fontId="31" fillId="2" borderId="5" xfId="3" applyFont="1" applyBorder="1" applyAlignment="1">
      <alignment horizontal="center" vertical="center"/>
    </xf>
  </cellXfs>
  <cellStyles count="31">
    <cellStyle name="20% - Énfasis1" xfId="4" builtinId="30"/>
    <cellStyle name="20% - Énfasis2" xfId="30" builtinId="34"/>
    <cellStyle name="20% - Énfasis3" xfId="5" builtinId="38"/>
    <cellStyle name="20% - Énfasis4" xfId="16" builtinId="42"/>
    <cellStyle name="20% - Énfasis5" xfId="7" builtinId="46"/>
    <cellStyle name="20% - Énfasis6" xfId="9" builtinId="50"/>
    <cellStyle name="40% - Énfasis2" xfId="12" builtinId="35"/>
    <cellStyle name="40% - Énfasis3" xfId="14" builtinId="39"/>
    <cellStyle name="40% - Énfasis5" xfId="29" builtinId="47"/>
    <cellStyle name="40% - Énfasis6" xfId="18" builtinId="51"/>
    <cellStyle name="60% - Énfasis1" xfId="24" builtinId="32"/>
    <cellStyle name="60% - Énfasis2" xfId="25" builtinId="36"/>
    <cellStyle name="60% - Énfasis3" xfId="15" builtinId="40"/>
    <cellStyle name="60% - Énfasis4" xfId="17" builtinId="44"/>
    <cellStyle name="60% - Énfasis5" xfId="27" builtinId="48"/>
    <cellStyle name="Encabezado 1" xfId="1" builtinId="16"/>
    <cellStyle name="Énfasis1" xfId="3" builtinId="29"/>
    <cellStyle name="Énfasis2" xfId="11" builtinId="33"/>
    <cellStyle name="Énfasis3" xfId="13" builtinId="37"/>
    <cellStyle name="Énfasis4" xfId="21" builtinId="41"/>
    <cellStyle name="Énfasis5" xfId="6" builtinId="45"/>
    <cellStyle name="Énfasis6" xfId="8" builtinId="49"/>
    <cellStyle name="Hipervínculo" xfId="28" builtinId="8"/>
    <cellStyle name="Incorrecto" xfId="26" builtinId="27"/>
    <cellStyle name="Neutral" xfId="19" builtinId="28"/>
    <cellStyle name="Normal" xfId="0" builtinId="0"/>
    <cellStyle name="Notas" xfId="20" builtinId="10"/>
    <cellStyle name="Porcentaje" xfId="10" builtinId="5"/>
    <cellStyle name="Salida" xfId="22" builtinId="21"/>
    <cellStyle name="Texto de advertencia" xfId="23" builtinId="11"/>
    <cellStyle name="Texto explicativo" xfId="2" builtinId="53"/>
  </cellStyles>
  <dxfs count="3">
    <dxf>
      <font>
        <color rgb="FF006100"/>
      </font>
      <fill>
        <patternFill>
          <bgColor rgb="FFC6EFCE"/>
        </patternFill>
      </fill>
    </dxf>
    <dxf>
      <font>
        <b/>
        <i val="0"/>
        <color rgb="FFFF0000"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Culture height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1'!$Q$22:$S$22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1'!$Q$21:$S$21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B3D-4D3B-B429-3A0D397F8CA8}"/>
            </c:ext>
          </c:extLst>
        </c:ser>
        <c:ser>
          <c:idx val="1"/>
          <c:order val="1"/>
          <c:tx>
            <c:v>PWW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1'!$Q$23:$S$23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1'!$Q$21:$S$21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5B3D-4D3B-B429-3A0D397F8CA8}"/>
            </c:ext>
          </c:extLst>
        </c:ser>
        <c:ser>
          <c:idx val="2"/>
          <c:order val="2"/>
          <c:tx>
            <c:v>Recirculation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1'!$Q$24:$S$24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1'!$Q$21:$S$21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5B3D-4D3B-B429-3A0D397F8CA8}"/>
            </c:ext>
          </c:extLst>
        </c:ser>
        <c:ser>
          <c:idx val="3"/>
          <c:order val="3"/>
          <c:tx>
            <c:v>Time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1'!$Q$25:$S$25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1'!$Q$21:$S$21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5B3D-4D3B-B429-3A0D397F8CA8}"/>
            </c:ext>
          </c:extLst>
        </c:ser>
        <c:ser>
          <c:idx val="4"/>
          <c:order val="4"/>
          <c:tx>
            <c:v>Evaporation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1'!$Q$26:$S$26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1'!$Q$21:$S$21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5B3D-4D3B-B429-3A0D397F8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3'!$P$22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3'!$R$22:$T$22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65F-46D1-B43F-9D6552EA5064}"/>
            </c:ext>
          </c:extLst>
        </c:ser>
        <c:ser>
          <c:idx val="1"/>
          <c:order val="1"/>
          <c:tx>
            <c:strRef>
              <c:f>'Sensibilidad proceso 3'!$P$23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3'!$R$23:$T$23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65F-46D1-B43F-9D6552EA5064}"/>
            </c:ext>
          </c:extLst>
        </c:ser>
        <c:ser>
          <c:idx val="2"/>
          <c:order val="2"/>
          <c:tx>
            <c:strRef>
              <c:f>'Sensibilidad proceso 3'!$P$24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3'!$R$24:$T$24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65F-46D1-B43F-9D6552EA5064}"/>
            </c:ext>
          </c:extLst>
        </c:ser>
        <c:ser>
          <c:idx val="3"/>
          <c:order val="3"/>
          <c:tx>
            <c:strRef>
              <c:f>'Sensibilidad proceso 3'!$P$25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3'!$R$25:$T$25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A65F-46D1-B43F-9D6552EA5064}"/>
            </c:ext>
          </c:extLst>
        </c:ser>
        <c:ser>
          <c:idx val="4"/>
          <c:order val="4"/>
          <c:tx>
            <c:strRef>
              <c:f>'Sensibilidad proceso 3'!$P$26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3'!$R$26:$T$26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A65F-46D1-B43F-9D6552EA5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3'!$P$22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3'!$Y$22:$AA$22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42C-4817-8E17-A16FF2CB5644}"/>
            </c:ext>
          </c:extLst>
        </c:ser>
        <c:ser>
          <c:idx val="1"/>
          <c:order val="1"/>
          <c:tx>
            <c:strRef>
              <c:f>'Sensibilidad proceso 3'!$P$23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3'!$Y$23:$AA$23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42C-4817-8E17-A16FF2CB5644}"/>
            </c:ext>
          </c:extLst>
        </c:ser>
        <c:ser>
          <c:idx val="2"/>
          <c:order val="2"/>
          <c:tx>
            <c:strRef>
              <c:f>'Sensibilidad proceso 3'!$P$24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3'!$Y$24:$AA$24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E42C-4817-8E17-A16FF2CB5644}"/>
            </c:ext>
          </c:extLst>
        </c:ser>
        <c:ser>
          <c:idx val="3"/>
          <c:order val="3"/>
          <c:tx>
            <c:strRef>
              <c:f>'Sensibilidad proceso 3'!$P$25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3'!$Y$25:$AA$25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E42C-4817-8E17-A16FF2CB5644}"/>
            </c:ext>
          </c:extLst>
        </c:ser>
        <c:ser>
          <c:idx val="4"/>
          <c:order val="4"/>
          <c:tx>
            <c:strRef>
              <c:f>'Sensibilidad proceso 3'!$P$26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3'!$Y$26:$AA$26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E42C-4817-8E17-A16FF2CB5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4'!$P$102</c:f>
              <c:strCache>
                <c:ptCount val="1"/>
                <c:pt idx="0">
                  <c:v>PWW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4'!$Q$102:$S$102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5-47D0-98F3-8EE4008D71AD}"/>
            </c:ext>
          </c:extLst>
        </c:ser>
        <c:ser>
          <c:idx val="1"/>
          <c:order val="1"/>
          <c:tx>
            <c:strRef>
              <c:f>'Sensibilidad proceso 4'!$P$103</c:f>
              <c:strCache>
                <c:ptCount val="1"/>
                <c:pt idx="0">
                  <c:v>Electricity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4'!$Q$103:$S$103</c:f>
              <c:numCache>
                <c:formatCode>_("€"* #,##0.00_);_("€"* \(#,##0.00\);_("€"* "-"??_);_(@_)</c:formatCode>
                <c:ptCount val="3"/>
                <c:pt idx="0">
                  <c:v>2487.0917536714401</c:v>
                </c:pt>
                <c:pt idx="1">
                  <c:v>2122.1334427204151</c:v>
                </c:pt>
                <c:pt idx="2">
                  <c:v>1757.1751317693906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5-47D0-98F3-8EE4008D71AD}"/>
            </c:ext>
          </c:extLst>
        </c:ser>
        <c:ser>
          <c:idx val="2"/>
          <c:order val="2"/>
          <c:tx>
            <c:strRef>
              <c:f>'Sensibilidad proceso 4'!$P$104</c:f>
              <c:strCache>
                <c:ptCount val="1"/>
                <c:pt idx="0">
                  <c:v>Heat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4'!$Q$104:$S$104</c:f>
              <c:numCache>
                <c:formatCode>_("€"* #,##0.00_);_("€"* \(#,##0.00\);_("€"* "-"??_);_(@_)</c:formatCode>
                <c:ptCount val="3"/>
                <c:pt idx="0">
                  <c:v>2190.0353715423134</c:v>
                </c:pt>
                <c:pt idx="1">
                  <c:v>2122.1334427204151</c:v>
                </c:pt>
                <c:pt idx="2">
                  <c:v>2054.2315138985173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5-47D0-98F3-8EE4008D71AD}"/>
            </c:ext>
          </c:extLst>
        </c:ser>
        <c:ser>
          <c:idx val="3"/>
          <c:order val="3"/>
          <c:tx>
            <c:strRef>
              <c:f>'Sensibilidad proceso 4'!$P$105</c:f>
              <c:strCache>
                <c:ptCount val="1"/>
                <c:pt idx="0">
                  <c:v>Phosphate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4'!$Q$105:$S$105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2122.1334427204151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E5-47D0-98F3-8EE4008D71AD}"/>
            </c:ext>
          </c:extLst>
        </c:ser>
        <c:ser>
          <c:idx val="4"/>
          <c:order val="4"/>
          <c:tx>
            <c:strRef>
              <c:f>'Sensibilidad proceso 4'!$P$106</c:f>
              <c:strCache>
                <c:ptCount val="1"/>
                <c:pt idx="0">
                  <c:v>Enzymes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4'!$Q$106:$S$106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2122.1334427204151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E5-47D0-98F3-8EE4008D71AD}"/>
            </c:ext>
          </c:extLst>
        </c:ser>
        <c:ser>
          <c:idx val="5"/>
          <c:order val="5"/>
          <c:tx>
            <c:strRef>
              <c:f>'Sensibilidad proceso 4'!$P$107</c:f>
              <c:strCache>
                <c:ptCount val="1"/>
                <c:pt idx="0">
                  <c:v>CO2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4'!$Q$101:$S$101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4'!$Q$107:$S$107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2122.1334427204151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5-47D0-98F3-8EE4008D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'Graficas (OK)'!$C$3</c:f>
              <c:strCache>
                <c:ptCount val="1"/>
                <c:pt idx="0">
                  <c:v>Microalgae cultivation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(OK)'!$C$4:$C$16</c:f>
              <c:numCache>
                <c:formatCode>#,##0.00\ "€"</c:formatCode>
                <c:ptCount val="13"/>
                <c:pt idx="1">
                  <c:v>91798.761425601726</c:v>
                </c:pt>
                <c:pt idx="4">
                  <c:v>91798.761425601726</c:v>
                </c:pt>
                <c:pt idx="7">
                  <c:v>91798.761425601813</c:v>
                </c:pt>
                <c:pt idx="10">
                  <c:v>91798.761425601813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C-4972-80F9-75138D716F17}"/>
            </c:ext>
          </c:extLst>
        </c:ser>
        <c:ser>
          <c:idx val="1"/>
          <c:order val="1"/>
          <c:tx>
            <c:strRef>
              <c:f>'Graficas (OK)'!$D$3</c:f>
              <c:strCache>
                <c:ptCount val="1"/>
                <c:pt idx="0">
                  <c:v>Biomass harvesting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(OK)'!$D$4:$D$16</c:f>
              <c:numCache>
                <c:formatCode>#,##0.00\ "€"</c:formatCode>
                <c:ptCount val="13"/>
                <c:pt idx="1">
                  <c:v>42455.378274962946</c:v>
                </c:pt>
                <c:pt idx="4">
                  <c:v>290079.39256606367</c:v>
                </c:pt>
                <c:pt idx="7">
                  <c:v>42455.37827496299</c:v>
                </c:pt>
                <c:pt idx="10">
                  <c:v>290079.39256606367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2C-4972-80F9-75138D716F17}"/>
            </c:ext>
          </c:extLst>
        </c:ser>
        <c:ser>
          <c:idx val="2"/>
          <c:order val="2"/>
          <c:tx>
            <c:strRef>
              <c:f>'Graficas (OK)'!$E$3</c:f>
              <c:strCache>
                <c:ptCount val="1"/>
                <c:pt idx="0">
                  <c:v>Biomass pretreatment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(OK)'!$E$4:$E$16</c:f>
              <c:numCache>
                <c:formatCode>#,##0.00\ "€"</c:formatCode>
                <c:ptCount val="13"/>
                <c:pt idx="1">
                  <c:v>20830</c:v>
                </c:pt>
                <c:pt idx="4">
                  <c:v>16166.83292935001</c:v>
                </c:pt>
                <c:pt idx="7">
                  <c:v>20830</c:v>
                </c:pt>
                <c:pt idx="10">
                  <c:v>20610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2C-4972-80F9-75138D716F17}"/>
            </c:ext>
          </c:extLst>
        </c:ser>
        <c:ser>
          <c:idx val="3"/>
          <c:order val="3"/>
          <c:tx>
            <c:strRef>
              <c:f>'Graficas (OK)'!$F$3</c:f>
              <c:strCache>
                <c:ptCount val="1"/>
                <c:pt idx="0">
                  <c:v>Biostimulant production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(OK)'!$F$4:$F$16</c:f>
              <c:numCache>
                <c:formatCode>#,##0.00\ "€"</c:formatCode>
                <c:ptCount val="13"/>
                <c:pt idx="1">
                  <c:v>99160</c:v>
                </c:pt>
                <c:pt idx="4">
                  <c:v>68187.33171740004</c:v>
                </c:pt>
                <c:pt idx="7">
                  <c:v>103560</c:v>
                </c:pt>
                <c:pt idx="10">
                  <c:v>81543.827635502268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2C-4972-80F9-75138D716F17}"/>
            </c:ext>
          </c:extLst>
        </c:ser>
        <c:ser>
          <c:idx val="4"/>
          <c:order val="4"/>
          <c:tx>
            <c:strRef>
              <c:f>'Graficas (OK)'!$G$3</c:f>
              <c:strCache>
                <c:ptCount val="1"/>
                <c:pt idx="0">
                  <c:v>Biopesticide production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(OK)'!$G$4:$G$16</c:f>
              <c:numCache>
                <c:formatCode>#,##0.00\ "€"</c:formatCode>
                <c:ptCount val="13"/>
                <c:pt idx="1">
                  <c:v>0</c:v>
                </c:pt>
                <c:pt idx="4">
                  <c:v>0</c:v>
                </c:pt>
                <c:pt idx="7">
                  <c:v>135053.3397264005</c:v>
                </c:pt>
                <c:pt idx="10">
                  <c:v>368180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2C-4972-80F9-75138D716F17}"/>
            </c:ext>
          </c:extLst>
        </c:ser>
        <c:ser>
          <c:idx val="5"/>
          <c:order val="5"/>
          <c:tx>
            <c:strRef>
              <c:f>'Graficas (OK)'!$H$3</c:f>
              <c:strCache>
                <c:ptCount val="1"/>
                <c:pt idx="0">
                  <c:v>Fix capital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numRef>
              <c:f>'Graficas (OK)'!$B$4:$B$13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'Graficas (OK)'!$H$4:$H$16</c:f>
              <c:numCache>
                <c:formatCode>#,##0.00\ "€"</c:formatCode>
                <c:ptCount val="13"/>
                <c:pt idx="2">
                  <c:v>1042400.9727723151</c:v>
                </c:pt>
                <c:pt idx="5">
                  <c:v>1911552.5064175036</c:v>
                </c:pt>
                <c:pt idx="8">
                  <c:v>1614159.6656505577</c:v>
                </c:pt>
                <c:pt idx="11">
                  <c:v>3494069.124671388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2C-4972-80F9-75138D71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2514464"/>
        <c:axId val="462520040"/>
      </c:barChart>
      <c:lineChart>
        <c:grouping val="standard"/>
        <c:varyColors val="0"/>
        <c:ser>
          <c:idx val="6"/>
          <c:order val="6"/>
          <c:tx>
            <c:v>Auxiliar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'Graficas (OK)'!$Q$4:$Q$7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(OK)'!$X$4:$X$7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2C-4972-80F9-75138D71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65304"/>
        <c:axId val="462570224"/>
      </c:lineChart>
      <c:catAx>
        <c:axId val="4625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ln w="6350">
                  <a:solidFill>
                    <a:schemeClr val="tx1"/>
                  </a:solidFill>
                </a:ln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20040"/>
        <c:crosses val="autoZero"/>
        <c:auto val="1"/>
        <c:lblAlgn val="ctr"/>
        <c:lblOffset val="100"/>
        <c:tickMarkSkip val="2"/>
        <c:noMultiLvlLbl val="0"/>
      </c:catAx>
      <c:valAx>
        <c:axId val="46252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14464"/>
        <c:crosses val="autoZero"/>
        <c:crossBetween val="midCat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r>
                    <a:rPr lang="es-ES"/>
                    <a:t>Millons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</c:dispUnitsLbl>
        </c:dispUnits>
      </c:valAx>
      <c:valAx>
        <c:axId val="462570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65304"/>
        <c:crosses val="max"/>
        <c:crossBetween val="between"/>
      </c:valAx>
      <c:catAx>
        <c:axId val="4625653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7022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'Graficas (OK)'!$D$21</c:f>
              <c:strCache>
                <c:ptCount val="1"/>
                <c:pt idx="0">
                  <c:v>Cost (€/ha·year)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(OK)'!$B$22:$B$26</c:f>
              <c:strCache>
                <c:ptCount val="5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  <c:pt idx="4">
                  <c:v>Commercial</c:v>
                </c:pt>
              </c:strCache>
            </c:strRef>
          </c:cat>
          <c:val>
            <c:numRef>
              <c:f>'Graficas (OK)'!$D$22:$D$26</c:f>
              <c:numCache>
                <c:formatCode>0.00</c:formatCode>
                <c:ptCount val="5"/>
                <c:pt idx="0">
                  <c:v>198.80628760564133</c:v>
                </c:pt>
                <c:pt idx="1">
                  <c:v>298.53081397820642</c:v>
                </c:pt>
                <c:pt idx="2">
                  <c:v>210.15712131924201</c:v>
                </c:pt>
                <c:pt idx="3">
                  <c:v>290.5035203828408</c:v>
                </c:pt>
                <c:pt idx="4" formatCode="General">
                  <c:v>383.09999999999997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D-46C5-8A9B-104AC6D2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1152"/>
        <c:axId val="462158200"/>
      </c:barChart>
      <c:catAx>
        <c:axId val="46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58200"/>
        <c:crosses val="autoZero"/>
        <c:auto val="1"/>
        <c:lblAlgn val="ctr"/>
        <c:lblOffset val="100"/>
        <c:noMultiLvlLbl val="0"/>
      </c:catAx>
      <c:valAx>
        <c:axId val="4621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(€/ha·year)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6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'Graficas (OK)'!$C$39</c:f>
              <c:strCache>
                <c:ptCount val="1"/>
                <c:pt idx="0">
                  <c:v>Microalgae cultivation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F28-90E7-B57D9EFD4737}"/>
              </c:ext>
            </c:extLst>
          </c:dPt>
          <c:dPt>
            <c:idx val="4"/>
            <c:invertIfNegative val="0"/>
            <c:bubble3D val="0"/>
            <c:spPr>
              <a:solidFill>
                <a:schemeClr val="dk1"/>
              </a:solidFill>
              <a:ln w="12700" cap="flat" cmpd="sng" algn="ctr">
                <a:solidFill>
                  <a:schemeClr val="dk1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1-4F28-90E7-B57D9EFD4737}"/>
              </c:ext>
            </c:extLst>
          </c:dPt>
          <c:cat>
            <c:strRef>
              <c:f>'Graficas (OK)'!$B$40:$B$44</c:f>
              <c:strCache>
                <c:ptCount val="5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  <c:pt idx="4">
                  <c:v>Commercial</c:v>
                </c:pt>
              </c:strCache>
            </c:strRef>
          </c:cat>
          <c:val>
            <c:numRef>
              <c:f>'Graficas (OK)'!$C$40:$C$44</c:f>
              <c:numCache>
                <c:formatCode>#,##0.00\ "€"</c:formatCode>
                <c:ptCount val="5"/>
                <c:pt idx="0">
                  <c:v>70.488921680489398</c:v>
                </c:pt>
                <c:pt idx="1">
                  <c:v>90.01815462453429</c:v>
                </c:pt>
                <c:pt idx="2">
                  <c:v>210.15712131924201</c:v>
                </c:pt>
                <c:pt idx="3">
                  <c:v>290.5035203828408</c:v>
                </c:pt>
                <c:pt idx="4">
                  <c:v>383.09999999999997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81-4F28-90E7-B57D9EFD4737}"/>
            </c:ext>
          </c:extLst>
        </c:ser>
        <c:ser>
          <c:idx val="1"/>
          <c:order val="1"/>
          <c:tx>
            <c:strRef>
              <c:f>'Graficas (OK)'!$D$39</c:f>
              <c:strCache>
                <c:ptCount val="1"/>
                <c:pt idx="0">
                  <c:v>Biomass harvesting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(OK)'!$B$40:$B$44</c:f>
              <c:strCache>
                <c:ptCount val="5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  <c:pt idx="4">
                  <c:v>Commercial</c:v>
                </c:pt>
              </c:strCache>
            </c:strRef>
          </c:cat>
          <c:val>
            <c:numRef>
              <c:f>'Graficas (OK)'!$D$40:$D$44</c:f>
              <c:numCache>
                <c:formatCode>#,##0.00\ "€"</c:formatCode>
                <c:ptCount val="5"/>
                <c:pt idx="0">
                  <c:v>24.03599401789204</c:v>
                </c:pt>
                <c:pt idx="1">
                  <c:v>113.19430973959025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81-4F28-90E7-B57D9EFD4737}"/>
            </c:ext>
          </c:extLst>
        </c:ser>
        <c:ser>
          <c:idx val="2"/>
          <c:order val="2"/>
          <c:tx>
            <c:strRef>
              <c:f>'Graficas (OK)'!$E$39</c:f>
              <c:strCache>
                <c:ptCount val="1"/>
                <c:pt idx="0">
                  <c:v>Biomass pretreatment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(OK)'!$B$40:$B$44</c:f>
              <c:strCache>
                <c:ptCount val="5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  <c:pt idx="4">
                  <c:v>Commercial</c:v>
                </c:pt>
              </c:strCache>
            </c:strRef>
          </c:cat>
          <c:val>
            <c:numRef>
              <c:f>'Graficas (OK)'!$E$40:$E$44</c:f>
              <c:numCache>
                <c:formatCode>#,##0.00\ "€"</c:formatCode>
                <c:ptCount val="5"/>
                <c:pt idx="0">
                  <c:v>19.225655493979765</c:v>
                </c:pt>
                <c:pt idx="1">
                  <c:v>23.245717672029752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81-4F28-90E7-B57D9EFD4737}"/>
            </c:ext>
          </c:extLst>
        </c:ser>
        <c:ser>
          <c:idx val="3"/>
          <c:order val="3"/>
          <c:tx>
            <c:strRef>
              <c:f>'Graficas (OK)'!$F$39</c:f>
              <c:strCache>
                <c:ptCount val="1"/>
                <c:pt idx="0">
                  <c:v>Biostimulant production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(OK)'!$B$40:$B$44</c:f>
              <c:strCache>
                <c:ptCount val="5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  <c:pt idx="4">
                  <c:v>Commercial</c:v>
                </c:pt>
              </c:strCache>
            </c:strRef>
          </c:cat>
          <c:val>
            <c:numRef>
              <c:f>'Graficas (OK)'!$F$40:$F$44</c:f>
              <c:numCache>
                <c:formatCode>#,##0.00\ "€"</c:formatCode>
                <c:ptCount val="5"/>
                <c:pt idx="0">
                  <c:v>85.05571641328018</c:v>
                </c:pt>
                <c:pt idx="1">
                  <c:v>72.07263128362284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81-4F28-90E7-B57D9EFD4737}"/>
            </c:ext>
          </c:extLst>
        </c:ser>
        <c:ser>
          <c:idx val="4"/>
          <c:order val="4"/>
          <c:tx>
            <c:strRef>
              <c:f>'Graficas (OK)'!$G$39</c:f>
              <c:strCache>
                <c:ptCount val="1"/>
                <c:pt idx="0">
                  <c:v>Biopesticide production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(OK)'!$B$40:$B$44</c:f>
              <c:strCache>
                <c:ptCount val="5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  <c:pt idx="4">
                  <c:v>Commercial</c:v>
                </c:pt>
              </c:strCache>
            </c:strRef>
          </c:cat>
          <c:val>
            <c:numRef>
              <c:f>'Graficas (OK)'!$G$40:$G$44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81-4F28-90E7-B57D9EF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62161152"/>
        <c:axId val="462158200"/>
      </c:barChart>
      <c:catAx>
        <c:axId val="46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58200"/>
        <c:crosses val="autoZero"/>
        <c:auto val="1"/>
        <c:lblAlgn val="ctr"/>
        <c:lblOffset val="100"/>
        <c:noMultiLvlLbl val="0"/>
      </c:catAx>
      <c:valAx>
        <c:axId val="4621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(€/ha·year)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6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'Graficas (OK)'!$C$67</c:f>
              <c:strCache>
                <c:ptCount val="1"/>
                <c:pt idx="0">
                  <c:v>Water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(OK)'!$B$68:$B$71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(OK)'!$C$68:$C$71</c:f>
              <c:numCache>
                <c:formatCode>#,##0.00\ "€"</c:formatCode>
                <c:ptCount val="4"/>
                <c:pt idx="0">
                  <c:v>4049.5787499999942</c:v>
                </c:pt>
                <c:pt idx="1">
                  <c:v>4049.5787499999942</c:v>
                </c:pt>
                <c:pt idx="2">
                  <c:v>4049.5787500000001</c:v>
                </c:pt>
                <c:pt idx="3">
                  <c:v>4049.5787500000001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6-49FF-8275-7D50AAB67D39}"/>
            </c:ext>
          </c:extLst>
        </c:ser>
        <c:ser>
          <c:idx val="1"/>
          <c:order val="1"/>
          <c:tx>
            <c:strRef>
              <c:f>'Graficas (OK)'!$D$67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(OK)'!$B$68:$B$71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(OK)'!$D$68:$D$71</c:f>
              <c:numCache>
                <c:formatCode>#,##0.00\ "€"</c:formatCode>
                <c:ptCount val="4"/>
                <c:pt idx="0">
                  <c:v>25848.374999999967</c:v>
                </c:pt>
                <c:pt idx="1">
                  <c:v>25848.374999999967</c:v>
                </c:pt>
                <c:pt idx="2">
                  <c:v>25848.375</c:v>
                </c:pt>
                <c:pt idx="3">
                  <c:v>25848.375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6-49FF-8275-7D50AAB67D39}"/>
            </c:ext>
          </c:extLst>
        </c:ser>
        <c:ser>
          <c:idx val="2"/>
          <c:order val="2"/>
          <c:tx>
            <c:strRef>
              <c:f>'Graficas (OK)'!$E$67</c:f>
              <c:strCache>
                <c:ptCount val="1"/>
                <c:pt idx="0">
                  <c:v>Enzymes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(OK)'!$B$68:$B$71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(OK)'!$E$68:$E$71</c:f>
              <c:numCache>
                <c:formatCode>#,##0.00\ "€"</c:formatCode>
                <c:ptCount val="4"/>
                <c:pt idx="0">
                  <c:v>32741.274999999954</c:v>
                </c:pt>
                <c:pt idx="1">
                  <c:v>32741.274999999954</c:v>
                </c:pt>
                <c:pt idx="2">
                  <c:v>27993.790124999996</c:v>
                </c:pt>
                <c:pt idx="3">
                  <c:v>27993.790124999996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86-49FF-8275-7D50AAB67D39}"/>
            </c:ext>
          </c:extLst>
        </c:ser>
        <c:ser>
          <c:idx val="3"/>
          <c:order val="3"/>
          <c:tx>
            <c:strRef>
              <c:f>'Graficas (OK)'!$F$67</c:f>
              <c:strCache>
                <c:ptCount val="1"/>
                <c:pt idx="0">
                  <c:v>Phosphate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(OK)'!$B$68:$B$71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(OK)'!$F$68:$F$71</c:f>
              <c:numCache>
                <c:formatCode>#,##0.00\ "€"</c:formatCode>
                <c:ptCount val="4"/>
                <c:pt idx="0">
                  <c:v>19220.045875940992</c:v>
                </c:pt>
                <c:pt idx="1">
                  <c:v>15022.711144878442</c:v>
                </c:pt>
                <c:pt idx="2">
                  <c:v>15550.895768893235</c:v>
                </c:pt>
                <c:pt idx="3">
                  <c:v>13218.598652572107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86-49FF-8275-7D50AAB67D39}"/>
            </c:ext>
          </c:extLst>
        </c:ser>
        <c:ser>
          <c:idx val="4"/>
          <c:order val="4"/>
          <c:tx>
            <c:strRef>
              <c:f>'Graficas (OK)'!$G$67</c:f>
              <c:strCache>
                <c:ptCount val="1"/>
                <c:pt idx="0">
                  <c:v>Solvent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(OK)'!$B$68:$B$71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(OK)'!$G$68:$G$71</c:f>
              <c:numCache>
                <c:formatCode>#,##0.00\ "€"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3274.1275000000001</c:v>
                </c:pt>
                <c:pt idx="3">
                  <c:v>727.58388888888874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86-49FF-8275-7D50AAB67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62161152"/>
        <c:axId val="462158200"/>
      </c:barChart>
      <c:catAx>
        <c:axId val="46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58200"/>
        <c:crosses val="autoZero"/>
        <c:auto val="1"/>
        <c:lblAlgn val="ctr"/>
        <c:lblOffset val="100"/>
        <c:noMultiLvlLbl val="0"/>
      </c:catAx>
      <c:valAx>
        <c:axId val="4621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Raw</a:t>
                </a:r>
                <a:r>
                  <a:rPr lang="es-ES" baseline="0"/>
                  <a:t> material c</a:t>
                </a:r>
                <a:r>
                  <a:rPr lang="es-ES"/>
                  <a:t>ost (€/year)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6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'Graficas (OK)'!$C$72</c:f>
              <c:strCache>
                <c:ptCount val="1"/>
                <c:pt idx="0">
                  <c:v>Pumps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(OK)'!$C$73:$C$76</c:f>
              <c:numCache>
                <c:formatCode>#,##0.00\ "€"</c:formatCode>
                <c:ptCount val="4"/>
                <c:pt idx="0">
                  <c:v>186.50769999999994</c:v>
                </c:pt>
                <c:pt idx="1">
                  <c:v>186.28869999999998</c:v>
                </c:pt>
                <c:pt idx="2">
                  <c:v>292.87599999999998</c:v>
                </c:pt>
                <c:pt idx="3">
                  <c:v>292.87599999999998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4-426A-A50B-F4AF7B1E400B}"/>
            </c:ext>
          </c:extLst>
        </c:ser>
        <c:ser>
          <c:idx val="1"/>
          <c:order val="1"/>
          <c:tx>
            <c:strRef>
              <c:f>'Graficas (OK)'!$D$72</c:f>
              <c:strCache>
                <c:ptCount val="1"/>
                <c:pt idx="0">
                  <c:v>Membrane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(OK)'!$D$73:$D$76</c:f>
              <c:numCache>
                <c:formatCode>#,##0.00\ "€"</c:formatCode>
                <c:ptCount val="4"/>
                <c:pt idx="0">
                  <c:v>4308.0624999999936</c:v>
                </c:pt>
                <c:pt idx="1">
                  <c:v>0</c:v>
                </c:pt>
                <c:pt idx="2">
                  <c:v>4931.2381008333332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4-426A-A50B-F4AF7B1E400B}"/>
            </c:ext>
          </c:extLst>
        </c:ser>
        <c:ser>
          <c:idx val="2"/>
          <c:order val="2"/>
          <c:tx>
            <c:strRef>
              <c:f>'Graficas (OK)'!$E$72</c:f>
              <c:strCache>
                <c:ptCount val="1"/>
                <c:pt idx="0">
                  <c:v>Mixing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(OK)'!$E$73:$E$76</c:f>
              <c:numCache>
                <c:formatCode>#,##0.00\ "€"</c:formatCode>
                <c:ptCount val="4"/>
                <c:pt idx="0">
                  <c:v>55332.754749999935</c:v>
                </c:pt>
                <c:pt idx="1">
                  <c:v>48966.395722222165</c:v>
                </c:pt>
                <c:pt idx="2">
                  <c:v>57292.863326954459</c:v>
                </c:pt>
                <c:pt idx="3">
                  <c:v>49421.501094064406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4-426A-A50B-F4AF7B1E400B}"/>
            </c:ext>
          </c:extLst>
        </c:ser>
        <c:ser>
          <c:idx val="3"/>
          <c:order val="3"/>
          <c:tx>
            <c:strRef>
              <c:f>'Graficas (OK)'!$F$72</c:f>
              <c:strCache>
                <c:ptCount val="1"/>
                <c:pt idx="0">
                  <c:v>Ultrasound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(OK)'!$F$73:$F$76</c:f>
              <c:numCache>
                <c:formatCode>#,##0.00\ "€"</c:formatCode>
                <c:ptCount val="4"/>
                <c:pt idx="0">
                  <c:v>4547.3993055555493</c:v>
                </c:pt>
                <c:pt idx="1">
                  <c:v>4547.3993055555493</c:v>
                </c:pt>
                <c:pt idx="2">
                  <c:v>4547.3993055555547</c:v>
                </c:pt>
                <c:pt idx="3">
                  <c:v>4547.3993055555547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4-426A-A50B-F4AF7B1E400B}"/>
            </c:ext>
          </c:extLst>
        </c:ser>
        <c:ser>
          <c:idx val="4"/>
          <c:order val="4"/>
          <c:tx>
            <c:strRef>
              <c:f>'Graficas (OK)'!$G$72</c:f>
              <c:strCache>
                <c:ptCount val="1"/>
                <c:pt idx="0">
                  <c:v>Centrifuge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(OK)'!$G$73:$G$76</c:f>
              <c:numCache>
                <c:formatCode>#,##0.00\ "€"</c:formatCode>
                <c:ptCount val="4"/>
                <c:pt idx="0">
                  <c:v>0</c:v>
                </c:pt>
                <c:pt idx="1">
                  <c:v>21540.312499999971</c:v>
                </c:pt>
                <c:pt idx="2">
                  <c:v>0</c:v>
                </c:pt>
                <c:pt idx="3">
                  <c:v>22232.729834259258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4-426A-A50B-F4AF7B1E400B}"/>
            </c:ext>
          </c:extLst>
        </c:ser>
        <c:ser>
          <c:idx val="5"/>
          <c:order val="5"/>
          <c:tx>
            <c:strRef>
              <c:f>'Graficas (OK)'!$H$72</c:f>
              <c:strCache>
                <c:ptCount val="1"/>
                <c:pt idx="0">
                  <c:v>Heat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(OK)'!$B$73:$B$76</c:f>
              <c:strCache>
                <c:ptCount val="4"/>
                <c:pt idx="0">
                  <c:v>Biostimulant producion with membrane</c:v>
                </c:pt>
                <c:pt idx="1">
                  <c:v>Biostimulant producion with centrifuge</c:v>
                </c:pt>
                <c:pt idx="2">
                  <c:v>Biostimulant and biopesticide producion with membrane</c:v>
                </c:pt>
                <c:pt idx="3">
                  <c:v>Biostimulant and biopesticide producion with centrifuge</c:v>
                </c:pt>
              </c:strCache>
            </c:strRef>
          </c:cat>
          <c:val>
            <c:numRef>
              <c:f>'Graficas (OK)'!$H$73:$H$76</c:f>
              <c:numCache>
                <c:formatCode>#,##0.00\ "€"</c:formatCode>
                <c:ptCount val="4"/>
                <c:pt idx="0">
                  <c:v>43532.044644885653</c:v>
                </c:pt>
                <c:pt idx="1">
                  <c:v>9673.7876988634798</c:v>
                </c:pt>
                <c:pt idx="2">
                  <c:v>133994.55838717765</c:v>
                </c:pt>
                <c:pt idx="3">
                  <c:v>29887.417712040635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4-426A-A50B-F4AF7B1E4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62161152"/>
        <c:axId val="462158200"/>
      </c:barChart>
      <c:catAx>
        <c:axId val="46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58200"/>
        <c:crosses val="autoZero"/>
        <c:auto val="1"/>
        <c:lblAlgn val="ctr"/>
        <c:lblOffset val="100"/>
        <c:noMultiLvlLbl val="0"/>
      </c:catAx>
      <c:valAx>
        <c:axId val="4621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Inputs </a:t>
                </a:r>
                <a:r>
                  <a:rPr lang="es-ES" baseline="0"/>
                  <a:t>c</a:t>
                </a:r>
                <a:r>
                  <a:rPr lang="es-ES"/>
                  <a:t>ost (€/year)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6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(OK)'!$B$87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(OK)'!$C$87:$E$87</c:f>
              <c:numCache>
                <c:formatCode>#,##0.00\ "€"</c:formatCode>
                <c:ptCount val="3"/>
                <c:pt idx="0">
                  <c:v>62.202089405009914</c:v>
                </c:pt>
                <c:pt idx="1">
                  <c:v>65.488963502830316</c:v>
                </c:pt>
                <c:pt idx="2">
                  <c:v>69.617002711753102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E-4E70-B423-38D1E5DFC84F}"/>
            </c:ext>
          </c:extLst>
        </c:ser>
        <c:ser>
          <c:idx val="1"/>
          <c:order val="1"/>
          <c:tx>
            <c:strRef>
              <c:f>'Graficas (OK)'!$B$88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(OK)'!$C$88:$E$88</c:f>
              <c:numCache>
                <c:formatCode>#,##0.00\ "€"</c:formatCode>
                <c:ptCount val="3"/>
                <c:pt idx="0">
                  <c:v>71.641689310885241</c:v>
                </c:pt>
                <c:pt idx="1">
                  <c:v>65.488963502830316</c:v>
                </c:pt>
                <c:pt idx="2">
                  <c:v>59.336237694775399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E-4E70-B423-38D1E5DFC84F}"/>
            </c:ext>
          </c:extLst>
        </c:ser>
        <c:ser>
          <c:idx val="2"/>
          <c:order val="2"/>
          <c:tx>
            <c:strRef>
              <c:f>'Graficas (OK)'!$B$89</c:f>
              <c:strCache>
                <c:ptCount val="1"/>
                <c:pt idx="0">
                  <c:v>Steam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(OK)'!$C$89:$E$89</c:f>
              <c:numCache>
                <c:formatCode>#,##0.00\ "€"</c:formatCode>
                <c:ptCount val="3"/>
                <c:pt idx="0">
                  <c:v>67.470225689351068</c:v>
                </c:pt>
                <c:pt idx="1">
                  <c:v>65.488963502830316</c:v>
                </c:pt>
                <c:pt idx="2">
                  <c:v>63.952249597725519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E-4E70-B423-38D1E5DF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'Graficas (OK)'!$B$90</c15:sqref>
                        </c15:formulaRef>
                      </c:ext>
                    </c:extLst>
                    <c:strCache>
                      <c:ptCount val="1"/>
                      <c:pt idx="0">
                        <c:v>Phosphate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4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12700" cap="flat" cmpd="sng" algn="ctr">
                      <a:solidFill>
                        <a:schemeClr val="accent4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'Graficas (OK)'!$C$86:$E$86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'Graficas (OK)'!$C$90:$E$90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67.025677407935135</c:v>
                      </c:pt>
                      <c:pt idx="1">
                        <c:v>65.488963502830316</c:v>
                      </c:pt>
                      <c:pt idx="2">
                        <c:v>63.952249597725519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59E-4E70-B423-38D1E5DFC84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(OK)'!$B$91</c15:sqref>
                        </c15:formulaRef>
                      </c:ext>
                    </c:extLst>
                    <c:strCache>
                      <c:ptCount val="1"/>
                      <c:pt idx="0">
                        <c:v>Enzymes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5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12700" cap="flat" cmpd="sng" algn="ctr">
                      <a:solidFill>
                        <a:schemeClr val="accent5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(OK)'!$C$86:$E$86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(OK)'!$C$91:$E$91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68.106749791589479</c:v>
                      </c:pt>
                      <c:pt idx="1">
                        <c:v>65.488963502830316</c:v>
                      </c:pt>
                      <c:pt idx="2">
                        <c:v>62.87117721407116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59E-4E70-B423-38D1E5DFC84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(OK)'!$B$92</c15:sqref>
                        </c15:formulaRef>
                      </c:ext>
                    </c:extLst>
                    <c:strCache>
                      <c:ptCount val="1"/>
                      <c:pt idx="0">
                        <c:v>CO2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6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12700" cap="flat" cmpd="sng" algn="ctr">
                      <a:solidFill>
                        <a:schemeClr val="accent6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(OK)'!$C$86:$E$86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(OK)'!$C$92:$E$92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67.555636888692817</c:v>
                      </c:pt>
                      <c:pt idx="1">
                        <c:v>65.488963502830316</c:v>
                      </c:pt>
                      <c:pt idx="2">
                        <c:v>63.422290116967829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59E-4E70-B423-38D1E5DFC84F}"/>
                  </c:ext>
                </c:extLst>
              </c15:ser>
            </c15:filteredLineSeries>
          </c:ext>
        </c:extLst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 cost</a:t>
                </a:r>
                <a:r>
                  <a:rPr lang="es-ES" baseline="0"/>
                  <a:t>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(OK)'!$B$87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(OK)'!$F$87:$H$87</c:f>
              <c:numCache>
                <c:formatCode>#,##0.00\ "€"</c:formatCode>
                <c:ptCount val="3"/>
                <c:pt idx="0">
                  <c:v>321.98400532396636</c:v>
                </c:pt>
                <c:pt idx="1">
                  <c:v>342.56130727919367</c:v>
                </c:pt>
                <c:pt idx="2">
                  <c:v>368.02392216388836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5-47F1-8463-BFB026E255F5}"/>
            </c:ext>
          </c:extLst>
        </c:ser>
        <c:ser>
          <c:idx val="1"/>
          <c:order val="1"/>
          <c:tx>
            <c:strRef>
              <c:f>'Graficas (OK)'!$B$88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(OK)'!$F$88:$H$88</c:f>
              <c:numCache>
                <c:formatCode>#,##0.00\ "€"</c:formatCode>
                <c:ptCount val="3"/>
                <c:pt idx="0">
                  <c:v>374.54550786974545</c:v>
                </c:pt>
                <c:pt idx="1">
                  <c:v>342.56130727919367</c:v>
                </c:pt>
                <c:pt idx="2">
                  <c:v>310.57710668864189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5-47F1-8463-BFB026E255F5}"/>
            </c:ext>
          </c:extLst>
        </c:ser>
        <c:ser>
          <c:idx val="2"/>
          <c:order val="2"/>
          <c:tx>
            <c:strRef>
              <c:f>'Graficas (OK)'!$B$89</c:f>
              <c:strCache>
                <c:ptCount val="1"/>
                <c:pt idx="0">
                  <c:v>Steam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(OK)'!$F$89:$H$89</c:f>
              <c:numCache>
                <c:formatCode>#,##0.00\ "€"</c:formatCode>
                <c:ptCount val="3"/>
                <c:pt idx="0">
                  <c:v>344.51952819029509</c:v>
                </c:pt>
                <c:pt idx="1">
                  <c:v>342.56130727919367</c:v>
                </c:pt>
                <c:pt idx="2">
                  <c:v>337.21911931324962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5-47F1-8463-BFB026E2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'Graficas (OK)'!$B$90</c15:sqref>
                        </c15:formulaRef>
                      </c:ext>
                    </c:extLst>
                    <c:strCache>
                      <c:ptCount val="1"/>
                      <c:pt idx="0">
                        <c:v>Phosphate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4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12700" cap="flat" cmpd="sng" algn="ctr">
                      <a:solidFill>
                        <a:schemeClr val="accent4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'Graficas (OK)'!$F$86:$H$86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'Graficas (OK)'!$F$90:$H$90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347.90349524513766</c:v>
                      </c:pt>
                      <c:pt idx="1">
                        <c:v>342.56130727919367</c:v>
                      </c:pt>
                      <c:pt idx="2">
                        <c:v>337.21911931324962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5E5-47F1-8463-BFB026E255F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(OK)'!$B$91</c15:sqref>
                        </c15:formulaRef>
                      </c:ext>
                    </c:extLst>
                    <c:strCache>
                      <c:ptCount val="1"/>
                      <c:pt idx="0">
                        <c:v>Enzymes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5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12700" cap="flat" cmpd="sng" algn="ctr">
                      <a:solidFill>
                        <a:schemeClr val="accent5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(OK)'!$F$86:$H$86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(OK)'!$F$91:$H$91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354.2043485124197</c:v>
                      </c:pt>
                      <c:pt idx="1">
                        <c:v>342.56130727919367</c:v>
                      </c:pt>
                      <c:pt idx="2">
                        <c:v>330.91826604596764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5E5-47F1-8463-BFB026E255F5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(OK)'!$B$92</c15:sqref>
                        </c15:formulaRef>
                      </c:ext>
                    </c:extLst>
                    <c:strCache>
                      <c:ptCount val="1"/>
                      <c:pt idx="0">
                        <c:v>CO2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6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12700" cap="flat" cmpd="sng" algn="ctr">
                      <a:solidFill>
                        <a:schemeClr val="accent6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(OK)'!$F$86:$H$86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(OK)'!$F$92:$H$92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351.75318193700372</c:v>
                      </c:pt>
                      <c:pt idx="1">
                        <c:v>342.56130727919367</c:v>
                      </c:pt>
                      <c:pt idx="2">
                        <c:v>333.36943262138368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5E5-47F1-8463-BFB026E255F5}"/>
                  </c:ext>
                </c:extLst>
              </c15:ser>
            </c15:filteredLineSeries>
          </c:ext>
        </c:extLst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 cost</a:t>
                </a:r>
                <a:r>
                  <a:rPr lang="es-ES" baseline="0"/>
                  <a:t>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1'!$W$22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1'!$Y$22:$AA$22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A9B-4580-82BB-50BD6DE67387}"/>
            </c:ext>
          </c:extLst>
        </c:ser>
        <c:ser>
          <c:idx val="1"/>
          <c:order val="1"/>
          <c:tx>
            <c:strRef>
              <c:f>'Sensibilidad proceso 1'!$W$23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1'!$Y$23:$AA$23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A9B-4580-82BB-50BD6DE67387}"/>
            </c:ext>
          </c:extLst>
        </c:ser>
        <c:ser>
          <c:idx val="2"/>
          <c:order val="2"/>
          <c:tx>
            <c:strRef>
              <c:f>'Sensibilidad proceso 1'!$W$24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1'!$Y$24:$AA$24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A9B-4580-82BB-50BD6DE67387}"/>
            </c:ext>
          </c:extLst>
        </c:ser>
        <c:ser>
          <c:idx val="3"/>
          <c:order val="3"/>
          <c:tx>
            <c:strRef>
              <c:f>'Sensibilidad proceso 1'!$W$25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1'!$Y$25:$AA$25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8A9B-4580-82BB-50BD6DE67387}"/>
            </c:ext>
          </c:extLst>
        </c:ser>
        <c:ser>
          <c:idx val="4"/>
          <c:order val="4"/>
          <c:tx>
            <c:strRef>
              <c:f>'Sensibilidad proceso 1'!$W$26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1'!$Y$26:$AA$26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1'!$Y$21:$AA$21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8A9B-4580-82BB-50BD6DE6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production  (m</a:t>
                </a:r>
                <a:r>
                  <a:rPr lang="es-ES" baseline="30000"/>
                  <a:t>3</a:t>
                </a:r>
                <a:r>
                  <a:rPr lang="es-ES" baseline="0"/>
                  <a:t>/year)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(OK)'!$B$95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(OK)'!$C$95:$E$95</c:f>
              <c:numCache>
                <c:formatCode>0.00</c:formatCode>
                <c:ptCount val="3"/>
                <c:pt idx="0">
                  <c:v>9040.9828244526761</c:v>
                </c:pt>
                <c:pt idx="1">
                  <c:v>8223.7588417518691</c:v>
                </c:pt>
                <c:pt idx="2">
                  <c:v>7403.9190744526813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9-470E-A56B-6E50C250F7FE}"/>
            </c:ext>
          </c:extLst>
        </c:ser>
        <c:ser>
          <c:idx val="1"/>
          <c:order val="1"/>
          <c:tx>
            <c:strRef>
              <c:f>'Graficas (OK)'!$B$96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(OK)'!$C$96:$E$96</c:f>
              <c:numCache>
                <c:formatCode>0.00</c:formatCode>
                <c:ptCount val="3"/>
                <c:pt idx="0">
                  <c:v>8223.7588417518691</c:v>
                </c:pt>
                <c:pt idx="1">
                  <c:v>8223.7588417518691</c:v>
                </c:pt>
                <c:pt idx="2">
                  <c:v>8223.7588417518691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9-470E-A56B-6E50C250F7FE}"/>
            </c:ext>
          </c:extLst>
        </c:ser>
        <c:ser>
          <c:idx val="2"/>
          <c:order val="2"/>
          <c:tx>
            <c:strRef>
              <c:f>'Graficas (OK)'!$B$97</c:f>
              <c:strCache>
                <c:ptCount val="1"/>
                <c:pt idx="0">
                  <c:v>Heat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(OK)'!$C$97:$E$97</c:f>
              <c:numCache>
                <c:formatCode>0.00</c:formatCode>
                <c:ptCount val="3"/>
                <c:pt idx="0">
                  <c:v>8223.7588417518691</c:v>
                </c:pt>
                <c:pt idx="1">
                  <c:v>8223.7588417518691</c:v>
                </c:pt>
                <c:pt idx="2">
                  <c:v>8223.7588417518691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9-470E-A56B-6E50C250F7FE}"/>
            </c:ext>
          </c:extLst>
        </c:ser>
        <c:ser>
          <c:idx val="3"/>
          <c:order val="3"/>
          <c:tx>
            <c:strRef>
              <c:f>'Graficas (OK)'!$B$98</c:f>
              <c:strCache>
                <c:ptCount val="1"/>
                <c:pt idx="0">
                  <c:v>Phosphate</c:v>
                </c:pt>
              </c:strCache>
            </c:strRef>
          </c:tx>
          <c:spPr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(OK)'!$C$98:$E$98</c:f>
              <c:numCache>
                <c:formatCode>0.00</c:formatCode>
                <c:ptCount val="3"/>
                <c:pt idx="0">
                  <c:v>8223.7588417518691</c:v>
                </c:pt>
                <c:pt idx="1">
                  <c:v>8223.7588417518691</c:v>
                </c:pt>
                <c:pt idx="2">
                  <c:v>8223.7588417518691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69-470E-A56B-6E50C250F7FE}"/>
            </c:ext>
          </c:extLst>
        </c:ser>
        <c:ser>
          <c:idx val="4"/>
          <c:order val="4"/>
          <c:tx>
            <c:strRef>
              <c:f>'Graficas (OK)'!$B$99</c:f>
              <c:strCache>
                <c:ptCount val="1"/>
                <c:pt idx="0">
                  <c:v>Enzymes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(OK)'!$C$86:$E$86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(OK)'!$C$99:$E$99</c:f>
              <c:numCache>
                <c:formatCode>0.00</c:formatCode>
                <c:ptCount val="3"/>
                <c:pt idx="0">
                  <c:v>8223.7588417518691</c:v>
                </c:pt>
                <c:pt idx="1">
                  <c:v>8223.7588417518691</c:v>
                </c:pt>
                <c:pt idx="2">
                  <c:v>8223.7588417518691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9-470E-A56B-6E50C250F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 baseline="0"/>
                  <a:t>Biostimulant production (m</a:t>
                </a:r>
                <a:r>
                  <a:rPr lang="es-ES" baseline="30000"/>
                  <a:t>3</a:t>
                </a:r>
                <a:r>
                  <a:rPr lang="es-ES" baseline="0"/>
                  <a:t>/year)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(OK)'!$B$95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(OK)'!$F$95:$H$95</c:f>
              <c:numCache>
                <c:formatCode>0.00</c:formatCode>
                <c:ptCount val="3"/>
                <c:pt idx="0">
                  <c:v>2030.9011167341985</c:v>
                </c:pt>
                <c:pt idx="1">
                  <c:v>1849.0051445119771</c:v>
                </c:pt>
                <c:pt idx="2">
                  <c:v>1667.1091722897547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4-4B7C-9C09-0385D7959C54}"/>
            </c:ext>
          </c:extLst>
        </c:ser>
        <c:ser>
          <c:idx val="1"/>
          <c:order val="1"/>
          <c:tx>
            <c:strRef>
              <c:f>'Graficas (OK)'!$B$96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(OK)'!$F$96:$H$96</c:f>
              <c:numCache>
                <c:formatCode>0.00</c:formatCode>
                <c:ptCount val="3"/>
                <c:pt idx="0">
                  <c:v>1849.0051445119771</c:v>
                </c:pt>
                <c:pt idx="1">
                  <c:v>1849.0051445119771</c:v>
                </c:pt>
                <c:pt idx="2">
                  <c:v>1849.0051445119771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4-4B7C-9C09-0385D7959C54}"/>
            </c:ext>
          </c:extLst>
        </c:ser>
        <c:ser>
          <c:idx val="2"/>
          <c:order val="2"/>
          <c:tx>
            <c:strRef>
              <c:f>'Graficas (OK)'!$B$97</c:f>
              <c:strCache>
                <c:ptCount val="1"/>
                <c:pt idx="0">
                  <c:v>Heat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(OK)'!$F$97:$H$97</c:f>
              <c:numCache>
                <c:formatCode>0.00</c:formatCode>
                <c:ptCount val="3"/>
                <c:pt idx="0">
                  <c:v>1849.0051445119771</c:v>
                </c:pt>
                <c:pt idx="1">
                  <c:v>1849.0051445119771</c:v>
                </c:pt>
                <c:pt idx="2">
                  <c:v>1849.0051445119771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4-4B7C-9C09-0385D7959C54}"/>
            </c:ext>
          </c:extLst>
        </c:ser>
        <c:ser>
          <c:idx val="3"/>
          <c:order val="3"/>
          <c:tx>
            <c:strRef>
              <c:f>'Graficas (OK)'!$B$98</c:f>
              <c:strCache>
                <c:ptCount val="1"/>
                <c:pt idx="0">
                  <c:v>Phosphate</c:v>
                </c:pt>
              </c:strCache>
            </c:strRef>
          </c:tx>
          <c:spPr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(OK)'!$F$98:$H$98</c:f>
              <c:numCache>
                <c:formatCode>0.00</c:formatCode>
                <c:ptCount val="3"/>
                <c:pt idx="0">
                  <c:v>1849.0051445119771</c:v>
                </c:pt>
                <c:pt idx="1">
                  <c:v>1849.0051445119771</c:v>
                </c:pt>
                <c:pt idx="2">
                  <c:v>1849.0051445119771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4-4B7C-9C09-0385D7959C54}"/>
            </c:ext>
          </c:extLst>
        </c:ser>
        <c:ser>
          <c:idx val="4"/>
          <c:order val="4"/>
          <c:tx>
            <c:strRef>
              <c:f>'Graficas (OK)'!$B$99</c:f>
              <c:strCache>
                <c:ptCount val="1"/>
                <c:pt idx="0">
                  <c:v>Enzymes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(OK)'!$F$86:$H$86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(OK)'!$F$99:$H$99</c:f>
              <c:numCache>
                <c:formatCode>0.00</c:formatCode>
                <c:ptCount val="3"/>
                <c:pt idx="0">
                  <c:v>1849.0051445119771</c:v>
                </c:pt>
                <c:pt idx="1">
                  <c:v>1849.0051445119771</c:v>
                </c:pt>
                <c:pt idx="2">
                  <c:v>1849.0051445119771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4-4B7C-9C09-0385D7959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 production</a:t>
                </a:r>
                <a:r>
                  <a:rPr lang="es-ES" baseline="0"/>
                  <a:t>  (m</a:t>
                </a:r>
                <a:r>
                  <a:rPr lang="es-ES" baseline="30000"/>
                  <a:t>3</a:t>
                </a:r>
                <a:r>
                  <a:rPr lang="es-ES" baseline="0"/>
                  <a:t>/year)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(OK)'!$B$95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(OK)'!$I$95:$K$95</c:f>
              <c:numCache>
                <c:formatCode>0.00</c:formatCode>
                <c:ptCount val="3"/>
                <c:pt idx="0">
                  <c:v>868.81336377494165</c:v>
                </c:pt>
                <c:pt idx="1">
                  <c:v>292.0627246627721</c:v>
                </c:pt>
                <c:pt idx="2">
                  <c:v>710.84729763404323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A-48AE-91B2-E5484EE106FC}"/>
            </c:ext>
          </c:extLst>
        </c:ser>
        <c:ser>
          <c:idx val="1"/>
          <c:order val="1"/>
          <c:tx>
            <c:strRef>
              <c:f>'Graficas (OK)'!$B$96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(OK)'!$I$96:$K$96</c:f>
              <c:numCache>
                <c:formatCode>0.00</c:formatCode>
                <c:ptCount val="3"/>
                <c:pt idx="0">
                  <c:v>292.0627246627721</c:v>
                </c:pt>
                <c:pt idx="1">
                  <c:v>292.0627246627721</c:v>
                </c:pt>
                <c:pt idx="2">
                  <c:v>292.0627246627721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A-48AE-91B2-E5484EE106FC}"/>
            </c:ext>
          </c:extLst>
        </c:ser>
        <c:ser>
          <c:idx val="2"/>
          <c:order val="2"/>
          <c:tx>
            <c:strRef>
              <c:f>'Graficas (OK)'!$B$97</c:f>
              <c:strCache>
                <c:ptCount val="1"/>
                <c:pt idx="0">
                  <c:v>Heat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(OK)'!$I$97:$K$97</c:f>
              <c:numCache>
                <c:formatCode>0.00</c:formatCode>
                <c:ptCount val="3"/>
                <c:pt idx="0">
                  <c:v>292.0627246627721</c:v>
                </c:pt>
                <c:pt idx="1">
                  <c:v>292.0627246627721</c:v>
                </c:pt>
                <c:pt idx="2">
                  <c:v>292.0627246627721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A-48AE-91B2-E5484EE106FC}"/>
            </c:ext>
          </c:extLst>
        </c:ser>
        <c:ser>
          <c:idx val="3"/>
          <c:order val="3"/>
          <c:tx>
            <c:strRef>
              <c:f>'Graficas (OK)'!$B$98</c:f>
              <c:strCache>
                <c:ptCount val="1"/>
                <c:pt idx="0">
                  <c:v>Phosphate</c:v>
                </c:pt>
              </c:strCache>
            </c:strRef>
          </c:tx>
          <c:spPr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(OK)'!$I$98:$K$98</c:f>
              <c:numCache>
                <c:formatCode>0.00</c:formatCode>
                <c:ptCount val="3"/>
                <c:pt idx="0">
                  <c:v>292.0627246627721</c:v>
                </c:pt>
                <c:pt idx="1">
                  <c:v>292.0627246627721</c:v>
                </c:pt>
                <c:pt idx="2">
                  <c:v>292.0627246627721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9A-48AE-91B2-E5484EE106FC}"/>
            </c:ext>
          </c:extLst>
        </c:ser>
        <c:ser>
          <c:idx val="4"/>
          <c:order val="4"/>
          <c:tx>
            <c:strRef>
              <c:f>'Graficas (OK)'!$B$99</c:f>
              <c:strCache>
                <c:ptCount val="1"/>
                <c:pt idx="0">
                  <c:v>Enzymes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(OK)'!$I$99:$K$99</c:f>
              <c:numCache>
                <c:formatCode>0.00</c:formatCode>
                <c:ptCount val="3"/>
                <c:pt idx="0">
                  <c:v>292.0627246627721</c:v>
                </c:pt>
                <c:pt idx="1">
                  <c:v>292.0627246627721</c:v>
                </c:pt>
                <c:pt idx="2">
                  <c:v>292.0627246627721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9A-48AE-91B2-E5484EE1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production (m</a:t>
                </a:r>
                <a:r>
                  <a:rPr lang="es-ES" baseline="30000"/>
                  <a:t>3</a:t>
                </a:r>
                <a:r>
                  <a:rPr lang="es-ES" baseline="0"/>
                  <a:t>/year)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'Graficas (OK)'!$C$141</c:f>
              <c:strCache>
                <c:ptCount val="1"/>
                <c:pt idx="0">
                  <c:v>Microalgae cultivation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(OK)'!$C$142:$C$145</c:f>
              <c:numCache>
                <c:formatCode>0.0%</c:formatCode>
                <c:ptCount val="4"/>
                <c:pt idx="0">
                  <c:v>0.36106539774610918</c:v>
                </c:pt>
                <c:pt idx="1">
                  <c:v>0.19689489071390581</c:v>
                </c:pt>
                <c:pt idx="2">
                  <c:v>0.23317081318177801</c:v>
                </c:pt>
                <c:pt idx="3">
                  <c:v>0.107718224344049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5-43AA-9993-15223DB526D9}"/>
            </c:ext>
          </c:extLst>
        </c:ser>
        <c:ser>
          <c:idx val="1"/>
          <c:order val="1"/>
          <c:tx>
            <c:strRef>
              <c:f>'Graficas (OK)'!$D$141</c:f>
              <c:strCache>
                <c:ptCount val="1"/>
                <c:pt idx="0">
                  <c:v>Biomass harvesting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(OK)'!$D$142:$D$145</c:f>
              <c:numCache>
                <c:formatCode>0.0%</c:formatCode>
                <c:ptCount val="4"/>
                <c:pt idx="0">
                  <c:v>0.16698665434320198</c:v>
                </c:pt>
                <c:pt idx="1">
                  <c:v>0.62217778770294452</c:v>
                </c:pt>
                <c:pt idx="2">
                  <c:v>0.10783756689719644</c:v>
                </c:pt>
                <c:pt idx="3">
                  <c:v>0.34038408144907994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5-43AA-9993-15223DB526D9}"/>
            </c:ext>
          </c:extLst>
        </c:ser>
        <c:ser>
          <c:idx val="2"/>
          <c:order val="2"/>
          <c:tx>
            <c:strRef>
              <c:f>'Graficas (OK)'!$E$141</c:f>
              <c:strCache>
                <c:ptCount val="1"/>
                <c:pt idx="0">
                  <c:v>Biomass pretreatment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(OK)'!$E$142:$E$145</c:f>
              <c:numCache>
                <c:formatCode>0.0%</c:formatCode>
                <c:ptCount val="4"/>
                <c:pt idx="0">
                  <c:v>8.1929125385279189E-2</c:v>
                </c:pt>
                <c:pt idx="1">
                  <c:v>3.4675487483500966E-2</c:v>
                </c:pt>
                <c:pt idx="2">
                  <c:v>5.2908644551950115E-2</c:v>
                </c:pt>
                <c:pt idx="3">
                  <c:v>2.4184123720777048E-2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5-43AA-9993-15223DB526D9}"/>
            </c:ext>
          </c:extLst>
        </c:ser>
        <c:ser>
          <c:idx val="3"/>
          <c:order val="3"/>
          <c:tx>
            <c:strRef>
              <c:f>'Graficas (OK)'!$F$141</c:f>
              <c:strCache>
                <c:ptCount val="1"/>
                <c:pt idx="0">
                  <c:v>Biostimulant production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(OK)'!$F$142:$F$145</c:f>
              <c:numCache>
                <c:formatCode>0.0%</c:formatCode>
                <c:ptCount val="4"/>
                <c:pt idx="0">
                  <c:v>0.3900188225254097</c:v>
                </c:pt>
                <c:pt idx="1">
                  <c:v>0.14625183409964859</c:v>
                </c:pt>
                <c:pt idx="2">
                  <c:v>0.26304461016802466</c:v>
                </c:pt>
                <c:pt idx="3">
                  <c:v>9.5684911023906138E-2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5-43AA-9993-15223DB526D9}"/>
            </c:ext>
          </c:extLst>
        </c:ser>
        <c:ser>
          <c:idx val="4"/>
          <c:order val="4"/>
          <c:tx>
            <c:strRef>
              <c:f>'Graficas (OK)'!$G$141</c:f>
              <c:strCache>
                <c:ptCount val="1"/>
                <c:pt idx="0">
                  <c:v>Biopesticide production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(OK)'!$G$142:$G$145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0.3430383652010508</c:v>
                </c:pt>
                <c:pt idx="3">
                  <c:v>0.43202865946218794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5-43AA-9993-15223DB52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560384"/>
        <c:axId val="462554152"/>
      </c:barChart>
      <c:catAx>
        <c:axId val="462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54152"/>
        <c:crosses val="autoZero"/>
        <c:auto val="1"/>
        <c:lblAlgn val="ctr"/>
        <c:lblOffset val="100"/>
        <c:noMultiLvlLbl val="0"/>
      </c:catAx>
      <c:valAx>
        <c:axId val="46255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60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'Graficas (OK)'!$J$141</c:f>
              <c:strCache>
                <c:ptCount val="1"/>
                <c:pt idx="0">
                  <c:v>Water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(OK)'!$J$142:$J$145</c:f>
              <c:numCache>
                <c:formatCode>0.0%</c:formatCode>
                <c:ptCount val="4"/>
                <c:pt idx="0">
                  <c:v>4.947000530489306E-2</c:v>
                </c:pt>
                <c:pt idx="1">
                  <c:v>5.2143672376474527E-2</c:v>
                </c:pt>
                <c:pt idx="2">
                  <c:v>5.2786097495537553E-2</c:v>
                </c:pt>
                <c:pt idx="3">
                  <c:v>5.6371041760360119E-2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3-43A8-9469-C13B2DA731DD}"/>
            </c:ext>
          </c:extLst>
        </c:ser>
        <c:ser>
          <c:idx val="1"/>
          <c:order val="1"/>
          <c:tx>
            <c:strRef>
              <c:f>'Graficas (OK)'!$K$141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(OK)'!$K$142:$K$145</c:f>
              <c:numCache>
                <c:formatCode>0.0%</c:formatCode>
                <c:ptCount val="4"/>
                <c:pt idx="0">
                  <c:v>0.31576599130782806</c:v>
                </c:pt>
                <c:pt idx="1">
                  <c:v>0.33283195133919918</c:v>
                </c:pt>
                <c:pt idx="2">
                  <c:v>0.33693253720555882</c:v>
                </c:pt>
                <c:pt idx="3">
                  <c:v>0.35981516017251142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3-43A8-9469-C13B2DA731DD}"/>
            </c:ext>
          </c:extLst>
        </c:ser>
        <c:ser>
          <c:idx val="2"/>
          <c:order val="2"/>
          <c:tx>
            <c:strRef>
              <c:f>'Graficas (OK)'!$L$141</c:f>
              <c:strCache>
                <c:ptCount val="1"/>
                <c:pt idx="0">
                  <c:v>Enzymes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(OK)'!$L$142:$L$145</c:f>
              <c:numCache>
                <c:formatCode>0.0%</c:formatCode>
                <c:ptCount val="4"/>
                <c:pt idx="0">
                  <c:v>0.39997025565658217</c:v>
                </c:pt>
                <c:pt idx="1">
                  <c:v>0.42158713836298556</c:v>
                </c:pt>
                <c:pt idx="2">
                  <c:v>0.36489793779362018</c:v>
                </c:pt>
                <c:pt idx="3">
                  <c:v>0.38967981846682981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3-43A8-9469-C13B2DA731DD}"/>
            </c:ext>
          </c:extLst>
        </c:ser>
        <c:ser>
          <c:idx val="3"/>
          <c:order val="3"/>
          <c:tx>
            <c:strRef>
              <c:f>'Graficas (OK)'!$M$141</c:f>
              <c:strCache>
                <c:ptCount val="1"/>
                <c:pt idx="0">
                  <c:v>Phosphate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(OK)'!$M$142:$M$145</c:f>
              <c:numCache>
                <c:formatCode>0.0%</c:formatCode>
                <c:ptCount val="4"/>
                <c:pt idx="0">
                  <c:v>0.23479374773069672</c:v>
                </c:pt>
                <c:pt idx="1">
                  <c:v>0.19343723792134063</c:v>
                </c:pt>
                <c:pt idx="2">
                  <c:v>0.20270530612591264</c:v>
                </c:pt>
                <c:pt idx="3">
                  <c:v>0.18400584916581317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53-43A8-9469-C13B2DA731DD}"/>
            </c:ext>
          </c:extLst>
        </c:ser>
        <c:ser>
          <c:idx val="4"/>
          <c:order val="4"/>
          <c:tx>
            <c:strRef>
              <c:f>'Graficas (OK)'!$N$141</c:f>
              <c:strCache>
                <c:ptCount val="1"/>
                <c:pt idx="0">
                  <c:v>Acetone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(OK)'!$N$142:$N$145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4.2678121379370784E-2</c:v>
                </c:pt>
                <c:pt idx="3">
                  <c:v>1.0128130434485504E-2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53-43A8-9469-C13B2DA7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560384"/>
        <c:axId val="462554152"/>
      </c:barChart>
      <c:catAx>
        <c:axId val="462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54152"/>
        <c:crosses val="autoZero"/>
        <c:auto val="1"/>
        <c:lblAlgn val="ctr"/>
        <c:lblOffset val="100"/>
        <c:noMultiLvlLbl val="0"/>
      </c:catAx>
      <c:valAx>
        <c:axId val="46255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60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'Graficas (OK)'!$Q$141</c:f>
              <c:strCache>
                <c:ptCount val="1"/>
                <c:pt idx="0">
                  <c:v>Pumps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(OK)'!$Q$142:$Q$145</c:f>
              <c:numCache>
                <c:formatCode>0.0%</c:formatCode>
                <c:ptCount val="4"/>
                <c:pt idx="0">
                  <c:v>1.7284152041664692E-3</c:v>
                </c:pt>
                <c:pt idx="1">
                  <c:v>2.193846674201545E-3</c:v>
                </c:pt>
                <c:pt idx="2">
                  <c:v>1.456667418557852E-3</c:v>
                </c:pt>
                <c:pt idx="3">
                  <c:v>2.7530616963544101E-3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F-4FF6-957F-02D8CF706EBB}"/>
            </c:ext>
          </c:extLst>
        </c:ser>
        <c:ser>
          <c:idx val="1"/>
          <c:order val="1"/>
          <c:tx>
            <c:strRef>
              <c:f>'Graficas (OK)'!$R$141</c:f>
              <c:strCache>
                <c:ptCount val="1"/>
                <c:pt idx="0">
                  <c:v>Membrane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(OK)'!$R$142:$R$145</c:f>
              <c:numCache>
                <c:formatCode>0.0%</c:formatCode>
                <c:ptCount val="4"/>
                <c:pt idx="0">
                  <c:v>3.99239319636637E-2</c:v>
                </c:pt>
                <c:pt idx="1">
                  <c:v>0</c:v>
                </c:pt>
                <c:pt idx="2">
                  <c:v>2.4526331534967076E-2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F-4FF6-957F-02D8CF706EBB}"/>
            </c:ext>
          </c:extLst>
        </c:ser>
        <c:ser>
          <c:idx val="2"/>
          <c:order val="2"/>
          <c:tx>
            <c:strRef>
              <c:f>'Graficas (OK)'!$S$141</c:f>
              <c:strCache>
                <c:ptCount val="1"/>
                <c:pt idx="0">
                  <c:v>Mixing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(OK)'!$S$142:$S$145</c:f>
              <c:numCache>
                <c:formatCode>0.0%</c:formatCode>
                <c:ptCount val="4"/>
                <c:pt idx="0">
                  <c:v>0.51278298214129669</c:v>
                </c:pt>
                <c:pt idx="1">
                  <c:v>0.57665743763756938</c:v>
                </c:pt>
                <c:pt idx="2">
                  <c:v>0.28495556933399319</c:v>
                </c:pt>
                <c:pt idx="3">
                  <c:v>0.46456671642062275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FF-4FF6-957F-02D8CF706EBB}"/>
            </c:ext>
          </c:extLst>
        </c:ser>
        <c:ser>
          <c:idx val="3"/>
          <c:order val="3"/>
          <c:tx>
            <c:strRef>
              <c:f>'Graficas (OK)'!$T$141</c:f>
              <c:strCache>
                <c:ptCount val="1"/>
                <c:pt idx="0">
                  <c:v>Ultrasound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(OK)'!$T$142:$T$145</c:f>
              <c:numCache>
                <c:formatCode>0.0%</c:formatCode>
                <c:ptCount val="4"/>
                <c:pt idx="0">
                  <c:v>4.2141928183867243E-2</c:v>
                </c:pt>
                <c:pt idx="1">
                  <c:v>5.355288239576237E-2</c:v>
                </c:pt>
                <c:pt idx="2">
                  <c:v>2.2617245549568347E-2</c:v>
                </c:pt>
                <c:pt idx="3">
                  <c:v>4.2745977294669564E-2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FF-4FF6-957F-02D8CF706EBB}"/>
            </c:ext>
          </c:extLst>
        </c:ser>
        <c:ser>
          <c:idx val="4"/>
          <c:order val="4"/>
          <c:tx>
            <c:strRef>
              <c:f>'Graficas (OK)'!$U$141</c:f>
              <c:strCache>
                <c:ptCount val="1"/>
                <c:pt idx="0">
                  <c:v>Centrifuge</c:v>
                </c:pt>
              </c:strCache>
            </c:strRef>
          </c:tx>
          <c:spPr>
            <a:solidFill>
              <a:schemeClr val="accent5"/>
            </a:solidFill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(OK)'!$U$142:$U$145</c:f>
              <c:numCache>
                <c:formatCode>0.0%</c:formatCode>
                <c:ptCount val="4"/>
                <c:pt idx="0">
                  <c:v>0</c:v>
                </c:pt>
                <c:pt idx="1">
                  <c:v>0.25367154819045334</c:v>
                </c:pt>
                <c:pt idx="2">
                  <c:v>0</c:v>
                </c:pt>
                <c:pt idx="3">
                  <c:v>0.20898973255608211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FF-4FF6-957F-02D8CF706EBB}"/>
            </c:ext>
          </c:extLst>
        </c:ser>
        <c:ser>
          <c:idx val="5"/>
          <c:order val="5"/>
          <c:tx>
            <c:strRef>
              <c:f>'Graficas (OK)'!$V$141</c:f>
              <c:strCache>
                <c:ptCount val="1"/>
                <c:pt idx="0">
                  <c:v>Heat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(OK)'!$V$142:$V$145</c:f>
              <c:numCache>
                <c:formatCode>0.0%</c:formatCode>
                <c:ptCount val="4"/>
                <c:pt idx="0">
                  <c:v>0.40342274250700594</c:v>
                </c:pt>
                <c:pt idx="1">
                  <c:v>0.11392428510201351</c:v>
                </c:pt>
                <c:pt idx="2">
                  <c:v>0.66644418616291357</c:v>
                </c:pt>
                <c:pt idx="3">
                  <c:v>0.28094451203227117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FF-4FF6-957F-02D8CF706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560384"/>
        <c:axId val="462554152"/>
      </c:barChart>
      <c:catAx>
        <c:axId val="462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54152"/>
        <c:crosses val="autoZero"/>
        <c:auto val="1"/>
        <c:lblAlgn val="ctr"/>
        <c:lblOffset val="100"/>
        <c:noMultiLvlLbl val="0"/>
      </c:catAx>
      <c:valAx>
        <c:axId val="46255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60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'Graficas (OK)'!$Y$141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(OK)'!$Y$142:$Y$145</c:f>
              <c:numCache>
                <c:formatCode>0.0%</c:formatCode>
                <c:ptCount val="4"/>
                <c:pt idx="0">
                  <c:v>0.59657725749299406</c:v>
                </c:pt>
                <c:pt idx="1">
                  <c:v>0.88607571489798664</c:v>
                </c:pt>
                <c:pt idx="2">
                  <c:v>0.33355581383708643</c:v>
                </c:pt>
                <c:pt idx="3">
                  <c:v>0.71905548796772889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C-4722-B08F-3CA0D13251DE}"/>
            </c:ext>
          </c:extLst>
        </c:ser>
        <c:ser>
          <c:idx val="1"/>
          <c:order val="1"/>
          <c:tx>
            <c:strRef>
              <c:f>'Graficas (OK)'!$Z$141</c:f>
              <c:strCache>
                <c:ptCount val="1"/>
                <c:pt idx="0">
                  <c:v>Heat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(OK)'!$B$142:$B$145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(OK)'!$Z$142:$Z$145</c:f>
              <c:numCache>
                <c:formatCode>0.0%</c:formatCode>
                <c:ptCount val="4"/>
                <c:pt idx="0">
                  <c:v>0.40342274250700594</c:v>
                </c:pt>
                <c:pt idx="1">
                  <c:v>0.11392428510201351</c:v>
                </c:pt>
                <c:pt idx="2">
                  <c:v>0.66644418616291357</c:v>
                </c:pt>
                <c:pt idx="3">
                  <c:v>0.28094451203227117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C-4722-B08F-3CA0D132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560384"/>
        <c:axId val="462554152"/>
      </c:barChart>
      <c:catAx>
        <c:axId val="462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54152"/>
        <c:crosses val="autoZero"/>
        <c:auto val="1"/>
        <c:lblAlgn val="ctr"/>
        <c:lblOffset val="100"/>
        <c:noMultiLvlLbl val="0"/>
      </c:catAx>
      <c:valAx>
        <c:axId val="46255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560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'Graficas (OK)'!$C$39</c:f>
              <c:strCache>
                <c:ptCount val="1"/>
                <c:pt idx="0">
                  <c:v>Microalgae cultivation</c:v>
                </c:pt>
              </c:strCache>
            </c:strRef>
          </c:tx>
          <c:spPr>
            <a:solidFill>
              <a:schemeClr val="accent1"/>
            </a:solidFill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(OK)'!$B$54:$B$57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(OK)'!$C$54:$C$57</c:f>
              <c:numCache>
                <c:formatCode>#,##0.00\ "€"</c:formatCode>
                <c:ptCount val="4"/>
                <c:pt idx="0">
                  <c:v>23.21982103727208</c:v>
                </c:pt>
                <c:pt idx="1">
                  <c:v>103.29498759646374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D-4EE8-A9FE-5D16E815C318}"/>
            </c:ext>
          </c:extLst>
        </c:ser>
        <c:ser>
          <c:idx val="1"/>
          <c:order val="1"/>
          <c:tx>
            <c:strRef>
              <c:f>'Graficas (OK)'!$D$39</c:f>
              <c:strCache>
                <c:ptCount val="1"/>
                <c:pt idx="0">
                  <c:v>Biomass harvesting</c:v>
                </c:pt>
              </c:strCache>
            </c:strRef>
          </c:tx>
          <c:spPr>
            <a:solidFill>
              <a:schemeClr val="accent2"/>
            </a:solidFill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(OK)'!$B$54:$B$57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(OK)'!$D$54:$D$57</c:f>
              <c:numCache>
                <c:formatCode>#,##0.00\ "€"</c:formatCode>
                <c:ptCount val="4"/>
                <c:pt idx="0">
                  <c:v>7.9177190719158776</c:v>
                </c:pt>
                <c:pt idx="1">
                  <c:v>129.88940807896216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D-4EE8-A9FE-5D16E815C318}"/>
            </c:ext>
          </c:extLst>
        </c:ser>
        <c:ser>
          <c:idx val="2"/>
          <c:order val="2"/>
          <c:tx>
            <c:strRef>
              <c:f>'Graficas (OK)'!$E$39</c:f>
              <c:strCache>
                <c:ptCount val="1"/>
                <c:pt idx="0">
                  <c:v>Biomass pretreatment</c:v>
                </c:pt>
              </c:strCache>
            </c:strRef>
          </c:tx>
          <c:spPr>
            <a:solidFill>
              <a:schemeClr val="accent3"/>
            </a:solidFill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(OK)'!$B$54:$B$57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(OK)'!$E$54:$E$57</c:f>
              <c:numCache>
                <c:formatCode>#,##0.00\ "€"</c:formatCode>
                <c:ptCount val="4"/>
                <c:pt idx="0">
                  <c:v>6.3331409993468561</c:v>
                </c:pt>
                <c:pt idx="1">
                  <c:v>26.674242863769809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D-4EE8-A9FE-5D16E815C318}"/>
            </c:ext>
          </c:extLst>
        </c:ser>
        <c:ser>
          <c:idx val="3"/>
          <c:order val="3"/>
          <c:tx>
            <c:strRef>
              <c:f>'Graficas (OK)'!$F$39</c:f>
              <c:strCache>
                <c:ptCount val="1"/>
                <c:pt idx="0">
                  <c:v>Biostimulant production</c:v>
                </c:pt>
              </c:strCache>
            </c:strRef>
          </c:tx>
          <c:spPr>
            <a:solidFill>
              <a:schemeClr val="accent4"/>
            </a:solidFill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(OK)'!$B$54:$B$57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(OK)'!$F$54:$F$57</c:f>
              <c:numCache>
                <c:formatCode>#,##0.00\ "€"</c:formatCode>
                <c:ptCount val="4"/>
                <c:pt idx="0">
                  <c:v>28.018282394295511</c:v>
                </c:pt>
                <c:pt idx="1">
                  <c:v>82.702667984456482</c:v>
                </c:pt>
                <c:pt idx="2">
                  <c:v>505.07423435017142</c:v>
                </c:pt>
                <c:pt idx="3">
                  <c:v>1289.8475558439543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8D-4EE8-A9FE-5D16E815C318}"/>
            </c:ext>
          </c:extLst>
        </c:ser>
        <c:ser>
          <c:idx val="4"/>
          <c:order val="4"/>
          <c:tx>
            <c:strRef>
              <c:f>'Graficas (OK)'!$G$39</c:f>
              <c:strCache>
                <c:ptCount val="1"/>
                <c:pt idx="0">
                  <c:v>Biopesticide production</c:v>
                </c:pt>
              </c:strCache>
            </c:strRef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cat>
            <c:strRef>
              <c:f>'Graficas (OK)'!$B$54:$B$57</c:f>
              <c:strCache>
                <c:ptCount val="4"/>
                <c:pt idx="0">
                  <c:v>Scenario 1</c:v>
                </c:pt>
                <c:pt idx="1">
                  <c:v>Scenario 2</c:v>
                </c:pt>
                <c:pt idx="2">
                  <c:v>Scenario 3</c:v>
                </c:pt>
                <c:pt idx="3">
                  <c:v>Scenario 4</c:v>
                </c:pt>
              </c:strCache>
            </c:strRef>
          </c:cat>
          <c:val>
            <c:numRef>
              <c:f>'Graficas (OK)'!$G$54:$G$57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#,##0.00\ &quot;€&quot;">
                  <c:v>238.15405372811819</c:v>
                </c:pt>
                <c:pt idx="3" formatCode="#,##0.00\ &quot;€&quot;">
                  <c:v>832.28588687646084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8D-4EE8-A9FE-5D16E815C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62161152"/>
        <c:axId val="462158200"/>
      </c:barChart>
      <c:catAx>
        <c:axId val="46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58200"/>
        <c:crosses val="autoZero"/>
        <c:auto val="1"/>
        <c:lblAlgn val="ctr"/>
        <c:lblOffset val="100"/>
        <c:noMultiLvlLbl val="0"/>
      </c:catAx>
      <c:valAx>
        <c:axId val="46215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(€/m</a:t>
                </a:r>
                <a:r>
                  <a:rPr lang="es-ES" baseline="30000"/>
                  <a:t>3</a:t>
                </a:r>
                <a:r>
                  <a:rPr lang="es-E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216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(OK)'!$B$87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(OK)'!$I$87:$K$87</c:f>
              <c:numCache>
                <c:formatCode>#,##0.00\ "€"</c:formatCode>
                <c:ptCount val="3"/>
                <c:pt idx="0">
                  <c:v>309.24351973641768</c:v>
                </c:pt>
                <c:pt idx="1">
                  <c:v>349.17164363183332</c:v>
                </c:pt>
                <c:pt idx="2">
                  <c:v>407.96654060661047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0-4C6D-89E9-D18FDC1D92C7}"/>
            </c:ext>
          </c:extLst>
        </c:ser>
        <c:ser>
          <c:idx val="1"/>
          <c:order val="1"/>
          <c:tx>
            <c:strRef>
              <c:f>'Graficas (OK)'!$B$88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(OK)'!$I$88:$K$88</c:f>
              <c:numCache>
                <c:formatCode>#,##0.00\ "€"</c:formatCode>
                <c:ptCount val="3"/>
                <c:pt idx="0">
                  <c:v>420.4160736219211</c:v>
                </c:pt>
                <c:pt idx="1">
                  <c:v>349.17164363183332</c:v>
                </c:pt>
                <c:pt idx="2">
                  <c:v>286.93778578410007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0-4C6D-89E9-D18FDC1D92C7}"/>
            </c:ext>
          </c:extLst>
        </c:ser>
        <c:ser>
          <c:idx val="2"/>
          <c:order val="2"/>
          <c:tx>
            <c:strRef>
              <c:f>'Graficas (OK)'!$B$89</c:f>
              <c:strCache>
                <c:ptCount val="1"/>
                <c:pt idx="0">
                  <c:v>Steam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(OK)'!$I$86:$K$86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(OK)'!$I$89:$K$89</c:f>
              <c:numCache>
                <c:formatCode>#,##0.00\ "€"</c:formatCode>
                <c:ptCount val="3"/>
                <c:pt idx="0">
                  <c:v>417.18936574715758</c:v>
                </c:pt>
                <c:pt idx="1">
                  <c:v>349.17164363183332</c:v>
                </c:pt>
                <c:pt idx="2">
                  <c:v>290.16449365886359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0-4C6D-89E9-D18FDC1D9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'Graficas (OK)'!$B$90</c15:sqref>
                        </c15:formulaRef>
                      </c:ext>
                    </c:extLst>
                    <c:strCache>
                      <c:ptCount val="1"/>
                      <c:pt idx="0">
                        <c:v>Phosphate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4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12700" cap="flat" cmpd="sng" algn="ctr">
                      <a:solidFill>
                        <a:schemeClr val="accent4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'Graficas (OK)'!$I$86:$K$86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'Graficas (OK)'!$I$90:$K$90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349.17164363183332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DE0-4C6D-89E9-D18FDC1D92C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(OK)'!$B$91</c15:sqref>
                        </c15:formulaRef>
                      </c:ext>
                    </c:extLst>
                    <c:strCache>
                      <c:ptCount val="1"/>
                      <c:pt idx="0">
                        <c:v>Enzymes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5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12700" cap="flat" cmpd="sng" algn="ctr">
                      <a:solidFill>
                        <a:schemeClr val="accent5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(OK)'!$I$86:$K$86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(OK)'!$I$91:$K$91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349.17164363183332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DE0-4C6D-89E9-D18FDC1D92C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(OK)'!$B$92</c15:sqref>
                        </c15:formulaRef>
                      </c:ext>
                    </c:extLst>
                    <c:strCache>
                      <c:ptCount val="1"/>
                      <c:pt idx="0">
                        <c:v>CO2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6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12700" cap="flat" cmpd="sng" algn="ctr">
                      <a:solidFill>
                        <a:schemeClr val="accent6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(OK)'!$I$86:$K$86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(OK)'!$I$92:$K$92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349.17164363183332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DE0-4C6D-89E9-D18FDC1D92C7}"/>
                  </c:ext>
                </c:extLst>
              </c15:ser>
            </c15:filteredLineSeries>
          </c:ext>
        </c:extLst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</a:t>
                </a:r>
                <a:r>
                  <a:rPr lang="es-ES"/>
                  <a:t>ost</a:t>
                </a:r>
                <a:r>
                  <a:rPr lang="es-ES" baseline="0"/>
                  <a:t>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(OK)'!$B$87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(OK)'!$L$87:$N$87</c:f>
              <c:numCache>
                <c:formatCode>#,##0.00\ "€"</c:formatCode>
                <c:ptCount val="3"/>
                <c:pt idx="0">
                  <c:v>1767.4280349537776</c:v>
                </c:pt>
                <c:pt idx="1">
                  <c:v>2122.1334427204151</c:v>
                </c:pt>
                <c:pt idx="2">
                  <c:v>2567.055641999902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C-4263-9178-2084A4189BB3}"/>
            </c:ext>
          </c:extLst>
        </c:ser>
        <c:ser>
          <c:idx val="1"/>
          <c:order val="1"/>
          <c:tx>
            <c:strRef>
              <c:f>'Graficas (OK)'!$B$88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(OK)'!$L$88:$N$88</c:f>
              <c:numCache>
                <c:formatCode>#,##0.00\ "€"</c:formatCode>
                <c:ptCount val="3"/>
                <c:pt idx="0">
                  <c:v>2487.0917536714401</c:v>
                </c:pt>
                <c:pt idx="1">
                  <c:v>2122.1334427204151</c:v>
                </c:pt>
                <c:pt idx="2">
                  <c:v>1757.1751317693906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C-4263-9178-2084A4189BB3}"/>
            </c:ext>
          </c:extLst>
        </c:ser>
        <c:ser>
          <c:idx val="2"/>
          <c:order val="2"/>
          <c:tx>
            <c:strRef>
              <c:f>'Graficas (OK)'!$B$89</c:f>
              <c:strCache>
                <c:ptCount val="1"/>
                <c:pt idx="0">
                  <c:v>Steam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(OK)'!$L$89:$N$89</c:f>
              <c:numCache>
                <c:formatCode>#,##0.00\ "€"</c:formatCode>
                <c:ptCount val="3"/>
                <c:pt idx="0">
                  <c:v>2190.0353715423134</c:v>
                </c:pt>
                <c:pt idx="1">
                  <c:v>2122.1334427204151</c:v>
                </c:pt>
                <c:pt idx="2">
                  <c:v>2054.2315138985173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C-4263-9178-2084A4189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'Graficas (OK)'!$B$90</c15:sqref>
                        </c15:formulaRef>
                      </c:ext>
                    </c:extLst>
                    <c:strCache>
                      <c:ptCount val="1"/>
                      <c:pt idx="0">
                        <c:v>Phosphate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4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12700" cap="flat" cmpd="sng" algn="ctr">
                      <a:solidFill>
                        <a:schemeClr val="accent4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'Graficas (OK)'!$L$86:$N$86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'Graficas (OK)'!$L$90:$N$90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2122.1334427204151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FEC-4263-9178-2084A4189BB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(OK)'!$B$91</c15:sqref>
                        </c15:formulaRef>
                      </c:ext>
                    </c:extLst>
                    <c:strCache>
                      <c:ptCount val="1"/>
                      <c:pt idx="0">
                        <c:v>Enzymes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1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12700" cap="flat" cmpd="sng" algn="ctr">
                      <a:solidFill>
                        <a:schemeClr val="accent1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(OK)'!$L$86:$N$86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(OK)'!$L$91:$N$91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2122.1334427204151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FEC-4263-9178-2084A4189BB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(OK)'!$B$92</c15:sqref>
                        </c15:formulaRef>
                      </c:ext>
                    </c:extLst>
                    <c:strCache>
                      <c:ptCount val="1"/>
                      <c:pt idx="0">
                        <c:v>CO2</c:v>
                      </c:pt>
                    </c:strCache>
                  </c:strRef>
                </c:tx>
                <c:spPr>
                  <a:ln w="12700" cap="flat" cmpd="sng" algn="ctr">
                    <a:solidFill>
                      <a:schemeClr val="accent6">
                        <a:shade val="50000"/>
                      </a:schemeClr>
                    </a:solidFill>
                    <a:prstDash val="solid"/>
                    <a:miter lim="800000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12700" cap="flat" cmpd="sng" algn="ctr">
                      <a:solidFill>
                        <a:schemeClr val="accent6">
                          <a:shade val="50000"/>
                        </a:schemeClr>
                      </a:solidFill>
                      <a:prstDash val="solid"/>
                      <a:miter lim="800000"/>
                    </a:ln>
                    <a:effectLst/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(OK)'!$L$86:$N$86</c15:sqref>
                        </c15:formulaRef>
                      </c:ext>
                    </c:extLst>
                    <c:strCache>
                      <c:ptCount val="3"/>
                      <c:pt idx="0">
                        <c:v>Max</c:v>
                      </c:pt>
                      <c:pt idx="1">
                        <c:v>Mean</c:v>
                      </c:pt>
                      <c:pt idx="2">
                        <c:v>Min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'Graficas (OK)'!$L$92:$N$92</c15:sqref>
                        </c15:formulaRef>
                      </c:ext>
                    </c:extLst>
                    <c:numCache>
                      <c:formatCode>#,##0.00\ "€"</c:formatCode>
                      <c:ptCount val="3"/>
                      <c:pt idx="0">
                        <c:v>0</c:v>
                      </c:pt>
                      <c:pt idx="1">
                        <c:v>2122.1334427204151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FEC-4263-9178-2084A4189BB3}"/>
                  </c:ext>
                </c:extLst>
              </c15:ser>
            </c15:filteredLineSeries>
          </c:ext>
        </c:extLst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</a:t>
                </a:r>
                <a:r>
                  <a:rPr lang="es-ES"/>
                  <a:t>ost</a:t>
                </a:r>
                <a:r>
                  <a:rPr lang="es-ES" baseline="0"/>
                  <a:t>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1'!$P$102</c:f>
              <c:strCache>
                <c:ptCount val="1"/>
                <c:pt idx="0">
                  <c:v>PWW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1'!$Q$102:$S$102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3-4025-9D1A-6A91B14283EF}"/>
            </c:ext>
          </c:extLst>
        </c:ser>
        <c:ser>
          <c:idx val="1"/>
          <c:order val="1"/>
          <c:tx>
            <c:strRef>
              <c:f>'Sensibilidad proceso 1'!$P$103</c:f>
              <c:strCache>
                <c:ptCount val="1"/>
                <c:pt idx="0">
                  <c:v>Electricity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1'!$Q$103:$S$103</c:f>
              <c:numCache>
                <c:formatCode>_("€"* #,##0.00_);_("€"* \(#,##0.00\);_("€"* "-"??_);_(@_)</c:formatCode>
                <c:ptCount val="3"/>
                <c:pt idx="0">
                  <c:v>71.641689310885241</c:v>
                </c:pt>
                <c:pt idx="1">
                  <c:v>65.488963502830316</c:v>
                </c:pt>
                <c:pt idx="2">
                  <c:v>59.336237694775399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3-4025-9D1A-6A91B14283EF}"/>
            </c:ext>
          </c:extLst>
        </c:ser>
        <c:ser>
          <c:idx val="2"/>
          <c:order val="2"/>
          <c:tx>
            <c:strRef>
              <c:f>'Sensibilidad proceso 1'!$P$104</c:f>
              <c:strCache>
                <c:ptCount val="1"/>
                <c:pt idx="0">
                  <c:v>Heat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1'!$Q$104:$S$104</c:f>
              <c:numCache>
                <c:formatCode>_("€"* #,##0.00_);_("€"* \(#,##0.00\);_("€"* "-"??_);_(@_)</c:formatCode>
                <c:ptCount val="3"/>
                <c:pt idx="0">
                  <c:v>67.470225689351068</c:v>
                </c:pt>
                <c:pt idx="1">
                  <c:v>65.488963502830316</c:v>
                </c:pt>
                <c:pt idx="2">
                  <c:v>63.952249597725519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3-4025-9D1A-6A91B14283EF}"/>
            </c:ext>
          </c:extLst>
        </c:ser>
        <c:ser>
          <c:idx val="3"/>
          <c:order val="3"/>
          <c:tx>
            <c:strRef>
              <c:f>'Sensibilidad proceso 1'!$P$105</c:f>
              <c:strCache>
                <c:ptCount val="1"/>
                <c:pt idx="0">
                  <c:v>Phosphate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1'!$Q$105:$S$105</c:f>
              <c:numCache>
                <c:formatCode>_("€"* #,##0.00_);_("€"* \(#,##0.00\);_("€"* "-"??_);_(@_)</c:formatCode>
                <c:ptCount val="3"/>
                <c:pt idx="0">
                  <c:v>67.025677407935135</c:v>
                </c:pt>
                <c:pt idx="1">
                  <c:v>65.488963502830316</c:v>
                </c:pt>
                <c:pt idx="2">
                  <c:v>63.952249597725519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13-4025-9D1A-6A91B14283EF}"/>
            </c:ext>
          </c:extLst>
        </c:ser>
        <c:ser>
          <c:idx val="4"/>
          <c:order val="4"/>
          <c:tx>
            <c:strRef>
              <c:f>'Sensibilidad proceso 1'!$P$106</c:f>
              <c:strCache>
                <c:ptCount val="1"/>
                <c:pt idx="0">
                  <c:v>Enzymes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1'!$Q$106:$S$106</c:f>
              <c:numCache>
                <c:formatCode>_("€"* #,##0.00_);_("€"* \(#,##0.00\);_("€"* "-"??_);_(@_)</c:formatCode>
                <c:ptCount val="3"/>
                <c:pt idx="0">
                  <c:v>68.106749791589479</c:v>
                </c:pt>
                <c:pt idx="1">
                  <c:v>65.488963502830316</c:v>
                </c:pt>
                <c:pt idx="2">
                  <c:v>62.87117721407116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13-4025-9D1A-6A91B14283EF}"/>
            </c:ext>
          </c:extLst>
        </c:ser>
        <c:ser>
          <c:idx val="5"/>
          <c:order val="5"/>
          <c:tx>
            <c:strRef>
              <c:f>'Sensibilidad proceso 1'!$P$107</c:f>
              <c:strCache>
                <c:ptCount val="1"/>
                <c:pt idx="0">
                  <c:v>CO2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1'!$Q$101:$S$101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1'!$Q$107:$S$107</c:f>
              <c:numCache>
                <c:formatCode>_("€"* #,##0.00_);_("€"* \(#,##0.00\);_("€"* "-"??_);_(@_)</c:formatCode>
                <c:ptCount val="3"/>
                <c:pt idx="0">
                  <c:v>67.555636888692817</c:v>
                </c:pt>
                <c:pt idx="1">
                  <c:v>65.488963502830316</c:v>
                </c:pt>
                <c:pt idx="2">
                  <c:v>63.422290116967829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3-4025-9D1A-6A91B142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ES"/>
              <a:t>Scenario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(OK)'!$B$95</c:f>
              <c:strCache>
                <c:ptCount val="1"/>
                <c:pt idx="0">
                  <c:v>PWW</c:v>
                </c:pt>
              </c:strCache>
            </c:strRef>
          </c:tx>
          <c:spPr>
            <a:ln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(OK)'!$L$95:$N$95</c:f>
              <c:numCache>
                <c:formatCode>0.00</c:formatCode>
                <c:ptCount val="3"/>
                <c:pt idx="0">
                  <c:v>181.21836961999497</c:v>
                </c:pt>
                <c:pt idx="1">
                  <c:v>164.74397238181376</c:v>
                </c:pt>
                <c:pt idx="2">
                  <c:v>148.26957514363224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A-4911-99CC-ED25D4AA1F5A}"/>
            </c:ext>
          </c:extLst>
        </c:ser>
        <c:ser>
          <c:idx val="1"/>
          <c:order val="1"/>
          <c:tx>
            <c:strRef>
              <c:f>'Graficas (OK)'!$B$96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 cap="flat" cmpd="sng" algn="ctr">
              <a:solidFill>
                <a:schemeClr val="accent2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(OK)'!$L$96:$N$96</c:f>
              <c:numCache>
                <c:formatCode>0.00</c:formatCode>
                <c:ptCount val="3"/>
                <c:pt idx="0">
                  <c:v>164.74397238181376</c:v>
                </c:pt>
                <c:pt idx="1">
                  <c:v>164.74397238181376</c:v>
                </c:pt>
                <c:pt idx="2">
                  <c:v>164.74397238181376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A-4911-99CC-ED25D4AA1F5A}"/>
            </c:ext>
          </c:extLst>
        </c:ser>
        <c:ser>
          <c:idx val="2"/>
          <c:order val="2"/>
          <c:tx>
            <c:strRef>
              <c:f>'Graficas (OK)'!$B$97</c:f>
              <c:strCache>
                <c:ptCount val="1"/>
                <c:pt idx="0">
                  <c:v>Heat</c:v>
                </c:pt>
              </c:strCache>
            </c:strRef>
          </c:tx>
          <c:spPr>
            <a:ln w="12700" cap="flat" cmpd="sng" algn="ctr">
              <a:solidFill>
                <a:schemeClr val="accent3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(OK)'!$L$97:$N$97</c:f>
              <c:numCache>
                <c:formatCode>0.00</c:formatCode>
                <c:ptCount val="3"/>
                <c:pt idx="0">
                  <c:v>164.74397238181376</c:v>
                </c:pt>
                <c:pt idx="1">
                  <c:v>164.74397238181376</c:v>
                </c:pt>
                <c:pt idx="2">
                  <c:v>164.74397238181376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A-4911-99CC-ED25D4AA1F5A}"/>
            </c:ext>
          </c:extLst>
        </c:ser>
        <c:ser>
          <c:idx val="3"/>
          <c:order val="3"/>
          <c:tx>
            <c:strRef>
              <c:f>'Graficas (OK)'!$B$98</c:f>
              <c:strCache>
                <c:ptCount val="1"/>
                <c:pt idx="0">
                  <c:v>Phosphate</c:v>
                </c:pt>
              </c:strCache>
            </c:strRef>
          </c:tx>
          <c:spPr>
            <a:ln w="12700" cap="flat" cmpd="sng" algn="ctr">
              <a:solidFill>
                <a:schemeClr val="accent4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(OK)'!$L$98:$N$98</c:f>
              <c:numCache>
                <c:formatCode>0.00</c:formatCode>
                <c:ptCount val="3"/>
                <c:pt idx="0">
                  <c:v>164.74397238181376</c:v>
                </c:pt>
                <c:pt idx="1">
                  <c:v>164.74397238181376</c:v>
                </c:pt>
                <c:pt idx="2">
                  <c:v>164.74397238181376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A-4911-99CC-ED25D4AA1F5A}"/>
            </c:ext>
          </c:extLst>
        </c:ser>
        <c:ser>
          <c:idx val="4"/>
          <c:order val="4"/>
          <c:tx>
            <c:strRef>
              <c:f>'Graficas (OK)'!$B$99</c:f>
              <c:strCache>
                <c:ptCount val="1"/>
                <c:pt idx="0">
                  <c:v>Enzymes</c:v>
                </c:pt>
              </c:strCache>
            </c:strRef>
          </c:tx>
          <c:spPr>
            <a:ln w="12700" cap="flat" cmpd="sng" algn="ctr">
              <a:solidFill>
                <a:schemeClr val="accent5">
                  <a:shade val="50000"/>
                </a:schemeClr>
              </a:solidFill>
              <a:prstDash val="solid"/>
              <a:miter lim="800000"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</c:marker>
          <c:cat>
            <c:strRef>
              <c:f>'Graficas (OK)'!$L$86:$N$86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'Graficas (OK)'!$L$99:$N$99</c:f>
              <c:numCache>
                <c:formatCode>0.00</c:formatCode>
                <c:ptCount val="3"/>
                <c:pt idx="0">
                  <c:v>164.74397238181376</c:v>
                </c:pt>
                <c:pt idx="1">
                  <c:v>164.74397238181376</c:v>
                </c:pt>
                <c:pt idx="2">
                  <c:v>164.74397238181376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BA-4911-99CC-ED25D4AA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686568"/>
        <c:axId val="507683944"/>
      </c:lineChart>
      <c:catAx>
        <c:axId val="5076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3944"/>
        <c:crosses val="autoZero"/>
        <c:auto val="1"/>
        <c:lblAlgn val="ctr"/>
        <c:lblOffset val="100"/>
        <c:noMultiLvlLbl val="0"/>
      </c:catAx>
      <c:valAx>
        <c:axId val="5076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production (m</a:t>
                </a:r>
                <a:r>
                  <a:rPr lang="es-ES" baseline="30000"/>
                  <a:t>3</a:t>
                </a:r>
                <a:r>
                  <a:rPr lang="es-ES" baseline="0"/>
                  <a:t>/year)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076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3831999125109362"/>
                  <c:y val="8.29166666666666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'Graficas (OK)'!#REF!</c:f>
              <c:strCache>
                <c:ptCount val="1"/>
                <c:pt idx="0">
                  <c:v>#¡REF!</c:v>
                </c:pt>
              </c:strCache>
            </c:strRef>
          </c:xVal>
          <c:yVal>
            <c:numRef>
              <c:f>'Graficas (OK)'!#REF!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'Graficas (OK)'!#REF!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A8-44B1-9D2D-63F4AC0F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86448"/>
        <c:axId val="502498584"/>
      </c:scatterChart>
      <c:valAx>
        <c:axId val="502486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98584"/>
        <c:crosses val="autoZero"/>
        <c:crossBetween val="midCat"/>
      </c:valAx>
      <c:valAx>
        <c:axId val="50249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8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'Graficas (OK)'!#REF!</c:f>
              <c:strCache>
                <c:ptCount val="1"/>
                <c:pt idx="0">
                  <c:v>#¡REF!</c:v>
                </c:pt>
              </c:strCache>
            </c:strRef>
          </c:xVal>
          <c:yVal>
            <c:numRef>
              <c:f>'Graficas (OK)'!#REF!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'Graficas (OK)'!#REF!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DB-4C6A-AD02-DE6F6518AE6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'Graficas (OK)'!#REF!</c:f>
              <c:strCache>
                <c:ptCount val="1"/>
                <c:pt idx="0">
                  <c:v>#¡REF!</c:v>
                </c:pt>
              </c:strCache>
            </c:strRef>
          </c:xVal>
          <c:yVal>
            <c:numRef>
              <c:f>'Graficas (OK)'!#REF!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'Graficas (OK)'!#REF!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ADB-4C6A-AD02-DE6F6518A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373528"/>
        <c:axId val="511381728"/>
      </c:scatterChart>
      <c:valAx>
        <c:axId val="511373528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Distance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81728"/>
        <c:crosses val="autoZero"/>
        <c:crossBetween val="midCat"/>
      </c:valAx>
      <c:valAx>
        <c:axId val="5113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73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'Graficas (OK)'!#REF!</c:f>
              <c:strCache>
                <c:ptCount val="1"/>
                <c:pt idx="0">
                  <c:v>#¡REF!</c:v>
                </c:pt>
              </c:strCache>
            </c:strRef>
          </c:xVal>
          <c:yVal>
            <c:numRef>
              <c:f>'Graficas (OK)'!#REF!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'Graficas (OK)'!#REF!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ED-4112-B376-8506DD617F7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'Graficas (OK)'!#REF!</c:f>
              <c:strCache>
                <c:ptCount val="1"/>
                <c:pt idx="0">
                  <c:v>#¡REF!</c:v>
                </c:pt>
              </c:strCache>
            </c:strRef>
          </c:xVal>
          <c:yVal>
            <c:numRef>
              <c:f>'Graficas (OK)'!#REF!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'Graficas (OK)'!#REF!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2ED-4112-B376-8506DD6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373528"/>
        <c:axId val="511381728"/>
      </c:scatterChart>
      <c:valAx>
        <c:axId val="511373528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Distance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81728"/>
        <c:crosses val="autoZero"/>
        <c:crossBetween val="midCat"/>
      </c:valAx>
      <c:valAx>
        <c:axId val="5113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73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(OK)'!$D$218</c:f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3831999125109362"/>
                  <c:y val="8.29166666666666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'Graficas (OK)'!$C$259:$C$262</c:f>
              <c:numCache>
                <c:formatCode>General</c:formatCode>
                <c:ptCount val="4"/>
                <c:pt idx="0">
                  <c:v>0</c:v>
                </c:pt>
                <c:pt idx="1">
                  <c:v>2.5</c:v>
                </c:pt>
                <c:pt idx="2">
                  <c:v>10</c:v>
                </c:pt>
                <c:pt idx="3">
                  <c:v>30</c:v>
                </c:pt>
              </c:numCache>
            </c:numRef>
          </c:xVal>
          <c:yVal>
            <c:numRef>
              <c:f>'Graficas (OK)'!$D$259:$D$262</c:f>
              <c:numCache>
                <c:formatCode>General</c:formatCode>
                <c:ptCount val="4"/>
                <c:pt idx="0">
                  <c:v>0</c:v>
                </c:pt>
                <c:pt idx="1">
                  <c:v>0.08</c:v>
                </c:pt>
                <c:pt idx="2">
                  <c:v>0.18</c:v>
                </c:pt>
                <c:pt idx="3">
                  <c:v>0.33100000000000002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BD-4692-8784-28E704725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86448"/>
        <c:axId val="502498584"/>
      </c:scatterChart>
      <c:valAx>
        <c:axId val="502486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98584"/>
        <c:crosses val="autoZero"/>
        <c:crossBetween val="midCat"/>
      </c:valAx>
      <c:valAx>
        <c:axId val="50249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8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'Graficas (OK)'!$A$250</c:f>
              <c:strCache>
                <c:ptCount val="1"/>
                <c:pt idx="0">
                  <c:v>Scenario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8098222416075541"/>
                  <c:y val="5.125459317585301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(OK)'!$B$250:$AI$250</c:f>
              <c:numCache>
                <c:formatCode>#,##0.00\ "€"</c:formatCode>
                <c:ptCount val="34"/>
                <c:pt idx="0">
                  <c:v>198.80628760564133</c:v>
                </c:pt>
                <c:pt idx="1">
                  <c:v>211.65828760564133</c:v>
                </c:pt>
                <c:pt idx="2">
                  <c:v>214.51028760564134</c:v>
                </c:pt>
                <c:pt idx="3">
                  <c:v>220.21428760564135</c:v>
                </c:pt>
                <c:pt idx="4">
                  <c:v>225.91828760564132</c:v>
                </c:pt>
                <c:pt idx="5">
                  <c:v>231.62228760564133</c:v>
                </c:pt>
                <c:pt idx="6">
                  <c:v>237.32628760564131</c:v>
                </c:pt>
                <c:pt idx="7">
                  <c:v>243.03028760564132</c:v>
                </c:pt>
                <c:pt idx="8">
                  <c:v>248.73428760564133</c:v>
                </c:pt>
                <c:pt idx="9">
                  <c:v>254.43828760564134</c:v>
                </c:pt>
                <c:pt idx="10">
                  <c:v>260.14228760564134</c:v>
                </c:pt>
                <c:pt idx="11">
                  <c:v>265.84628760564135</c:v>
                </c:pt>
                <c:pt idx="12">
                  <c:v>271.5502876056413</c:v>
                </c:pt>
                <c:pt idx="13">
                  <c:v>277.25428760564137</c:v>
                </c:pt>
                <c:pt idx="14">
                  <c:v>282.95828760564132</c:v>
                </c:pt>
                <c:pt idx="15">
                  <c:v>288.66228760564132</c:v>
                </c:pt>
                <c:pt idx="16">
                  <c:v>294.36628760564133</c:v>
                </c:pt>
                <c:pt idx="17">
                  <c:v>322.88628760564131</c:v>
                </c:pt>
                <c:pt idx="18">
                  <c:v>351.40628760564135</c:v>
                </c:pt>
                <c:pt idx="19">
                  <c:v>379.92628760564133</c:v>
                </c:pt>
                <c:pt idx="20">
                  <c:v>408.44628760564132</c:v>
                </c:pt>
                <c:pt idx="21">
                  <c:v>436.96628760564136</c:v>
                </c:pt>
                <c:pt idx="22">
                  <c:v>465.48628760564134</c:v>
                </c:pt>
                <c:pt idx="23">
                  <c:v>494.00628760564138</c:v>
                </c:pt>
                <c:pt idx="24">
                  <c:v>522.5262876056413</c:v>
                </c:pt>
                <c:pt idx="25">
                  <c:v>551.04628760564128</c:v>
                </c:pt>
                <c:pt idx="26">
                  <c:v>579.56628760564126</c:v>
                </c:pt>
                <c:pt idx="27">
                  <c:v>608.08628760564125</c:v>
                </c:pt>
                <c:pt idx="28">
                  <c:v>636.60628760564134</c:v>
                </c:pt>
                <c:pt idx="29">
                  <c:v>665.12628760564132</c:v>
                </c:pt>
                <c:pt idx="30">
                  <c:v>693.64628760564142</c:v>
                </c:pt>
                <c:pt idx="31">
                  <c:v>722.1662876056414</c:v>
                </c:pt>
                <c:pt idx="32">
                  <c:v>750.68628760564138</c:v>
                </c:pt>
                <c:pt idx="33">
                  <c:v>779.20628760564136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3A-4CB5-9473-BA7DF0A3F121}"/>
            </c:ext>
          </c:extLst>
        </c:ser>
        <c:ser>
          <c:idx val="1"/>
          <c:order val="1"/>
          <c:tx>
            <c:strRef>
              <c:f>'Graficas (OK)'!$A$251</c:f>
              <c:strCache>
                <c:ptCount val="1"/>
                <c:pt idx="0">
                  <c:v>Scenario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8098222416075541"/>
                  <c:y val="1.80133483314585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(OK)'!$B$251:$AI$251</c:f>
              <c:numCache>
                <c:formatCode>#,##0.00\ "€"</c:formatCode>
                <c:ptCount val="34"/>
                <c:pt idx="0">
                  <c:v>298.53081397820642</c:v>
                </c:pt>
                <c:pt idx="1">
                  <c:v>310.49281397820641</c:v>
                </c:pt>
                <c:pt idx="2">
                  <c:v>312.4548139782064</c:v>
                </c:pt>
                <c:pt idx="3">
                  <c:v>316.37881397820644</c:v>
                </c:pt>
                <c:pt idx="4">
                  <c:v>320.30281397820642</c:v>
                </c:pt>
                <c:pt idx="5">
                  <c:v>324.22681397820645</c:v>
                </c:pt>
                <c:pt idx="6">
                  <c:v>328.15081397820643</c:v>
                </c:pt>
                <c:pt idx="7">
                  <c:v>332.07481397820641</c:v>
                </c:pt>
                <c:pt idx="8">
                  <c:v>335.99881397820644</c:v>
                </c:pt>
                <c:pt idx="9">
                  <c:v>339.92281397820642</c:v>
                </c:pt>
                <c:pt idx="10">
                  <c:v>343.84681397820646</c:v>
                </c:pt>
                <c:pt idx="11">
                  <c:v>347.77081397820643</c:v>
                </c:pt>
                <c:pt idx="12">
                  <c:v>351.69481397820641</c:v>
                </c:pt>
                <c:pt idx="13">
                  <c:v>355.61881397820645</c:v>
                </c:pt>
                <c:pt idx="14">
                  <c:v>359.54281397820642</c:v>
                </c:pt>
                <c:pt idx="15">
                  <c:v>363.46681397820646</c:v>
                </c:pt>
                <c:pt idx="16">
                  <c:v>367.39081397820644</c:v>
                </c:pt>
                <c:pt idx="17">
                  <c:v>387.01081397820644</c:v>
                </c:pt>
                <c:pt idx="18">
                  <c:v>406.63081397820645</c:v>
                </c:pt>
                <c:pt idx="19">
                  <c:v>426.25081397820645</c:v>
                </c:pt>
                <c:pt idx="20">
                  <c:v>445.87081397820646</c:v>
                </c:pt>
                <c:pt idx="21">
                  <c:v>465.49081397820646</c:v>
                </c:pt>
                <c:pt idx="22">
                  <c:v>485.11081397820641</c:v>
                </c:pt>
                <c:pt idx="23">
                  <c:v>504.73081397820641</c:v>
                </c:pt>
                <c:pt idx="24">
                  <c:v>524.35081397820636</c:v>
                </c:pt>
                <c:pt idx="25">
                  <c:v>543.97081397820648</c:v>
                </c:pt>
                <c:pt idx="26">
                  <c:v>563.59081397820637</c:v>
                </c:pt>
                <c:pt idx="27">
                  <c:v>583.21081397820649</c:v>
                </c:pt>
                <c:pt idx="28">
                  <c:v>602.83081397820638</c:v>
                </c:pt>
                <c:pt idx="29">
                  <c:v>622.4508139782065</c:v>
                </c:pt>
                <c:pt idx="30">
                  <c:v>642.07081397820639</c:v>
                </c:pt>
                <c:pt idx="31">
                  <c:v>661.69081397820639</c:v>
                </c:pt>
                <c:pt idx="32">
                  <c:v>681.3108139782064</c:v>
                </c:pt>
                <c:pt idx="33">
                  <c:v>700.9308139782064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3A-4CB5-9473-BA7DF0A3F121}"/>
            </c:ext>
          </c:extLst>
        </c:ser>
        <c:ser>
          <c:idx val="2"/>
          <c:order val="2"/>
          <c:tx>
            <c:strRef>
              <c:f>'Graficas (OK)'!$A$256</c:f>
              <c:strCache>
                <c:ptCount val="1"/>
                <c:pt idx="0">
                  <c:v>Commercial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(OK)'!$B$256:$AI$256</c:f>
              <c:numCache>
                <c:formatCode>#,##0.00\ "€"</c:formatCode>
                <c:ptCount val="34"/>
                <c:pt idx="0">
                  <c:v>383.09999999999997</c:v>
                </c:pt>
                <c:pt idx="1">
                  <c:v>383.09999999999997</c:v>
                </c:pt>
                <c:pt idx="2">
                  <c:v>383.09999999999997</c:v>
                </c:pt>
                <c:pt idx="3">
                  <c:v>383.09999999999997</c:v>
                </c:pt>
                <c:pt idx="4">
                  <c:v>383.09999999999997</c:v>
                </c:pt>
                <c:pt idx="5">
                  <c:v>383.09999999999997</c:v>
                </c:pt>
                <c:pt idx="6">
                  <c:v>383.09999999999997</c:v>
                </c:pt>
                <c:pt idx="7">
                  <c:v>383.09999999999997</c:v>
                </c:pt>
                <c:pt idx="8">
                  <c:v>383.09999999999997</c:v>
                </c:pt>
                <c:pt idx="9">
                  <c:v>383.09999999999997</c:v>
                </c:pt>
                <c:pt idx="10">
                  <c:v>383.09999999999997</c:v>
                </c:pt>
                <c:pt idx="11">
                  <c:v>383.09999999999997</c:v>
                </c:pt>
                <c:pt idx="12">
                  <c:v>383.09999999999997</c:v>
                </c:pt>
                <c:pt idx="13">
                  <c:v>383.09999999999997</c:v>
                </c:pt>
                <c:pt idx="14">
                  <c:v>383.09999999999997</c:v>
                </c:pt>
                <c:pt idx="15">
                  <c:v>383.09999999999997</c:v>
                </c:pt>
                <c:pt idx="16">
                  <c:v>383.09999999999997</c:v>
                </c:pt>
                <c:pt idx="17">
                  <c:v>383.09999999999997</c:v>
                </c:pt>
                <c:pt idx="18">
                  <c:v>383.09999999999997</c:v>
                </c:pt>
                <c:pt idx="19">
                  <c:v>383.09999999999997</c:v>
                </c:pt>
                <c:pt idx="20">
                  <c:v>383.09999999999997</c:v>
                </c:pt>
                <c:pt idx="21">
                  <c:v>383.09999999999997</c:v>
                </c:pt>
                <c:pt idx="22">
                  <c:v>383.09999999999997</c:v>
                </c:pt>
                <c:pt idx="23">
                  <c:v>383.09999999999997</c:v>
                </c:pt>
                <c:pt idx="24">
                  <c:v>383.09999999999997</c:v>
                </c:pt>
                <c:pt idx="25">
                  <c:v>383.09999999999997</c:v>
                </c:pt>
                <c:pt idx="26">
                  <c:v>383.09999999999997</c:v>
                </c:pt>
                <c:pt idx="27">
                  <c:v>383.09999999999997</c:v>
                </c:pt>
                <c:pt idx="28">
                  <c:v>383.09999999999997</c:v>
                </c:pt>
                <c:pt idx="29">
                  <c:v>383.09999999999997</c:v>
                </c:pt>
                <c:pt idx="30">
                  <c:v>383.09999999999997</c:v>
                </c:pt>
                <c:pt idx="31">
                  <c:v>383.09999999999997</c:v>
                </c:pt>
                <c:pt idx="32">
                  <c:v>383.09999999999997</c:v>
                </c:pt>
                <c:pt idx="33">
                  <c:v>383.09999999999997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3A-4CB5-9473-BA7DF0A3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373528"/>
        <c:axId val="511381728"/>
      </c:scatterChart>
      <c:valAx>
        <c:axId val="511373528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Distance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81728"/>
        <c:crosses val="autoZero"/>
        <c:crossBetween val="midCat"/>
      </c:valAx>
      <c:valAx>
        <c:axId val="5113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(€/ha/year)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\ &quot;€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73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'Graficas (OK)'!$A$252</c:f>
              <c:strCache>
                <c:ptCount val="1"/>
                <c:pt idx="0">
                  <c:v>Scenario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8681312795084287"/>
                  <c:y val="-7.280989876265467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(OK)'!$B$252:$AI$252</c:f>
              <c:numCache>
                <c:formatCode>#,##0.00\ "€"</c:formatCode>
                <c:ptCount val="34"/>
                <c:pt idx="0">
                  <c:v>210.15712131924201</c:v>
                </c:pt>
                <c:pt idx="1">
                  <c:v>223.00912131924201</c:v>
                </c:pt>
                <c:pt idx="2">
                  <c:v>225.86112131924202</c:v>
                </c:pt>
                <c:pt idx="3">
                  <c:v>231.565121319242</c:v>
                </c:pt>
                <c:pt idx="4">
                  <c:v>237.269121319242</c:v>
                </c:pt>
                <c:pt idx="5">
                  <c:v>242.97312131924201</c:v>
                </c:pt>
                <c:pt idx="6">
                  <c:v>248.67712131924202</c:v>
                </c:pt>
                <c:pt idx="7">
                  <c:v>254.38112131924203</c:v>
                </c:pt>
                <c:pt idx="8">
                  <c:v>260.08512131924203</c:v>
                </c:pt>
                <c:pt idx="9">
                  <c:v>265.78912131924199</c:v>
                </c:pt>
                <c:pt idx="10">
                  <c:v>271.49312131924199</c:v>
                </c:pt>
                <c:pt idx="11">
                  <c:v>277.197121319242</c:v>
                </c:pt>
                <c:pt idx="12">
                  <c:v>282.90112131924201</c:v>
                </c:pt>
                <c:pt idx="13">
                  <c:v>288.60512131924202</c:v>
                </c:pt>
                <c:pt idx="14">
                  <c:v>294.30912131924202</c:v>
                </c:pt>
                <c:pt idx="15">
                  <c:v>300.01312131924203</c:v>
                </c:pt>
                <c:pt idx="16">
                  <c:v>305.71712131924198</c:v>
                </c:pt>
                <c:pt idx="17">
                  <c:v>334.23712131924202</c:v>
                </c:pt>
                <c:pt idx="18">
                  <c:v>362.75712131924206</c:v>
                </c:pt>
                <c:pt idx="19">
                  <c:v>391.27712131924204</c:v>
                </c:pt>
                <c:pt idx="20">
                  <c:v>419.79712131924202</c:v>
                </c:pt>
                <c:pt idx="21">
                  <c:v>448.31712131924201</c:v>
                </c:pt>
                <c:pt idx="22">
                  <c:v>476.83712131924199</c:v>
                </c:pt>
                <c:pt idx="23">
                  <c:v>505.35712131924208</c:v>
                </c:pt>
                <c:pt idx="24">
                  <c:v>533.87712131924206</c:v>
                </c:pt>
                <c:pt idx="25">
                  <c:v>562.39712131924205</c:v>
                </c:pt>
                <c:pt idx="26">
                  <c:v>590.91712131924203</c:v>
                </c:pt>
                <c:pt idx="27">
                  <c:v>619.43712131924201</c:v>
                </c:pt>
                <c:pt idx="28">
                  <c:v>647.95712131924199</c:v>
                </c:pt>
                <c:pt idx="29">
                  <c:v>676.47712131924197</c:v>
                </c:pt>
                <c:pt idx="30">
                  <c:v>704.99712131924207</c:v>
                </c:pt>
                <c:pt idx="31">
                  <c:v>733.51712131924205</c:v>
                </c:pt>
                <c:pt idx="32">
                  <c:v>762.03712131924203</c:v>
                </c:pt>
                <c:pt idx="33">
                  <c:v>790.55712131924213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5B-4A30-9DA9-3ABAF6C48407}"/>
            </c:ext>
          </c:extLst>
        </c:ser>
        <c:ser>
          <c:idx val="1"/>
          <c:order val="1"/>
          <c:tx>
            <c:strRef>
              <c:f>'Graficas (OK)'!$A$253</c:f>
              <c:strCache>
                <c:ptCount val="1"/>
                <c:pt idx="0">
                  <c:v>Scenario 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8681312795084287"/>
                  <c:y val="5.68128983877015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(OK)'!$B$253:$AI$253</c:f>
              <c:numCache>
                <c:formatCode>#,##0.00\ "€"</c:formatCode>
                <c:ptCount val="34"/>
                <c:pt idx="0">
                  <c:v>290.5035203828408</c:v>
                </c:pt>
                <c:pt idx="1">
                  <c:v>302.46552038284079</c:v>
                </c:pt>
                <c:pt idx="2">
                  <c:v>304.42752038284078</c:v>
                </c:pt>
                <c:pt idx="3">
                  <c:v>308.35152038284082</c:v>
                </c:pt>
                <c:pt idx="4">
                  <c:v>312.2755203828408</c:v>
                </c:pt>
                <c:pt idx="5">
                  <c:v>316.19952038284077</c:v>
                </c:pt>
                <c:pt idx="6">
                  <c:v>320.12352038284081</c:v>
                </c:pt>
                <c:pt idx="7">
                  <c:v>324.04752038284079</c:v>
                </c:pt>
                <c:pt idx="8">
                  <c:v>327.97152038284082</c:v>
                </c:pt>
                <c:pt idx="9">
                  <c:v>331.8955203828408</c:v>
                </c:pt>
                <c:pt idx="10">
                  <c:v>335.81952038284078</c:v>
                </c:pt>
                <c:pt idx="11">
                  <c:v>339.74352038284081</c:v>
                </c:pt>
                <c:pt idx="12">
                  <c:v>343.66752038284079</c:v>
                </c:pt>
                <c:pt idx="13">
                  <c:v>347.59152038284083</c:v>
                </c:pt>
                <c:pt idx="14">
                  <c:v>351.5155203828408</c:v>
                </c:pt>
                <c:pt idx="15">
                  <c:v>355.43952038284078</c:v>
                </c:pt>
                <c:pt idx="16">
                  <c:v>359.36352038284082</c:v>
                </c:pt>
                <c:pt idx="17">
                  <c:v>378.98352038284082</c:v>
                </c:pt>
                <c:pt idx="18">
                  <c:v>398.60352038284077</c:v>
                </c:pt>
                <c:pt idx="19">
                  <c:v>418.22352038284077</c:v>
                </c:pt>
                <c:pt idx="20">
                  <c:v>437.84352038284078</c:v>
                </c:pt>
                <c:pt idx="21">
                  <c:v>457.46352038284078</c:v>
                </c:pt>
                <c:pt idx="22">
                  <c:v>477.08352038284079</c:v>
                </c:pt>
                <c:pt idx="23">
                  <c:v>496.70352038284079</c:v>
                </c:pt>
                <c:pt idx="24">
                  <c:v>516.3235203828408</c:v>
                </c:pt>
                <c:pt idx="25">
                  <c:v>535.9435203828408</c:v>
                </c:pt>
                <c:pt idx="26">
                  <c:v>555.56352038284081</c:v>
                </c:pt>
                <c:pt idx="27">
                  <c:v>575.18352038284081</c:v>
                </c:pt>
                <c:pt idx="28">
                  <c:v>594.80352038284082</c:v>
                </c:pt>
                <c:pt idx="29">
                  <c:v>614.42352038284082</c:v>
                </c:pt>
                <c:pt idx="30">
                  <c:v>634.04352038284082</c:v>
                </c:pt>
                <c:pt idx="31">
                  <c:v>653.66352038284072</c:v>
                </c:pt>
                <c:pt idx="32">
                  <c:v>673.28352038284083</c:v>
                </c:pt>
                <c:pt idx="33">
                  <c:v>692.90352038284072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5B-4A30-9DA9-3ABAF6C48407}"/>
            </c:ext>
          </c:extLst>
        </c:ser>
        <c:ser>
          <c:idx val="2"/>
          <c:order val="2"/>
          <c:tx>
            <c:strRef>
              <c:f>'Graficas (OK)'!$A$256</c:f>
              <c:strCache>
                <c:ptCount val="1"/>
                <c:pt idx="0">
                  <c:v>Commercial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'Graficas (OK)'!$B$249:$AI$249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200</c:v>
                </c:pt>
                <c:pt idx="18">
                  <c:v>250</c:v>
                </c:pt>
                <c:pt idx="19">
                  <c:v>300</c:v>
                </c:pt>
                <c:pt idx="20">
                  <c:v>350</c:v>
                </c:pt>
                <c:pt idx="21">
                  <c:v>400</c:v>
                </c:pt>
                <c:pt idx="22">
                  <c:v>450</c:v>
                </c:pt>
                <c:pt idx="23">
                  <c:v>500</c:v>
                </c:pt>
                <c:pt idx="24">
                  <c:v>550</c:v>
                </c:pt>
                <c:pt idx="25">
                  <c:v>600</c:v>
                </c:pt>
                <c:pt idx="26">
                  <c:v>650</c:v>
                </c:pt>
                <c:pt idx="27">
                  <c:v>700</c:v>
                </c:pt>
                <c:pt idx="28">
                  <c:v>750</c:v>
                </c:pt>
                <c:pt idx="29">
                  <c:v>800</c:v>
                </c:pt>
                <c:pt idx="30">
                  <c:v>850</c:v>
                </c:pt>
                <c:pt idx="31">
                  <c:v>900</c:v>
                </c:pt>
                <c:pt idx="32">
                  <c:v>950</c:v>
                </c:pt>
                <c:pt idx="33">
                  <c:v>1000</c:v>
                </c:pt>
              </c:numCache>
            </c:numRef>
          </c:xVal>
          <c:yVal>
            <c:numRef>
              <c:f>'Graficas (OK)'!$B$256:$AI$256</c:f>
              <c:numCache>
                <c:formatCode>#,##0.00\ "€"</c:formatCode>
                <c:ptCount val="34"/>
                <c:pt idx="0">
                  <c:v>383.09999999999997</c:v>
                </c:pt>
                <c:pt idx="1">
                  <c:v>383.09999999999997</c:v>
                </c:pt>
                <c:pt idx="2">
                  <c:v>383.09999999999997</c:v>
                </c:pt>
                <c:pt idx="3">
                  <c:v>383.09999999999997</c:v>
                </c:pt>
                <c:pt idx="4">
                  <c:v>383.09999999999997</c:v>
                </c:pt>
                <c:pt idx="5">
                  <c:v>383.09999999999997</c:v>
                </c:pt>
                <c:pt idx="6">
                  <c:v>383.09999999999997</c:v>
                </c:pt>
                <c:pt idx="7">
                  <c:v>383.09999999999997</c:v>
                </c:pt>
                <c:pt idx="8">
                  <c:v>383.09999999999997</c:v>
                </c:pt>
                <c:pt idx="9">
                  <c:v>383.09999999999997</c:v>
                </c:pt>
                <c:pt idx="10">
                  <c:v>383.09999999999997</c:v>
                </c:pt>
                <c:pt idx="11">
                  <c:v>383.09999999999997</c:v>
                </c:pt>
                <c:pt idx="12">
                  <c:v>383.09999999999997</c:v>
                </c:pt>
                <c:pt idx="13">
                  <c:v>383.09999999999997</c:v>
                </c:pt>
                <c:pt idx="14">
                  <c:v>383.09999999999997</c:v>
                </c:pt>
                <c:pt idx="15">
                  <c:v>383.09999999999997</c:v>
                </c:pt>
                <c:pt idx="16">
                  <c:v>383.09999999999997</c:v>
                </c:pt>
                <c:pt idx="17">
                  <c:v>383.09999999999997</c:v>
                </c:pt>
                <c:pt idx="18">
                  <c:v>383.09999999999997</c:v>
                </c:pt>
                <c:pt idx="19">
                  <c:v>383.09999999999997</c:v>
                </c:pt>
                <c:pt idx="20">
                  <c:v>383.09999999999997</c:v>
                </c:pt>
                <c:pt idx="21">
                  <c:v>383.09999999999997</c:v>
                </c:pt>
                <c:pt idx="22">
                  <c:v>383.09999999999997</c:v>
                </c:pt>
                <c:pt idx="23">
                  <c:v>383.09999999999997</c:v>
                </c:pt>
                <c:pt idx="24">
                  <c:v>383.09999999999997</c:v>
                </c:pt>
                <c:pt idx="25">
                  <c:v>383.09999999999997</c:v>
                </c:pt>
                <c:pt idx="26">
                  <c:v>383.09999999999997</c:v>
                </c:pt>
                <c:pt idx="27">
                  <c:v>383.09999999999997</c:v>
                </c:pt>
                <c:pt idx="28">
                  <c:v>383.09999999999997</c:v>
                </c:pt>
                <c:pt idx="29">
                  <c:v>383.09999999999997</c:v>
                </c:pt>
                <c:pt idx="30">
                  <c:v>383.09999999999997</c:v>
                </c:pt>
                <c:pt idx="31">
                  <c:v>383.09999999999997</c:v>
                </c:pt>
                <c:pt idx="32">
                  <c:v>383.09999999999997</c:v>
                </c:pt>
                <c:pt idx="33">
                  <c:v>383.09999999999997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25B-4A30-9DA9-3ABAF6C48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373528"/>
        <c:axId val="511381728"/>
      </c:scatterChart>
      <c:valAx>
        <c:axId val="511373528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Distance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81728"/>
        <c:crosses val="autoZero"/>
        <c:crossBetween val="midCat"/>
      </c:valAx>
      <c:valAx>
        <c:axId val="5113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Cost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\ &quot;€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1373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OMC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E-4C34-BA7D-7BBDA28EA2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DE-4C34-BA7D-7BBDA28EA2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DE-4C34-BA7D-7BBDA28EA2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'Escenario 1'!$Q$114:$Q$116</c:f>
              <c:strCache>
                <c:ptCount val="3"/>
                <c:pt idx="0">
                  <c:v>Raw material</c:v>
                </c:pt>
                <c:pt idx="1">
                  <c:v>Utilities</c:v>
                </c:pt>
                <c:pt idx="2">
                  <c:v>Labor</c:v>
                </c:pt>
              </c:strCache>
            </c:strRef>
          </c:cat>
          <c:val>
            <c:numRef>
              <c:f>'Escenario 1'!$S$114:$S$116</c:f>
              <c:numCache>
                <c:formatCode>0%</c:formatCode>
                <c:ptCount val="3"/>
                <c:pt idx="0">
                  <c:v>0.20425345041547821</c:v>
                </c:pt>
                <c:pt idx="1">
                  <c:v>0.2692465816709817</c:v>
                </c:pt>
                <c:pt idx="2">
                  <c:v>0.52649996791354003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DE-4C34-BA7D-7BBDA28EA2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5-4B80-A39E-5B7C2FC8DF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A5-4B80-A39E-5B7C2FC8DF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'Escenario 1'!$U$114:$U$115</c:f>
              <c:strCache>
                <c:ptCount val="2"/>
                <c:pt idx="0">
                  <c:v>IC</c:v>
                </c:pt>
                <c:pt idx="1">
                  <c:v>OMC</c:v>
                </c:pt>
              </c:strCache>
            </c:strRef>
          </c:cat>
          <c:val>
            <c:numRef>
              <c:f>'Escenario 1'!$W$114:$W$115</c:f>
              <c:numCache>
                <c:formatCode>0%</c:formatCode>
                <c:ptCount val="2"/>
                <c:pt idx="0">
                  <c:v>0.72639174185685773</c:v>
                </c:pt>
                <c:pt idx="1">
                  <c:v>0.27360825814314232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A5-4B80-A39E-5B7C2FC8DF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 w="12700"/>
          </c:spPr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B-4A11-9828-1843BA977780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3B-4A11-9828-1843BA977780}"/>
              </c:ext>
            </c:extLst>
          </c:dPt>
          <c:dPt>
            <c:idx val="2"/>
            <c:bubble3D val="0"/>
            <c:spPr>
              <a:solidFill>
                <a:schemeClr val="bg2">
                  <a:lumMod val="2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3B-4A11-9828-1843BA9777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2'!$S$114:$S$116</c:f>
              <c:numCache>
                <c:formatCode>0%</c:formatCode>
                <c:ptCount val="3"/>
                <c:pt idx="0">
                  <c:v>0.2039901245584354</c:v>
                </c:pt>
                <c:pt idx="1">
                  <c:v>0.22303917439378498</c:v>
                </c:pt>
                <c:pt idx="2">
                  <c:v>0.57297070104777958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OMC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2'!#REF!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EE3B-4A11-9828-1843BA9777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2'!$P$22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2'!$R$22:$T$22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9DF-47CE-9343-420C804CF5FB}"/>
            </c:ext>
          </c:extLst>
        </c:ser>
        <c:ser>
          <c:idx val="1"/>
          <c:order val="1"/>
          <c:tx>
            <c:strRef>
              <c:f>'Sensibilidad proceso 2'!$P$23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2'!$R$23:$T$23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9DF-47CE-9343-420C804CF5FB}"/>
            </c:ext>
          </c:extLst>
        </c:ser>
        <c:ser>
          <c:idx val="2"/>
          <c:order val="2"/>
          <c:tx>
            <c:strRef>
              <c:f>'Sensibilidad proceso 2'!$P$24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2'!$R$24:$T$24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39DF-47CE-9343-420C804CF5FB}"/>
            </c:ext>
          </c:extLst>
        </c:ser>
        <c:ser>
          <c:idx val="3"/>
          <c:order val="3"/>
          <c:tx>
            <c:strRef>
              <c:f>'Sensibilidad proceso 2'!$P$25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2'!$R$25:$T$25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39DF-47CE-9343-420C804CF5FB}"/>
            </c:ext>
          </c:extLst>
        </c:ser>
        <c:ser>
          <c:idx val="4"/>
          <c:order val="4"/>
          <c:tx>
            <c:strRef>
              <c:f>'Sensibilidad proceso 2'!$P$26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2'!$R$26:$T$26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39DF-47CE-9343-420C804CF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21-4F3D-915D-AC59C6F9B5D1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21-4F3D-915D-AC59C6F9B5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2'!$W$114:$W$115</c:f>
              <c:numCache>
                <c:formatCode>0%</c:formatCode>
                <c:ptCount val="2"/>
                <c:pt idx="0">
                  <c:v>0.83673426915526494</c:v>
                </c:pt>
                <c:pt idx="1">
                  <c:v>0.16326573084473506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2'!#REF!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EE21-4F3D-915D-AC59C6F9B5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9-4DC1-B446-356A96A6C56E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09-4DC1-B446-356A96A6C56E}"/>
              </c:ext>
            </c:extLst>
          </c:dPt>
          <c:dPt>
            <c:idx val="2"/>
            <c:bubble3D val="0"/>
            <c:spPr>
              <a:solidFill>
                <a:schemeClr val="bg2">
                  <a:lumMod val="2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09-4DC1-B446-356A96A6C5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3 (acet)'!$S$133:$S$135</c:f>
              <c:numCache>
                <c:formatCode>0%</c:formatCode>
                <c:ptCount val="3"/>
                <c:pt idx="0">
                  <c:v>0.16531812269647159</c:v>
                </c:pt>
                <c:pt idx="1">
                  <c:v>0.33089135673616266</c:v>
                </c:pt>
                <c:pt idx="2">
                  <c:v>0.50379052056736584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OMC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3 (acet)'!#REF!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B609-4DC1-B446-356A96A6C56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D-40AD-800D-F6C1C6955F62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3D-40AD-800D-F6C1C6955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3 (acet)'!$W$133:$W$134</c:f>
              <c:numCache>
                <c:formatCode>0%</c:formatCode>
                <c:ptCount val="2"/>
                <c:pt idx="0">
                  <c:v>0.78024097793763747</c:v>
                </c:pt>
                <c:pt idx="1">
                  <c:v>0.21975902206236261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3 (acet)'!#REF!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E93D-40AD-800D-F6C1C6955F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A-4A6D-BCE5-788A92CF0123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DA-4A6D-BCE5-788A92CF0123}"/>
              </c:ext>
            </c:extLst>
          </c:dPt>
          <c:dPt>
            <c:idx val="2"/>
            <c:bubble3D val="0"/>
            <c:spPr>
              <a:solidFill>
                <a:schemeClr val="bg2">
                  <a:lumMod val="2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DA-4A6D-BCE5-788A92CF01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4 (acet)'!$S$133:$S$135</c:f>
              <c:numCache>
                <c:formatCode>0%</c:formatCode>
                <c:ptCount val="3"/>
                <c:pt idx="0">
                  <c:v>0.16724087953648539</c:v>
                </c:pt>
                <c:pt idx="1">
                  <c:v>0.24766035734882236</c:v>
                </c:pt>
                <c:pt idx="2">
                  <c:v>0.58509876311469233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OMC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4 (acet)'!#REF!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67DA-4A6D-BCE5-788A92CF01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0-4B56-ACB9-452D7BA1DF3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0-4B56-ACB9-452D7BA1D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4 (acet)'!$W$133:$W$134</c:f>
              <c:numCache>
                <c:formatCode>0%</c:formatCode>
                <c:ptCount val="2"/>
                <c:pt idx="0">
                  <c:v>0.89250569205665164</c:v>
                </c:pt>
                <c:pt idx="1">
                  <c:v>0.1074943079433483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4 (acet)'!#REF!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07A0-4B56-ACB9-452D7BA1DF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E-4CB5-A65B-6E151C1B8909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AE-4CB5-A65B-6E151C1B8909}"/>
              </c:ext>
            </c:extLst>
          </c:dPt>
          <c:dPt>
            <c:idx val="2"/>
            <c:bubble3D val="0"/>
            <c:spPr>
              <a:solidFill>
                <a:schemeClr val="bg2">
                  <a:lumMod val="2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AE-4CB5-A65B-6E151C1B89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3 (acet) (2)'!$S$133:$S$135</c:f>
              <c:numCache>
                <c:formatCode>0%</c:formatCode>
                <c:ptCount val="3"/>
                <c:pt idx="0">
                  <c:v>0.14118523231847299</c:v>
                </c:pt>
                <c:pt idx="1">
                  <c:v>0.38487568607999428</c:v>
                </c:pt>
                <c:pt idx="2">
                  <c:v>0.47393908160153275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OMC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3 (acet) (2)'!#REF!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27AE-4CB5-A65B-6E151C1B89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8-4B1D-997F-B402F470A0F9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98-4B1D-997F-B402F470A0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3 (acet) (2)'!$W$133:$W$134</c:f>
              <c:numCache>
                <c:formatCode>0%</c:formatCode>
                <c:ptCount val="2"/>
                <c:pt idx="0">
                  <c:v>0.75926821031388836</c:v>
                </c:pt>
                <c:pt idx="1">
                  <c:v>0.24073178968611156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3 (acet) (2)'!#REF!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9798-4B1D-997F-B402F470A0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A-4A2E-B027-20EE12758FC6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EA-4A2E-B027-20EE12758FC6}"/>
              </c:ext>
            </c:extLst>
          </c:dPt>
          <c:dPt>
            <c:idx val="2"/>
            <c:bubble3D val="0"/>
            <c:spPr>
              <a:solidFill>
                <a:schemeClr val="bg2">
                  <a:lumMod val="2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EA-4A2E-B027-20EE12758F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4 (acet) (2)'!$S$133:$S$135</c:f>
              <c:numCache>
                <c:formatCode>0%</c:formatCode>
                <c:ptCount val="3"/>
                <c:pt idx="0">
                  <c:v>0.16492301618732941</c:v>
                </c:pt>
                <c:pt idx="1">
                  <c:v>0.24860800349008391</c:v>
                </c:pt>
                <c:pt idx="2">
                  <c:v>0.58646898032258665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OMC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4 (acet) (2)'!#REF!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75EA-4A2E-B027-20EE12758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bg1">
                <a:lumMod val="65000"/>
              </a:schemeClr>
            </a:solidFill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9-449B-9067-ABF6603A1037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9-449B-9067-ABF6603A10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'Escenario 4 (acet) (2)'!$W$133:$W$134</c:f>
              <c:numCache>
                <c:formatCode>0%</c:formatCode>
                <c:ptCount val="2"/>
                <c:pt idx="0">
                  <c:v>0.89288203927956133</c:v>
                </c:pt>
                <c:pt idx="1">
                  <c:v>0.10711796072043864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'Escenario 4 (acet) (2)'!#REF!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1649-449B-9067-ABF6603A10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2'!$P$22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2'!$Y$22:$AA$22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7B8-4919-AE01-8D1B170CD4AE}"/>
            </c:ext>
          </c:extLst>
        </c:ser>
        <c:ser>
          <c:idx val="1"/>
          <c:order val="1"/>
          <c:tx>
            <c:strRef>
              <c:f>'Sensibilidad proceso 2'!$P$23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2'!$Y$23:$AA$23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7B8-4919-AE01-8D1B170CD4AE}"/>
            </c:ext>
          </c:extLst>
        </c:ser>
        <c:ser>
          <c:idx val="2"/>
          <c:order val="2"/>
          <c:tx>
            <c:strRef>
              <c:f>'Sensibilidad proceso 2'!$P$24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2'!$Y$24:$AA$24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E7B8-4919-AE01-8D1B170CD4AE}"/>
            </c:ext>
          </c:extLst>
        </c:ser>
        <c:ser>
          <c:idx val="3"/>
          <c:order val="3"/>
          <c:tx>
            <c:strRef>
              <c:f>'Sensibilidad proceso 2'!$P$25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2'!$Y$25:$AA$25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E7B8-4919-AE01-8D1B170CD4AE}"/>
            </c:ext>
          </c:extLst>
        </c:ser>
        <c:ser>
          <c:idx val="4"/>
          <c:order val="4"/>
          <c:tx>
            <c:strRef>
              <c:f>'Sensibilidad proceso 2'!$P$26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2'!$Y$26:$AA$26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2'!$Y$21:$AA$21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E7B8-4919-AE01-8D1B170CD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2'!$P$102</c:f>
              <c:strCache>
                <c:ptCount val="1"/>
                <c:pt idx="0">
                  <c:v>PWW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2'!$Q$102:$S$102</c:f>
              <c:numCache>
                <c:formatCode>_("€"* #,##0.00_);_("€"* \(#,##0.00\);_("€"* "-"??_);_(@_)</c:formatCode>
                <c:ptCount val="3"/>
                <c:pt idx="0">
                  <c:v>283.46936303878692</c:v>
                </c:pt>
                <c:pt idx="1">
                  <c:v>342.56130727919367</c:v>
                </c:pt>
                <c:pt idx="2">
                  <c:v>547.63567724885252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F-4B19-96AF-FE00CCAEF77D}"/>
            </c:ext>
          </c:extLst>
        </c:ser>
        <c:ser>
          <c:idx val="1"/>
          <c:order val="1"/>
          <c:tx>
            <c:strRef>
              <c:f>'Sensibilidad proceso 2'!$P$103</c:f>
              <c:strCache>
                <c:ptCount val="1"/>
                <c:pt idx="0">
                  <c:v>Electricity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2'!$Q$103:$S$103</c:f>
              <c:numCache>
                <c:formatCode>_("€"* #,##0.00_);_("€"* \(#,##0.00\);_("€"* "-"??_);_(@_)</c:formatCode>
                <c:ptCount val="3"/>
                <c:pt idx="0">
                  <c:v>374.54550786974545</c:v>
                </c:pt>
                <c:pt idx="1">
                  <c:v>342.56130727919367</c:v>
                </c:pt>
                <c:pt idx="2">
                  <c:v>310.57710668864189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F-4B19-96AF-FE00CCAEF77D}"/>
            </c:ext>
          </c:extLst>
        </c:ser>
        <c:ser>
          <c:idx val="2"/>
          <c:order val="2"/>
          <c:tx>
            <c:strRef>
              <c:f>'Sensibilidad proceso 2'!$P$104</c:f>
              <c:strCache>
                <c:ptCount val="1"/>
                <c:pt idx="0">
                  <c:v>Heat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2'!$Q$104:$S$104</c:f>
              <c:numCache>
                <c:formatCode>_("€"* #,##0.00_);_("€"* \(#,##0.00\);_("€"* "-"??_);_(@_)</c:formatCode>
                <c:ptCount val="3"/>
                <c:pt idx="0">
                  <c:v>344.51952819029509</c:v>
                </c:pt>
                <c:pt idx="1">
                  <c:v>342.56130727919367</c:v>
                </c:pt>
                <c:pt idx="2">
                  <c:v>337.21911931324962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F-4B19-96AF-FE00CCAEF77D}"/>
            </c:ext>
          </c:extLst>
        </c:ser>
        <c:ser>
          <c:idx val="3"/>
          <c:order val="3"/>
          <c:tx>
            <c:strRef>
              <c:f>'Sensibilidad proceso 2'!$P$105</c:f>
              <c:strCache>
                <c:ptCount val="1"/>
                <c:pt idx="0">
                  <c:v>Phosphate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2'!$Q$105:$S$105</c:f>
              <c:numCache>
                <c:formatCode>_("€"* #,##0.00_);_("€"* \(#,##0.00\);_("€"* "-"??_);_(@_)</c:formatCode>
                <c:ptCount val="3"/>
                <c:pt idx="0">
                  <c:v>347.90349524513766</c:v>
                </c:pt>
                <c:pt idx="1">
                  <c:v>342.56130727919367</c:v>
                </c:pt>
                <c:pt idx="2">
                  <c:v>337.21911931324962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F-4B19-96AF-FE00CCAEF77D}"/>
            </c:ext>
          </c:extLst>
        </c:ser>
        <c:ser>
          <c:idx val="4"/>
          <c:order val="4"/>
          <c:tx>
            <c:strRef>
              <c:f>'Sensibilidad proceso 2'!$P$106</c:f>
              <c:strCache>
                <c:ptCount val="1"/>
                <c:pt idx="0">
                  <c:v>Enzymes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2'!$Q$106:$S$106</c:f>
              <c:numCache>
                <c:formatCode>_("€"* #,##0.00_);_("€"* \(#,##0.00\);_("€"* "-"??_);_(@_)</c:formatCode>
                <c:ptCount val="3"/>
                <c:pt idx="0">
                  <c:v>354.2043485124197</c:v>
                </c:pt>
                <c:pt idx="1">
                  <c:v>342.56130727919367</c:v>
                </c:pt>
                <c:pt idx="2">
                  <c:v>330.91826604596764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CF-4B19-96AF-FE00CCAEF77D}"/>
            </c:ext>
          </c:extLst>
        </c:ser>
        <c:ser>
          <c:idx val="5"/>
          <c:order val="5"/>
          <c:tx>
            <c:strRef>
              <c:f>'Sensibilidad proceso 2'!$P$107</c:f>
              <c:strCache>
                <c:ptCount val="1"/>
                <c:pt idx="0">
                  <c:v>CO2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2'!$Q$101:$S$101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2'!$Q$107:$S$107</c:f>
              <c:numCache>
                <c:formatCode>_("€"* #,##0.00_);_("€"* \(#,##0.00\);_("€"* "-"??_);_(@_)</c:formatCode>
                <c:ptCount val="3"/>
                <c:pt idx="0">
                  <c:v>351.75318193700372</c:v>
                </c:pt>
                <c:pt idx="1">
                  <c:v>342.56130727919367</c:v>
                </c:pt>
                <c:pt idx="2">
                  <c:v>333.36943262138368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CF-4B19-96AF-FE00CCAE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Biostimulant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3'!$P$22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3'!$R$22:$T$22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2-4D6F-A21D-85905FE48251}"/>
            </c:ext>
          </c:extLst>
        </c:ser>
        <c:ser>
          <c:idx val="1"/>
          <c:order val="1"/>
          <c:tx>
            <c:strRef>
              <c:f>'Sensibilidad proceso 3'!$P$23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3'!$R$23:$T$23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A82-4D6F-A21D-85905FE48251}"/>
            </c:ext>
          </c:extLst>
        </c:ser>
        <c:ser>
          <c:idx val="2"/>
          <c:order val="2"/>
          <c:tx>
            <c:strRef>
              <c:f>'Sensibilidad proceso 3'!$P$24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3'!$R$24:$T$24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CA82-4D6F-A21D-85905FE48251}"/>
            </c:ext>
          </c:extLst>
        </c:ser>
        <c:ser>
          <c:idx val="3"/>
          <c:order val="3"/>
          <c:tx>
            <c:strRef>
              <c:f>'Sensibilidad proceso 3'!$P$25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3'!$R$25:$T$25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CA82-4D6F-A21D-85905FE48251}"/>
            </c:ext>
          </c:extLst>
        </c:ser>
        <c:ser>
          <c:idx val="4"/>
          <c:order val="4"/>
          <c:tx>
            <c:strRef>
              <c:f>'Sensibilidad proceso 3'!$P$26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3'!$R$26:$T$26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3'!$R$21:$T$21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CA82-4D6F-A21D-85905FE48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3'!$P$22</c:f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3'!$Y$22:$AA$22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159-476A-A76C-71664018FFF1}"/>
            </c:ext>
          </c:extLst>
        </c:ser>
        <c:ser>
          <c:idx val="1"/>
          <c:order val="1"/>
          <c:tx>
            <c:strRef>
              <c:f>'Sensibilidad proceso 3'!$P$23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3'!$Y$23:$AA$23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159-476A-A76C-71664018FFF1}"/>
            </c:ext>
          </c:extLst>
        </c:ser>
        <c:ser>
          <c:idx val="2"/>
          <c:order val="2"/>
          <c:tx>
            <c:strRef>
              <c:f>'Sensibilidad proceso 3'!$P$24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3'!$Y$24:$AA$24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D159-476A-A76C-71664018FFF1}"/>
            </c:ext>
          </c:extLst>
        </c:ser>
        <c:ser>
          <c:idx val="3"/>
          <c:order val="3"/>
          <c:tx>
            <c:strRef>
              <c:f>'Sensibilidad proceso 3'!$P$25</c:f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3'!$Y$25:$AA$25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D159-476A-A76C-71664018FFF1}"/>
            </c:ext>
          </c:extLst>
        </c:ser>
        <c:ser>
          <c:idx val="4"/>
          <c:order val="4"/>
          <c:tx>
            <c:strRef>
              <c:f>'Sensibilidad proceso 3'!$P$26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'Sensibilidad proceso 3'!$Y$26:$AA$26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'Sensibilidad proceso 3'!$Y$21:$AA$21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D159-476A-A76C-71664018F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'Sensibilidad proceso 3'!$P$102</c:f>
              <c:strCache>
                <c:ptCount val="1"/>
                <c:pt idx="0">
                  <c:v>PWW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3'!$Q$102:$S$102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C-4520-97C5-01A75B6EC5CB}"/>
            </c:ext>
          </c:extLst>
        </c:ser>
        <c:ser>
          <c:idx val="1"/>
          <c:order val="1"/>
          <c:tx>
            <c:strRef>
              <c:f>'Sensibilidad proceso 3'!$P$103</c:f>
              <c:strCache>
                <c:ptCount val="1"/>
                <c:pt idx="0">
                  <c:v>Electricity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3'!$Q$103:$S$103</c:f>
              <c:numCache>
                <c:formatCode>_("€"* #,##0.00_);_("€"* \(#,##0.00\);_("€"* "-"??_);_(@_)</c:formatCode>
                <c:ptCount val="3"/>
                <c:pt idx="0">
                  <c:v>420.4160736219211</c:v>
                </c:pt>
                <c:pt idx="1">
                  <c:v>349.17164363183332</c:v>
                </c:pt>
                <c:pt idx="2">
                  <c:v>286.93778578410007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C-4520-97C5-01A75B6EC5CB}"/>
            </c:ext>
          </c:extLst>
        </c:ser>
        <c:ser>
          <c:idx val="2"/>
          <c:order val="2"/>
          <c:tx>
            <c:strRef>
              <c:f>'Sensibilidad proceso 3'!$P$104</c:f>
              <c:strCache>
                <c:ptCount val="1"/>
                <c:pt idx="0">
                  <c:v>Heat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3'!$Q$104:$S$104</c:f>
              <c:numCache>
                <c:formatCode>_("€"* #,##0.00_);_("€"* \(#,##0.00\);_("€"* "-"??_);_(@_)</c:formatCode>
                <c:ptCount val="3"/>
                <c:pt idx="0">
                  <c:v>417.18936574715758</c:v>
                </c:pt>
                <c:pt idx="1">
                  <c:v>349.17164363183332</c:v>
                </c:pt>
                <c:pt idx="2">
                  <c:v>290.16449365886359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C-4520-97C5-01A75B6EC5CB}"/>
            </c:ext>
          </c:extLst>
        </c:ser>
        <c:ser>
          <c:idx val="3"/>
          <c:order val="3"/>
          <c:tx>
            <c:strRef>
              <c:f>'Sensibilidad proceso 3'!$P$105</c:f>
              <c:strCache>
                <c:ptCount val="1"/>
                <c:pt idx="0">
                  <c:v>Phosphate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3'!$Q$105:$S$105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349.17164363183332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C-4520-97C5-01A75B6EC5CB}"/>
            </c:ext>
          </c:extLst>
        </c:ser>
        <c:ser>
          <c:idx val="4"/>
          <c:order val="4"/>
          <c:tx>
            <c:strRef>
              <c:f>'Sensibilidad proceso 3'!$P$106</c:f>
              <c:strCache>
                <c:ptCount val="1"/>
                <c:pt idx="0">
                  <c:v>Enzymes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3'!$Q$106:$S$106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349.17164363183332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C-4520-97C5-01A75B6EC5CB}"/>
            </c:ext>
          </c:extLst>
        </c:ser>
        <c:ser>
          <c:idx val="5"/>
          <c:order val="5"/>
          <c:tx>
            <c:strRef>
              <c:f>'Sensibilidad proceso 3'!$P$107</c:f>
              <c:strCache>
                <c:ptCount val="1"/>
                <c:pt idx="0">
                  <c:v>CO2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'Sensibilidad proceso 3'!$Q$101:$S$101</c:f>
              <c:strCache>
                <c:ptCount val="3"/>
                <c:pt idx="0">
                  <c:v>Max</c:v>
                </c:pt>
                <c:pt idx="1">
                  <c:v>Mean</c:v>
                </c:pt>
                <c:pt idx="2">
                  <c:v>Min</c:v>
                </c:pt>
              </c:strCache>
            </c:strRef>
          </c:cat>
          <c:val>
            <c:numRef>
              <c:f>'Sensibilidad proceso 3'!$Q$107:$S$107</c:f>
              <c:numCache>
                <c:formatCode>_("€"* #,##0.00_);_("€"* \(#,##0.00\);_("€"* "-"??_);_(@_)</c:formatCode>
                <c:ptCount val="3"/>
                <c:pt idx="0">
                  <c:v>0</c:v>
                </c:pt>
                <c:pt idx="1">
                  <c:v>349.17164363183332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DC-4520-97C5-01A75B6E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469792"/>
        <c:axId val="1900470208"/>
      </c:lineChart>
      <c:catAx>
        <c:axId val="1900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70208"/>
        <c:crosses val="autoZero"/>
        <c:auto val="1"/>
        <c:lblAlgn val="ctr"/>
        <c:lblOffset val="100"/>
        <c:noMultiLvlLbl val="0"/>
      </c:catAx>
      <c:valAx>
        <c:axId val="190047020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ES"/>
                  <a:t>Biopesticide</a:t>
                </a:r>
                <a:r>
                  <a:rPr lang="es-ES" baseline="0"/>
                  <a:t> cost (€/m</a:t>
                </a:r>
                <a:r>
                  <a:rPr lang="es-ES" baseline="30000"/>
                  <a:t>3</a:t>
                </a:r>
                <a:r>
                  <a:rPr lang="es-ES" baseline="0"/>
                  <a:t>)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004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chart" Target="../charts/chart4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18" Type="http://schemas.openxmlformats.org/officeDocument/2006/relationships/chart" Target="../charts/chart30.xml"/><Relationship Id="rId3" Type="http://schemas.openxmlformats.org/officeDocument/2006/relationships/chart" Target="../charts/chart15.xml"/><Relationship Id="rId21" Type="http://schemas.openxmlformats.org/officeDocument/2006/relationships/chart" Target="../charts/chart33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17" Type="http://schemas.openxmlformats.org/officeDocument/2006/relationships/chart" Target="../charts/chart29.xml"/><Relationship Id="rId2" Type="http://schemas.openxmlformats.org/officeDocument/2006/relationships/chart" Target="../charts/chart14.xml"/><Relationship Id="rId16" Type="http://schemas.openxmlformats.org/officeDocument/2006/relationships/chart" Target="../charts/chart28.xml"/><Relationship Id="rId20" Type="http://schemas.openxmlformats.org/officeDocument/2006/relationships/chart" Target="../charts/chart32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24" Type="http://schemas.openxmlformats.org/officeDocument/2006/relationships/chart" Target="../charts/chart36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23" Type="http://schemas.openxmlformats.org/officeDocument/2006/relationships/chart" Target="../charts/chart35.xml"/><Relationship Id="rId10" Type="http://schemas.openxmlformats.org/officeDocument/2006/relationships/chart" Target="../charts/chart22.xml"/><Relationship Id="rId19" Type="http://schemas.openxmlformats.org/officeDocument/2006/relationships/chart" Target="../charts/chart31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Relationship Id="rId22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chart" Target="../charts/chart4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432585</xdr:colOff>
      <xdr:row>1</xdr:row>
      <xdr:rowOff>45243</xdr:rowOff>
    </xdr:from>
    <xdr:to>
      <xdr:col>20</xdr:col>
      <xdr:colOff>285742</xdr:colOff>
      <xdr:row>19</xdr:row>
      <xdr:rowOff>7936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1</xdr:row>
      <xdr:rowOff>0</xdr:rowOff>
    </xdr:from>
    <xdr:to>
      <xdr:col>29</xdr:col>
      <xdr:colOff>462757</xdr:colOff>
      <xdr:row>18</xdr:row>
      <xdr:rowOff>153193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76200</xdr:colOff>
      <xdr:row>107</xdr:row>
      <xdr:rowOff>190500</xdr:rowOff>
    </xdr:from>
    <xdr:to>
      <xdr:col>20</xdr:col>
      <xdr:colOff>691357</xdr:colOff>
      <xdr:row>125</xdr:row>
      <xdr:rowOff>67468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520700</xdr:colOff>
      <xdr:row>204</xdr:row>
      <xdr:rowOff>19050</xdr:rowOff>
    </xdr:from>
    <xdr:to>
      <xdr:col>7</xdr:col>
      <xdr:colOff>366632</xdr:colOff>
      <xdr:row>208</xdr:row>
      <xdr:rowOff>117971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78A1BF-CB20-4306-9D5E-023D0687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39998650"/>
          <a:ext cx="2851297" cy="8418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401461</xdr:colOff>
      <xdr:row>8</xdr:row>
      <xdr:rowOff>185208</xdr:rowOff>
    </xdr:from>
    <xdr:to>
      <xdr:col>4</xdr:col>
      <xdr:colOff>333188</xdr:colOff>
      <xdr:row>10</xdr:row>
      <xdr:rowOff>47602</xdr:rowOff>
    </xdr:to>
    <xdr:sp macro="" textlink="">
      <xdr:nvSpPr>
        <xdr:cNvPr id="3" name="CuadroTexto 27">
          <a:extLst>
            <a:ext uri="{FF2B5EF4-FFF2-40B4-BE49-F238E27FC236}">
              <a16:creationId xmlns:a16="http://schemas.microsoft.com/office/drawing/2014/main" id="{55558B84-E49D-45B9-86EC-6D10235345CC}"/>
            </a:ext>
          </a:extLst>
        </xdr:cNvPr>
        <xdr:cNvSpPr txBox="1"/>
      </xdr:nvSpPr>
      <xdr:spPr>
        <a:xfrm>
          <a:off x="4027311" y="1734608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1690689</xdr:colOff>
      <xdr:row>12</xdr:row>
      <xdr:rowOff>142875</xdr:rowOff>
    </xdr:from>
    <xdr:to>
      <xdr:col>22</xdr:col>
      <xdr:colOff>390120</xdr:colOff>
      <xdr:row>16</xdr:row>
      <xdr:rowOff>113505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CEE22C74-E616-4B0E-B7A6-6641BBD15547}"/>
            </a:ext>
          </a:extLst>
        </xdr:cNvPr>
        <xdr:cNvSpPr/>
      </xdr:nvSpPr>
      <xdr:spPr>
        <a:xfrm>
          <a:off x="27509789" y="2428875"/>
          <a:ext cx="1474381" cy="7072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/>
            <a:t>Flash</a:t>
          </a:r>
        </a:p>
      </xdr:txBody>
    </xdr:sp>
    <xdr:clientData/>
  </xdr:twoCellAnchor>
  <xdr:twoCellAnchor>
    <xdr:from>
      <xdr:col>20</xdr:col>
      <xdr:colOff>916781</xdr:colOff>
      <xdr:row>14</xdr:row>
      <xdr:rowOff>128190</xdr:rowOff>
    </xdr:from>
    <xdr:to>
      <xdr:col>20</xdr:col>
      <xdr:colOff>1690689</xdr:colOff>
      <xdr:row>14</xdr:row>
      <xdr:rowOff>130969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8C30BC52-A7D8-4FC5-8805-BDF352AE1D1D}"/>
            </a:ext>
          </a:extLst>
        </xdr:cNvPr>
        <xdr:cNvCxnSpPr>
          <a:endCxn id="4" idx="1"/>
        </xdr:cNvCxnSpPr>
      </xdr:nvCxnSpPr>
      <xdr:spPr>
        <a:xfrm flipV="1">
          <a:off x="26970831" y="2782490"/>
          <a:ext cx="538958" cy="27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357188</xdr:colOff>
      <xdr:row>15</xdr:row>
      <xdr:rowOff>71437</xdr:rowOff>
    </xdr:from>
    <xdr:to>
      <xdr:col>20</xdr:col>
      <xdr:colOff>1304915</xdr:colOff>
      <xdr:row>16</xdr:row>
      <xdr:rowOff>124331</xdr:rowOff>
    </xdr:to>
    <xdr:sp macro="" textlink="">
      <xdr:nvSpPr>
        <xdr:cNvPr id="6" name="CuadroTexto 27">
          <a:extLst>
            <a:ext uri="{FF2B5EF4-FFF2-40B4-BE49-F238E27FC236}">
              <a16:creationId xmlns:a16="http://schemas.microsoft.com/office/drawing/2014/main" id="{29D18709-3F5D-4227-8EDD-70A7FBE0163E}"/>
            </a:ext>
          </a:extLst>
        </xdr:cNvPr>
        <xdr:cNvSpPr txBox="1"/>
      </xdr:nvSpPr>
      <xdr:spPr>
        <a:xfrm>
          <a:off x="26411238" y="2909887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Q13</a:t>
          </a:r>
        </a:p>
      </xdr:txBody>
    </xdr:sp>
    <xdr:clientData/>
  </xdr:twoCellAnchor>
  <xdr:twoCellAnchor>
    <xdr:from>
      <xdr:col>21</xdr:col>
      <xdr:colOff>492718</xdr:colOff>
      <xdr:row>10</xdr:row>
      <xdr:rowOff>178594</xdr:rowOff>
    </xdr:from>
    <xdr:to>
      <xdr:col>22</xdr:col>
      <xdr:colOff>619126</xdr:colOff>
      <xdr:row>12</xdr:row>
      <xdr:rowOff>142875</xdr:rowOff>
    </xdr:to>
    <xdr:cxnSp macro="">
      <xdr:nvCxnSpPr>
        <xdr:cNvPr id="7" name="Conector: angular 6">
          <a:extLst>
            <a:ext uri="{FF2B5EF4-FFF2-40B4-BE49-F238E27FC236}">
              <a16:creationId xmlns:a16="http://schemas.microsoft.com/office/drawing/2014/main" id="{F9F32D7F-BCB3-4225-8CE0-E0BF7F69EAAE}"/>
            </a:ext>
          </a:extLst>
        </xdr:cNvPr>
        <xdr:cNvCxnSpPr>
          <a:stCxn id="4" idx="0"/>
        </xdr:cNvCxnSpPr>
      </xdr:nvCxnSpPr>
      <xdr:spPr>
        <a:xfrm rot="5400000" flipH="1" flipV="1">
          <a:off x="28440756" y="1656456"/>
          <a:ext cx="332581" cy="1212258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492718</xdr:colOff>
      <xdr:row>16</xdr:row>
      <xdr:rowOff>113504</xdr:rowOff>
    </xdr:from>
    <xdr:to>
      <xdr:col>22</xdr:col>
      <xdr:colOff>654844</xdr:colOff>
      <xdr:row>18</xdr:row>
      <xdr:rowOff>83343</xdr:rowOff>
    </xdr:to>
    <xdr:cxnSp macro="">
      <xdr:nvCxnSpPr>
        <xdr:cNvPr id="8" name="Conector: angular 7">
          <a:extLst>
            <a:ext uri="{FF2B5EF4-FFF2-40B4-BE49-F238E27FC236}">
              <a16:creationId xmlns:a16="http://schemas.microsoft.com/office/drawing/2014/main" id="{9221EBF0-59CE-4E27-AE6E-07CA06E071C1}"/>
            </a:ext>
          </a:extLst>
        </xdr:cNvPr>
        <xdr:cNvCxnSpPr>
          <a:stCxn id="4" idx="2"/>
        </xdr:cNvCxnSpPr>
      </xdr:nvCxnSpPr>
      <xdr:spPr>
        <a:xfrm rot="16200000" flipH="1">
          <a:off x="28455836" y="2681186"/>
          <a:ext cx="338139" cy="1247976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154782</xdr:colOff>
      <xdr:row>10</xdr:row>
      <xdr:rowOff>154781</xdr:rowOff>
    </xdr:from>
    <xdr:to>
      <xdr:col>23</xdr:col>
      <xdr:colOff>340509</xdr:colOff>
      <xdr:row>12</xdr:row>
      <xdr:rowOff>17175</xdr:rowOff>
    </xdr:to>
    <xdr:sp macro="" textlink="">
      <xdr:nvSpPr>
        <xdr:cNvPr id="9" name="CuadroTexto 27">
          <a:extLst>
            <a:ext uri="{FF2B5EF4-FFF2-40B4-BE49-F238E27FC236}">
              <a16:creationId xmlns:a16="http://schemas.microsoft.com/office/drawing/2014/main" id="{BE950949-3AB8-49F7-929D-7A9FA542F0E8}"/>
            </a:ext>
          </a:extLst>
        </xdr:cNvPr>
        <xdr:cNvSpPr txBox="1"/>
      </xdr:nvSpPr>
      <xdr:spPr>
        <a:xfrm>
          <a:off x="28748832" y="2072481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V (acetona)</a:t>
          </a:r>
        </a:p>
      </xdr:txBody>
    </xdr:sp>
    <xdr:clientData/>
  </xdr:twoCellAnchor>
  <xdr:twoCellAnchor>
    <xdr:from>
      <xdr:col>22</xdr:col>
      <xdr:colOff>214313</xdr:colOff>
      <xdr:row>18</xdr:row>
      <xdr:rowOff>71438</xdr:rowOff>
    </xdr:from>
    <xdr:to>
      <xdr:col>23</xdr:col>
      <xdr:colOff>400040</xdr:colOff>
      <xdr:row>19</xdr:row>
      <xdr:rowOff>124332</xdr:rowOff>
    </xdr:to>
    <xdr:sp macro="" textlink="">
      <xdr:nvSpPr>
        <xdr:cNvPr id="10" name="CuadroTexto 27">
          <a:extLst>
            <a:ext uri="{FF2B5EF4-FFF2-40B4-BE49-F238E27FC236}">
              <a16:creationId xmlns:a16="http://schemas.microsoft.com/office/drawing/2014/main" id="{234D0F76-CE61-487B-8AC8-A1BE25E29E76}"/>
            </a:ext>
          </a:extLst>
        </xdr:cNvPr>
        <xdr:cNvSpPr txBox="1"/>
      </xdr:nvSpPr>
      <xdr:spPr>
        <a:xfrm>
          <a:off x="28808363" y="3462338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L (pesticida)</a:t>
          </a:r>
        </a:p>
      </xdr:txBody>
    </xdr:sp>
    <xdr:clientData/>
  </xdr:twoCellAnchor>
  <xdr:twoCellAnchor editAs="oneCell">
    <xdr:from>
      <xdr:col>33</xdr:col>
      <xdr:colOff>223837</xdr:colOff>
      <xdr:row>3</xdr:row>
      <xdr:rowOff>25401</xdr:rowOff>
    </xdr:from>
    <xdr:to>
      <xdr:col>39</xdr:col>
      <xdr:colOff>130342</xdr:colOff>
      <xdr:row>21</xdr:row>
      <xdr:rowOff>160338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732AE74-A63B-4142-8D18-395BDEE7A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77" r="13173"/>
        <a:stretch/>
      </xdr:blipFill>
      <xdr:spPr>
        <a:xfrm>
          <a:off x="39181087" y="647701"/>
          <a:ext cx="4478505" cy="3455987"/>
        </a:xfrm>
        <a:prstGeom prst="rect">
          <a:avLst/>
        </a:prstGeom>
      </xdr:spPr>
    </xdr:pic>
    <xdr:clientData/>
  </xdr:twoCellAnchor>
  <xdr:twoCellAnchor>
    <xdr:from>
      <xdr:col>20</xdr:col>
      <xdr:colOff>702469</xdr:colOff>
      <xdr:row>14</xdr:row>
      <xdr:rowOff>11906</xdr:rowOff>
    </xdr:from>
    <xdr:to>
      <xdr:col>20</xdr:col>
      <xdr:colOff>935037</xdr:colOff>
      <xdr:row>15</xdr:row>
      <xdr:rowOff>59532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7FC02321-356B-4585-B727-972B0745DB8F}"/>
            </a:ext>
          </a:extLst>
        </xdr:cNvPr>
        <xdr:cNvSpPr/>
      </xdr:nvSpPr>
      <xdr:spPr>
        <a:xfrm>
          <a:off x="26756519" y="2666206"/>
          <a:ext cx="232568" cy="231776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631031</xdr:colOff>
      <xdr:row>13</xdr:row>
      <xdr:rowOff>154781</xdr:rowOff>
    </xdr:from>
    <xdr:to>
      <xdr:col>20</xdr:col>
      <xdr:colOff>1000125</xdr:colOff>
      <xdr:row>15</xdr:row>
      <xdr:rowOff>95250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455EDCF-50CC-4FE0-813B-0FF89AD75E32}"/>
            </a:ext>
          </a:extLst>
        </xdr:cNvPr>
        <xdr:cNvCxnSpPr/>
      </xdr:nvCxnSpPr>
      <xdr:spPr>
        <a:xfrm flipV="1">
          <a:off x="26685081" y="2624931"/>
          <a:ext cx="369094" cy="3087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137</xdr:row>
      <xdr:rowOff>0</xdr:rowOff>
    </xdr:from>
    <xdr:to>
      <xdr:col>19</xdr:col>
      <xdr:colOff>438073</xdr:colOff>
      <xdr:row>151</xdr:row>
      <xdr:rowOff>34054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83A248D-3FBF-4870-9036-3A33140DB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593045</xdr:colOff>
      <xdr:row>137</xdr:row>
      <xdr:rowOff>0</xdr:rowOff>
    </xdr:from>
    <xdr:to>
      <xdr:col>22</xdr:col>
      <xdr:colOff>416908</xdr:colOff>
      <xdr:row>151</xdr:row>
      <xdr:rowOff>34054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726A5E6-D327-4F5E-857B-E3118A8A5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275166</xdr:colOff>
      <xdr:row>0</xdr:row>
      <xdr:rowOff>105833</xdr:rowOff>
    </xdr:from>
    <xdr:to>
      <xdr:col>9</xdr:col>
      <xdr:colOff>2960311</xdr:colOff>
      <xdr:row>23</xdr:row>
      <xdr:rowOff>150335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60DF57D-EE33-4D66-B114-3BAE99C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5166" y="105833"/>
          <a:ext cx="10826751" cy="43561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520700</xdr:colOff>
      <xdr:row>204</xdr:row>
      <xdr:rowOff>19050</xdr:rowOff>
    </xdr:from>
    <xdr:to>
      <xdr:col>14</xdr:col>
      <xdr:colOff>381147</xdr:colOff>
      <xdr:row>208</xdr:row>
      <xdr:rowOff>117971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281BCA-3889-4011-94D1-99369A6E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39998650"/>
          <a:ext cx="2851297" cy="8418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401461</xdr:colOff>
      <xdr:row>8</xdr:row>
      <xdr:rowOff>185208</xdr:rowOff>
    </xdr:from>
    <xdr:to>
      <xdr:col>4</xdr:col>
      <xdr:colOff>333188</xdr:colOff>
      <xdr:row>10</xdr:row>
      <xdr:rowOff>47602</xdr:rowOff>
    </xdr:to>
    <xdr:sp macro="" textlink="">
      <xdr:nvSpPr>
        <xdr:cNvPr id="3" name="CuadroTexto 27">
          <a:extLst>
            <a:ext uri="{FF2B5EF4-FFF2-40B4-BE49-F238E27FC236}">
              <a16:creationId xmlns:a16="http://schemas.microsoft.com/office/drawing/2014/main" id="{11DF2BE9-5295-48BC-9CE9-AC12BE9C1DC2}"/>
            </a:ext>
          </a:extLst>
        </xdr:cNvPr>
        <xdr:cNvSpPr txBox="1"/>
      </xdr:nvSpPr>
      <xdr:spPr>
        <a:xfrm>
          <a:off x="4027311" y="1734608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1690689</xdr:colOff>
      <xdr:row>12</xdr:row>
      <xdr:rowOff>142875</xdr:rowOff>
    </xdr:from>
    <xdr:to>
      <xdr:col>22</xdr:col>
      <xdr:colOff>390120</xdr:colOff>
      <xdr:row>16</xdr:row>
      <xdr:rowOff>113505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3F601C9E-DAFE-450D-9F35-4AE9417971DE}"/>
            </a:ext>
          </a:extLst>
        </xdr:cNvPr>
        <xdr:cNvSpPr/>
      </xdr:nvSpPr>
      <xdr:spPr>
        <a:xfrm>
          <a:off x="27509789" y="2428875"/>
          <a:ext cx="1474381" cy="7072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/>
            <a:t>Flash</a:t>
          </a:r>
        </a:p>
      </xdr:txBody>
    </xdr:sp>
    <xdr:clientData/>
  </xdr:twoCellAnchor>
  <xdr:twoCellAnchor>
    <xdr:from>
      <xdr:col>20</xdr:col>
      <xdr:colOff>916781</xdr:colOff>
      <xdr:row>14</xdr:row>
      <xdr:rowOff>128190</xdr:rowOff>
    </xdr:from>
    <xdr:to>
      <xdr:col>20</xdr:col>
      <xdr:colOff>1690689</xdr:colOff>
      <xdr:row>14</xdr:row>
      <xdr:rowOff>130969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162BB62-064C-4AF9-9965-EABB19BA8AA1}"/>
            </a:ext>
          </a:extLst>
        </xdr:cNvPr>
        <xdr:cNvCxnSpPr>
          <a:endCxn id="4" idx="1"/>
        </xdr:cNvCxnSpPr>
      </xdr:nvCxnSpPr>
      <xdr:spPr>
        <a:xfrm flipV="1">
          <a:off x="26970831" y="2782490"/>
          <a:ext cx="538958" cy="27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357188</xdr:colOff>
      <xdr:row>15</xdr:row>
      <xdr:rowOff>71437</xdr:rowOff>
    </xdr:from>
    <xdr:to>
      <xdr:col>20</xdr:col>
      <xdr:colOff>1304915</xdr:colOff>
      <xdr:row>16</xdr:row>
      <xdr:rowOff>124331</xdr:rowOff>
    </xdr:to>
    <xdr:sp macro="" textlink="">
      <xdr:nvSpPr>
        <xdr:cNvPr id="6" name="CuadroTexto 27">
          <a:extLst>
            <a:ext uri="{FF2B5EF4-FFF2-40B4-BE49-F238E27FC236}">
              <a16:creationId xmlns:a16="http://schemas.microsoft.com/office/drawing/2014/main" id="{84406691-88A2-407B-986D-FD5C8CC3F874}"/>
            </a:ext>
          </a:extLst>
        </xdr:cNvPr>
        <xdr:cNvSpPr txBox="1"/>
      </xdr:nvSpPr>
      <xdr:spPr>
        <a:xfrm>
          <a:off x="26411238" y="2909887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Q13</a:t>
          </a:r>
        </a:p>
      </xdr:txBody>
    </xdr:sp>
    <xdr:clientData/>
  </xdr:twoCellAnchor>
  <xdr:twoCellAnchor>
    <xdr:from>
      <xdr:col>21</xdr:col>
      <xdr:colOff>492718</xdr:colOff>
      <xdr:row>10</xdr:row>
      <xdr:rowOff>178594</xdr:rowOff>
    </xdr:from>
    <xdr:to>
      <xdr:col>22</xdr:col>
      <xdr:colOff>619126</xdr:colOff>
      <xdr:row>12</xdr:row>
      <xdr:rowOff>142875</xdr:rowOff>
    </xdr:to>
    <xdr:cxnSp macro="">
      <xdr:nvCxnSpPr>
        <xdr:cNvPr id="7" name="Conector: angular 6">
          <a:extLst>
            <a:ext uri="{FF2B5EF4-FFF2-40B4-BE49-F238E27FC236}">
              <a16:creationId xmlns:a16="http://schemas.microsoft.com/office/drawing/2014/main" id="{FAE3264E-EBCD-4ED3-B60A-30732CF7F229}"/>
            </a:ext>
          </a:extLst>
        </xdr:cNvPr>
        <xdr:cNvCxnSpPr>
          <a:stCxn id="4" idx="0"/>
        </xdr:cNvCxnSpPr>
      </xdr:nvCxnSpPr>
      <xdr:spPr>
        <a:xfrm rot="5400000" flipH="1" flipV="1">
          <a:off x="28440756" y="1656456"/>
          <a:ext cx="332581" cy="1212258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492718</xdr:colOff>
      <xdr:row>16</xdr:row>
      <xdr:rowOff>113504</xdr:rowOff>
    </xdr:from>
    <xdr:to>
      <xdr:col>22</xdr:col>
      <xdr:colOff>654844</xdr:colOff>
      <xdr:row>18</xdr:row>
      <xdr:rowOff>83343</xdr:rowOff>
    </xdr:to>
    <xdr:cxnSp macro="">
      <xdr:nvCxnSpPr>
        <xdr:cNvPr id="8" name="Conector: angular 7">
          <a:extLst>
            <a:ext uri="{FF2B5EF4-FFF2-40B4-BE49-F238E27FC236}">
              <a16:creationId xmlns:a16="http://schemas.microsoft.com/office/drawing/2014/main" id="{FAACF303-E46F-43C7-ACE1-619D138DBBA8}"/>
            </a:ext>
          </a:extLst>
        </xdr:cNvPr>
        <xdr:cNvCxnSpPr>
          <a:stCxn id="4" idx="2"/>
        </xdr:cNvCxnSpPr>
      </xdr:nvCxnSpPr>
      <xdr:spPr>
        <a:xfrm rot="16200000" flipH="1">
          <a:off x="28455836" y="2681186"/>
          <a:ext cx="338139" cy="1247976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154782</xdr:colOff>
      <xdr:row>10</xdr:row>
      <xdr:rowOff>154781</xdr:rowOff>
    </xdr:from>
    <xdr:to>
      <xdr:col>23</xdr:col>
      <xdr:colOff>340509</xdr:colOff>
      <xdr:row>12</xdr:row>
      <xdr:rowOff>17175</xdr:rowOff>
    </xdr:to>
    <xdr:sp macro="" textlink="">
      <xdr:nvSpPr>
        <xdr:cNvPr id="9" name="CuadroTexto 27">
          <a:extLst>
            <a:ext uri="{FF2B5EF4-FFF2-40B4-BE49-F238E27FC236}">
              <a16:creationId xmlns:a16="http://schemas.microsoft.com/office/drawing/2014/main" id="{CB08A190-07D5-474B-9E4F-483FD9DA1370}"/>
            </a:ext>
          </a:extLst>
        </xdr:cNvPr>
        <xdr:cNvSpPr txBox="1"/>
      </xdr:nvSpPr>
      <xdr:spPr>
        <a:xfrm>
          <a:off x="28748832" y="2072481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V (acetona)</a:t>
          </a:r>
        </a:p>
      </xdr:txBody>
    </xdr:sp>
    <xdr:clientData/>
  </xdr:twoCellAnchor>
  <xdr:twoCellAnchor>
    <xdr:from>
      <xdr:col>22</xdr:col>
      <xdr:colOff>214313</xdr:colOff>
      <xdr:row>18</xdr:row>
      <xdr:rowOff>71438</xdr:rowOff>
    </xdr:from>
    <xdr:to>
      <xdr:col>23</xdr:col>
      <xdr:colOff>400040</xdr:colOff>
      <xdr:row>19</xdr:row>
      <xdr:rowOff>124332</xdr:rowOff>
    </xdr:to>
    <xdr:sp macro="" textlink="">
      <xdr:nvSpPr>
        <xdr:cNvPr id="10" name="CuadroTexto 27">
          <a:extLst>
            <a:ext uri="{FF2B5EF4-FFF2-40B4-BE49-F238E27FC236}">
              <a16:creationId xmlns:a16="http://schemas.microsoft.com/office/drawing/2014/main" id="{3002F9CB-632F-4DB1-8E3A-F858F619D9E3}"/>
            </a:ext>
          </a:extLst>
        </xdr:cNvPr>
        <xdr:cNvSpPr txBox="1"/>
      </xdr:nvSpPr>
      <xdr:spPr>
        <a:xfrm>
          <a:off x="28808363" y="3462338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L (pesticida)</a:t>
          </a:r>
        </a:p>
      </xdr:txBody>
    </xdr:sp>
    <xdr:clientData/>
  </xdr:twoCellAnchor>
  <xdr:twoCellAnchor editAs="oneCell">
    <xdr:from>
      <xdr:col>33</xdr:col>
      <xdr:colOff>223837</xdr:colOff>
      <xdr:row>3</xdr:row>
      <xdr:rowOff>25401</xdr:rowOff>
    </xdr:from>
    <xdr:to>
      <xdr:col>39</xdr:col>
      <xdr:colOff>130342</xdr:colOff>
      <xdr:row>21</xdr:row>
      <xdr:rowOff>160338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C75FB3F-19F7-4EB4-A5DF-E89695657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77" r="13173"/>
        <a:stretch/>
      </xdr:blipFill>
      <xdr:spPr>
        <a:xfrm>
          <a:off x="39181087" y="647701"/>
          <a:ext cx="4478505" cy="3455987"/>
        </a:xfrm>
        <a:prstGeom prst="rect">
          <a:avLst/>
        </a:prstGeom>
      </xdr:spPr>
    </xdr:pic>
    <xdr:clientData/>
  </xdr:twoCellAnchor>
  <xdr:twoCellAnchor>
    <xdr:from>
      <xdr:col>20</xdr:col>
      <xdr:colOff>702469</xdr:colOff>
      <xdr:row>14</xdr:row>
      <xdr:rowOff>11906</xdr:rowOff>
    </xdr:from>
    <xdr:to>
      <xdr:col>20</xdr:col>
      <xdr:colOff>935037</xdr:colOff>
      <xdr:row>15</xdr:row>
      <xdr:rowOff>59532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30ED5B7A-1975-49AC-A295-88BDC2F6D935}"/>
            </a:ext>
          </a:extLst>
        </xdr:cNvPr>
        <xdr:cNvSpPr/>
      </xdr:nvSpPr>
      <xdr:spPr>
        <a:xfrm>
          <a:off x="26756519" y="2666206"/>
          <a:ext cx="232568" cy="231776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631031</xdr:colOff>
      <xdr:row>13</xdr:row>
      <xdr:rowOff>154781</xdr:rowOff>
    </xdr:from>
    <xdr:to>
      <xdr:col>20</xdr:col>
      <xdr:colOff>1000125</xdr:colOff>
      <xdr:row>15</xdr:row>
      <xdr:rowOff>95250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0D88BE5-310B-4C88-BAA2-A523D4ECD087}"/>
            </a:ext>
          </a:extLst>
        </xdr:cNvPr>
        <xdr:cNvCxnSpPr/>
      </xdr:nvCxnSpPr>
      <xdr:spPr>
        <a:xfrm flipV="1">
          <a:off x="26685081" y="2624931"/>
          <a:ext cx="369094" cy="3087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137</xdr:row>
      <xdr:rowOff>0</xdr:rowOff>
    </xdr:from>
    <xdr:to>
      <xdr:col>19</xdr:col>
      <xdr:colOff>438073</xdr:colOff>
      <xdr:row>151</xdr:row>
      <xdr:rowOff>34054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10E6C10-48C7-4B59-B3A2-8D052AF47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593045</xdr:colOff>
      <xdr:row>137</xdr:row>
      <xdr:rowOff>0</xdr:rowOff>
    </xdr:from>
    <xdr:to>
      <xdr:col>22</xdr:col>
      <xdr:colOff>416908</xdr:colOff>
      <xdr:row>151</xdr:row>
      <xdr:rowOff>34054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5EDC36B-C1D4-4B31-B3C0-B36F6585A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317500</xdr:colOff>
      <xdr:row>0</xdr:row>
      <xdr:rowOff>72068</xdr:rowOff>
    </xdr:from>
    <xdr:to>
      <xdr:col>19</xdr:col>
      <xdr:colOff>656167</xdr:colOff>
      <xdr:row>24</xdr:row>
      <xdr:rowOff>73204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F678AFD-1689-440D-9A16-76496E3E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0" y="72068"/>
          <a:ext cx="9556750" cy="4496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21</xdr:col>
      <xdr:colOff>234157</xdr:colOff>
      <xdr:row>18</xdr:row>
      <xdr:rowOff>145256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30</xdr:col>
      <xdr:colOff>672307</xdr:colOff>
      <xdr:row>18</xdr:row>
      <xdr:rowOff>145256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76200</xdr:colOff>
      <xdr:row>107</xdr:row>
      <xdr:rowOff>190500</xdr:rowOff>
    </xdr:from>
    <xdr:to>
      <xdr:col>20</xdr:col>
      <xdr:colOff>691357</xdr:colOff>
      <xdr:row>125</xdr:row>
      <xdr:rowOff>67468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21</xdr:col>
      <xdr:colOff>234157</xdr:colOff>
      <xdr:row>18</xdr:row>
      <xdr:rowOff>145256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31</xdr:col>
      <xdr:colOff>62707</xdr:colOff>
      <xdr:row>18</xdr:row>
      <xdr:rowOff>145256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76200</xdr:colOff>
      <xdr:row>107</xdr:row>
      <xdr:rowOff>190500</xdr:rowOff>
    </xdr:from>
    <xdr:to>
      <xdr:col>20</xdr:col>
      <xdr:colOff>691357</xdr:colOff>
      <xdr:row>125</xdr:row>
      <xdr:rowOff>67468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21</xdr:col>
      <xdr:colOff>234157</xdr:colOff>
      <xdr:row>18</xdr:row>
      <xdr:rowOff>145256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31</xdr:col>
      <xdr:colOff>62707</xdr:colOff>
      <xdr:row>18</xdr:row>
      <xdr:rowOff>145256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76200</xdr:colOff>
      <xdr:row>107</xdr:row>
      <xdr:rowOff>190500</xdr:rowOff>
    </xdr:from>
    <xdr:to>
      <xdr:col>20</xdr:col>
      <xdr:colOff>691357</xdr:colOff>
      <xdr:row>125</xdr:row>
      <xdr:rowOff>67468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352424</xdr:colOff>
      <xdr:row>0</xdr:row>
      <xdr:rowOff>190499</xdr:rowOff>
    </xdr:from>
    <xdr:to>
      <xdr:col>15</xdr:col>
      <xdr:colOff>457199</xdr:colOff>
      <xdr:row>17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910AB6-5330-4A99-9D3D-3DC249EF6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133350</xdr:colOff>
      <xdr:row>19</xdr:row>
      <xdr:rowOff>0</xdr:rowOff>
    </xdr:from>
    <xdr:to>
      <xdr:col>11</xdr:col>
      <xdr:colOff>495300</xdr:colOff>
      <xdr:row>35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A9F5AF-F8A8-4B28-B298-E63E86200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142875</xdr:colOff>
      <xdr:row>37</xdr:row>
      <xdr:rowOff>19050</xdr:rowOff>
    </xdr:from>
    <xdr:to>
      <xdr:col>15</xdr:col>
      <xdr:colOff>314325</xdr:colOff>
      <xdr:row>59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AB24BB7-34FD-46EB-97B2-0AB511584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64</xdr:row>
      <xdr:rowOff>0</xdr:rowOff>
    </xdr:from>
    <xdr:to>
      <xdr:col>16</xdr:col>
      <xdr:colOff>171450</xdr:colOff>
      <xdr:row>81</xdr:row>
      <xdr:rowOff>85726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9A4EF61-BE96-479A-8B4F-A4372BCD1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476250</xdr:colOff>
      <xdr:row>64</xdr:row>
      <xdr:rowOff>0</xdr:rowOff>
    </xdr:from>
    <xdr:to>
      <xdr:col>23</xdr:col>
      <xdr:colOff>309995</xdr:colOff>
      <xdr:row>81</xdr:row>
      <xdr:rowOff>76201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24D74B-2D99-46D8-A258-31D3ECFFC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19049</xdr:colOff>
      <xdr:row>101</xdr:row>
      <xdr:rowOff>9525</xdr:rowOff>
    </xdr:from>
    <xdr:to>
      <xdr:col>5</xdr:col>
      <xdr:colOff>895349</xdr:colOff>
      <xdr:row>118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C4BCF3-215D-4AA2-A11B-39F3B9B7F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101</xdr:row>
      <xdr:rowOff>0</xdr:rowOff>
    </xdr:from>
    <xdr:to>
      <xdr:col>12</xdr:col>
      <xdr:colOff>276225</xdr:colOff>
      <xdr:row>118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E8281B-8D49-4ABB-8184-37332F6DD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119</xdr:row>
      <xdr:rowOff>9525</xdr:rowOff>
    </xdr:from>
    <xdr:to>
      <xdr:col>5</xdr:col>
      <xdr:colOff>876300</xdr:colOff>
      <xdr:row>136</xdr:row>
      <xdr:rowOff>180975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964EB70-8980-42B0-8F6A-301AFA3A2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885826</xdr:colOff>
      <xdr:row>119</xdr:row>
      <xdr:rowOff>0</xdr:rowOff>
    </xdr:from>
    <xdr:to>
      <xdr:col>12</xdr:col>
      <xdr:colOff>257176</xdr:colOff>
      <xdr:row>136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3B0E8A9-3250-4F24-BDE1-25082B584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285750</xdr:colOff>
      <xdr:row>119</xdr:row>
      <xdr:rowOff>0</xdr:rowOff>
    </xdr:from>
    <xdr:to>
      <xdr:col>19</xdr:col>
      <xdr:colOff>200025</xdr:colOff>
      <xdr:row>136</xdr:row>
      <xdr:rowOff>171450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417006A-F2DF-4464-9777-983E72160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733425</xdr:colOff>
      <xdr:row>146</xdr:row>
      <xdr:rowOff>19050</xdr:rowOff>
    </xdr:from>
    <xdr:to>
      <xdr:col>6</xdr:col>
      <xdr:colOff>466725</xdr:colOff>
      <xdr:row>160</xdr:row>
      <xdr:rowOff>95250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741CD74-698D-4A3D-AC21-B294B764D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876300</xdr:colOff>
      <xdr:row>145</xdr:row>
      <xdr:rowOff>152400</xdr:rowOff>
    </xdr:from>
    <xdr:to>
      <xdr:col>14</xdr:col>
      <xdr:colOff>342900</xdr:colOff>
      <xdr:row>160</xdr:row>
      <xdr:rowOff>38100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C466E2E-5427-4972-BFCF-3FBCA411E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381000</xdr:colOff>
      <xdr:row>145</xdr:row>
      <xdr:rowOff>142875</xdr:rowOff>
    </xdr:from>
    <xdr:to>
      <xdr:col>21</xdr:col>
      <xdr:colOff>590550</xdr:colOff>
      <xdr:row>160</xdr:row>
      <xdr:rowOff>28575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AB786E-1F16-43EA-B0DC-475A169C0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704850</xdr:colOff>
      <xdr:row>145</xdr:row>
      <xdr:rowOff>142875</xdr:rowOff>
    </xdr:from>
    <xdr:to>
      <xdr:col>28</xdr:col>
      <xdr:colOff>200025</xdr:colOff>
      <xdr:row>160</xdr:row>
      <xdr:rowOff>28575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EEAABE7-C1FE-4C44-8738-66D26DA5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381000</xdr:colOff>
      <xdr:row>38</xdr:row>
      <xdr:rowOff>66675</xdr:rowOff>
    </xdr:from>
    <xdr:to>
      <xdr:col>22</xdr:col>
      <xdr:colOff>257175</xdr:colOff>
      <xdr:row>59</xdr:row>
      <xdr:rowOff>85725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7E3AC9-655C-40FD-A4E8-65C566CE8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333375</xdr:colOff>
      <xdr:row>101</xdr:row>
      <xdr:rowOff>0</xdr:rowOff>
    </xdr:from>
    <xdr:to>
      <xdr:col>19</xdr:col>
      <xdr:colOff>38100</xdr:colOff>
      <xdr:row>118</xdr:row>
      <xdr:rowOff>171450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19D0EAA-F776-4FC7-B50E-36132AD9B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85725</xdr:colOff>
      <xdr:row>101</xdr:row>
      <xdr:rowOff>0</xdr:rowOff>
    </xdr:from>
    <xdr:to>
      <xdr:col>25</xdr:col>
      <xdr:colOff>428625</xdr:colOff>
      <xdr:row>118</xdr:row>
      <xdr:rowOff>171450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C9609517-08F9-4E6A-8D42-60B86806E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238125</xdr:colOff>
      <xdr:row>119</xdr:row>
      <xdr:rowOff>0</xdr:rowOff>
    </xdr:from>
    <xdr:to>
      <xdr:col>26</xdr:col>
      <xdr:colOff>28575</xdr:colOff>
      <xdr:row>136</xdr:row>
      <xdr:rowOff>171450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3A17B68-2704-42AA-ADB3-A6C65C296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552450</xdr:colOff>
      <xdr:row>223</xdr:row>
      <xdr:rowOff>66675</xdr:rowOff>
    </xdr:from>
    <xdr:to>
      <xdr:col>4</xdr:col>
      <xdr:colOff>1228725</xdr:colOff>
      <xdr:row>237</xdr:row>
      <xdr:rowOff>142875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E6CED7-BA28-4162-BE75-DE944C39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857250</xdr:colOff>
      <xdr:row>219</xdr:row>
      <xdr:rowOff>114300</xdr:rowOff>
    </xdr:from>
    <xdr:to>
      <xdr:col>13</xdr:col>
      <xdr:colOff>66675</xdr:colOff>
      <xdr:row>237</xdr:row>
      <xdr:rowOff>19050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61CFA2BD-1B42-4CE5-9D6D-9DC22DFA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504825</xdr:colOff>
      <xdr:row>219</xdr:row>
      <xdr:rowOff>152400</xdr:rowOff>
    </xdr:from>
    <xdr:to>
      <xdr:col>20</xdr:col>
      <xdr:colOff>152400</xdr:colOff>
      <xdr:row>237</xdr:row>
      <xdr:rowOff>57150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5204385-8CE5-4624-9DF0-DD56C5CB5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552450</xdr:colOff>
      <xdr:row>263</xdr:row>
      <xdr:rowOff>66675</xdr:rowOff>
    </xdr:from>
    <xdr:to>
      <xdr:col>4</xdr:col>
      <xdr:colOff>1228725</xdr:colOff>
      <xdr:row>277</xdr:row>
      <xdr:rowOff>142875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894F4C3-05DD-4EAD-A283-F4C34761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857250</xdr:colOff>
      <xdr:row>259</xdr:row>
      <xdr:rowOff>114300</xdr:rowOff>
    </xdr:from>
    <xdr:to>
      <xdr:col>13</xdr:col>
      <xdr:colOff>66675</xdr:colOff>
      <xdr:row>277</xdr:row>
      <xdr:rowOff>19050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7FB4B79-EE16-4F5A-95C0-FF11DE87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876300</xdr:colOff>
      <xdr:row>259</xdr:row>
      <xdr:rowOff>123825</xdr:rowOff>
    </xdr:from>
    <xdr:to>
      <xdr:col>21</xdr:col>
      <xdr:colOff>590550</xdr:colOff>
      <xdr:row>277</xdr:row>
      <xdr:rowOff>28575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DD713DAF-7B5C-4EAA-AD7D-1D4426F0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436563</xdr:colOff>
      <xdr:row>155</xdr:row>
      <xdr:rowOff>47625</xdr:rowOff>
    </xdr:from>
    <xdr:to>
      <xdr:col>7</xdr:col>
      <xdr:colOff>620904</xdr:colOff>
      <xdr:row>160</xdr:row>
      <xdr:rowOff>12701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8988" y="31327725"/>
          <a:ext cx="3537141" cy="9271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520700</xdr:colOff>
      <xdr:row>180</xdr:row>
      <xdr:rowOff>19050</xdr:rowOff>
    </xdr:from>
    <xdr:to>
      <xdr:col>6</xdr:col>
      <xdr:colOff>1420959</xdr:colOff>
      <xdr:row>184</xdr:row>
      <xdr:rowOff>127043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3125" y="36242625"/>
          <a:ext cx="2729059" cy="86999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17</xdr:col>
      <xdr:colOff>176388</xdr:colOff>
      <xdr:row>153</xdr:row>
      <xdr:rowOff>118535</xdr:rowOff>
    </xdr:from>
    <xdr:to>
      <xdr:col>22</xdr:col>
      <xdr:colOff>120297</xdr:colOff>
      <xdr:row>164</xdr:row>
      <xdr:rowOff>116418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21941013" y="30989060"/>
          <a:ext cx="4220634" cy="21791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https://farmdocdaily.illinois.edu/2017/07/fertilizer-costs-in-2017-and-2018.html (precios)</a:t>
          </a:r>
        </a:p>
        <a:p>
          <a:endParaRPr lang="es-ES" sz="1100"/>
        </a:p>
        <a:p>
          <a:r>
            <a:rPr lang="es-ES" sz="1100"/>
            <a:t>https://blogs.worldbank.org/opendata/fertilizer-prices-expected-remain-higher-longer (precio 2022)</a:t>
          </a:r>
        </a:p>
        <a:p>
          <a:endParaRPr lang="es-ES" sz="1100"/>
        </a:p>
        <a:p>
          <a:r>
            <a:rPr lang="es-ES" sz="1100"/>
            <a:t>https://www.researchgate.net/figure/Comparison-of-nutrient-cost-through-biofertilizers-and-chemical-fertilizers_tbl2_346587755</a:t>
          </a:r>
        </a:p>
        <a:p>
          <a:endParaRPr lang="es-ES" sz="1100"/>
        </a:p>
        <a:p>
          <a:r>
            <a:rPr lang="es-ES" sz="1100"/>
            <a:t>https://petraferte.com/product/18-46-0/</a:t>
          </a:r>
        </a:p>
        <a:p>
          <a:endParaRPr lang="es-ES" sz="1100"/>
        </a:p>
        <a:p>
          <a:r>
            <a:rPr lang="es-ES" sz="1100"/>
            <a:t>https://www.voleba.com/india/spain-hs-code-exports-data-3105.html</a:t>
          </a:r>
        </a:p>
      </xdr:txBody>
    </xdr:sp>
    <xdr:clientData/>
  </xdr:twoCellAnchor>
  <xdr:twoCellAnchor>
    <xdr:from>
      <xdr:col>15</xdr:col>
      <xdr:colOff>518584</xdr:colOff>
      <xdr:row>117</xdr:row>
      <xdr:rowOff>178859</xdr:rowOff>
    </xdr:from>
    <xdr:to>
      <xdr:col>19</xdr:col>
      <xdr:colOff>227542</xdr:colOff>
      <xdr:row>132</xdr:row>
      <xdr:rowOff>83079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436563</xdr:colOff>
      <xdr:row>118</xdr:row>
      <xdr:rowOff>-1</xdr:rowOff>
    </xdr:from>
    <xdr:to>
      <xdr:col>23</xdr:col>
      <xdr:colOff>494771</xdr:colOff>
      <xdr:row>132</xdr:row>
      <xdr:rowOff>86782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1000125</xdr:colOff>
      <xdr:row>156</xdr:row>
      <xdr:rowOff>38100</xdr:rowOff>
    </xdr:from>
    <xdr:to>
      <xdr:col>9</xdr:col>
      <xdr:colOff>590256</xdr:colOff>
      <xdr:row>159</xdr:row>
      <xdr:rowOff>18980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15350" y="31508700"/>
          <a:ext cx="2352381" cy="5619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1</xdr:colOff>
      <xdr:row>1</xdr:row>
      <xdr:rowOff>0</xdr:rowOff>
    </xdr:from>
    <xdr:to>
      <xdr:col>11</xdr:col>
      <xdr:colOff>402772</xdr:colOff>
      <xdr:row>16</xdr:row>
      <xdr:rowOff>26373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1" y="190500"/>
          <a:ext cx="10337346" cy="28838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436563</xdr:colOff>
      <xdr:row>155</xdr:row>
      <xdr:rowOff>47625</xdr:rowOff>
    </xdr:from>
    <xdr:to>
      <xdr:col>7</xdr:col>
      <xdr:colOff>954279</xdr:colOff>
      <xdr:row>160</xdr:row>
      <xdr:rowOff>15876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5638" y="31041975"/>
          <a:ext cx="3518091" cy="927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520700</xdr:colOff>
      <xdr:row>180</xdr:row>
      <xdr:rowOff>19050</xdr:rowOff>
    </xdr:from>
    <xdr:to>
      <xdr:col>7</xdr:col>
      <xdr:colOff>235097</xdr:colOff>
      <xdr:row>184</xdr:row>
      <xdr:rowOff>127044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9775" y="35975925"/>
          <a:ext cx="2714772" cy="86999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589642</xdr:colOff>
      <xdr:row>118</xdr:row>
      <xdr:rowOff>0</xdr:rowOff>
    </xdr:from>
    <xdr:to>
      <xdr:col>19</xdr:col>
      <xdr:colOff>289528</xdr:colOff>
      <xdr:row>132</xdr:row>
      <xdr:rowOff>85648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444500</xdr:colOff>
      <xdr:row>118</xdr:row>
      <xdr:rowOff>0</xdr:rowOff>
    </xdr:from>
    <xdr:to>
      <xdr:col>23</xdr:col>
      <xdr:colOff>670530</xdr:colOff>
      <xdr:row>132</xdr:row>
      <xdr:rowOff>85648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1</xdr:colOff>
      <xdr:row>1</xdr:row>
      <xdr:rowOff>0</xdr:rowOff>
    </xdr:from>
    <xdr:to>
      <xdr:col>10</xdr:col>
      <xdr:colOff>523876</xdr:colOff>
      <xdr:row>16</xdr:row>
      <xdr:rowOff>37756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1" y="190500"/>
          <a:ext cx="10382250" cy="28952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520700</xdr:colOff>
      <xdr:row>204</xdr:row>
      <xdr:rowOff>19050</xdr:rowOff>
    </xdr:from>
    <xdr:to>
      <xdr:col>7</xdr:col>
      <xdr:colOff>330347</xdr:colOff>
      <xdr:row>208</xdr:row>
      <xdr:rowOff>117971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171997-A553-4FC3-878D-46623134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39998650"/>
          <a:ext cx="2851297" cy="8418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401461</xdr:colOff>
      <xdr:row>8</xdr:row>
      <xdr:rowOff>185208</xdr:rowOff>
    </xdr:from>
    <xdr:to>
      <xdr:col>4</xdr:col>
      <xdr:colOff>333188</xdr:colOff>
      <xdr:row>10</xdr:row>
      <xdr:rowOff>47602</xdr:rowOff>
    </xdr:to>
    <xdr:sp macro="" textlink="">
      <xdr:nvSpPr>
        <xdr:cNvPr id="3" name="CuadroTexto 27">
          <a:extLst>
            <a:ext uri="{FF2B5EF4-FFF2-40B4-BE49-F238E27FC236}">
              <a16:creationId xmlns:a16="http://schemas.microsoft.com/office/drawing/2014/main" id="{17439BDF-A4B1-46B6-996B-11F2C1470B6B}"/>
            </a:ext>
          </a:extLst>
        </xdr:cNvPr>
        <xdr:cNvSpPr txBox="1"/>
      </xdr:nvSpPr>
      <xdr:spPr>
        <a:xfrm>
          <a:off x="4027311" y="1734608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1690689</xdr:colOff>
      <xdr:row>12</xdr:row>
      <xdr:rowOff>142875</xdr:rowOff>
    </xdr:from>
    <xdr:to>
      <xdr:col>22</xdr:col>
      <xdr:colOff>390120</xdr:colOff>
      <xdr:row>16</xdr:row>
      <xdr:rowOff>113505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26F3C550-20AF-422B-A7FD-55B1A05D09E1}"/>
            </a:ext>
          </a:extLst>
        </xdr:cNvPr>
        <xdr:cNvSpPr/>
      </xdr:nvSpPr>
      <xdr:spPr>
        <a:xfrm>
          <a:off x="27509789" y="2428875"/>
          <a:ext cx="1474381" cy="7072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/>
            <a:t>Flash</a:t>
          </a:r>
        </a:p>
      </xdr:txBody>
    </xdr:sp>
    <xdr:clientData/>
  </xdr:twoCellAnchor>
  <xdr:twoCellAnchor>
    <xdr:from>
      <xdr:col>20</xdr:col>
      <xdr:colOff>916781</xdr:colOff>
      <xdr:row>14</xdr:row>
      <xdr:rowOff>128190</xdr:rowOff>
    </xdr:from>
    <xdr:to>
      <xdr:col>20</xdr:col>
      <xdr:colOff>1690689</xdr:colOff>
      <xdr:row>14</xdr:row>
      <xdr:rowOff>130969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3055696-B594-425A-A14A-E138A7B4AECA}"/>
            </a:ext>
          </a:extLst>
        </xdr:cNvPr>
        <xdr:cNvCxnSpPr>
          <a:endCxn id="4" idx="1"/>
        </xdr:cNvCxnSpPr>
      </xdr:nvCxnSpPr>
      <xdr:spPr>
        <a:xfrm flipV="1">
          <a:off x="26970831" y="2782490"/>
          <a:ext cx="538958" cy="27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357188</xdr:colOff>
      <xdr:row>15</xdr:row>
      <xdr:rowOff>71437</xdr:rowOff>
    </xdr:from>
    <xdr:to>
      <xdr:col>20</xdr:col>
      <xdr:colOff>1304915</xdr:colOff>
      <xdr:row>16</xdr:row>
      <xdr:rowOff>124331</xdr:rowOff>
    </xdr:to>
    <xdr:sp macro="" textlink="">
      <xdr:nvSpPr>
        <xdr:cNvPr id="6" name="CuadroTexto 27">
          <a:extLst>
            <a:ext uri="{FF2B5EF4-FFF2-40B4-BE49-F238E27FC236}">
              <a16:creationId xmlns:a16="http://schemas.microsoft.com/office/drawing/2014/main" id="{973D9C80-FE7F-4105-929C-7309B3F98419}"/>
            </a:ext>
          </a:extLst>
        </xdr:cNvPr>
        <xdr:cNvSpPr txBox="1"/>
      </xdr:nvSpPr>
      <xdr:spPr>
        <a:xfrm>
          <a:off x="26411238" y="2909887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Q13</a:t>
          </a:r>
        </a:p>
      </xdr:txBody>
    </xdr:sp>
    <xdr:clientData/>
  </xdr:twoCellAnchor>
  <xdr:twoCellAnchor>
    <xdr:from>
      <xdr:col>21</xdr:col>
      <xdr:colOff>492718</xdr:colOff>
      <xdr:row>10</xdr:row>
      <xdr:rowOff>178594</xdr:rowOff>
    </xdr:from>
    <xdr:to>
      <xdr:col>22</xdr:col>
      <xdr:colOff>619126</xdr:colOff>
      <xdr:row>12</xdr:row>
      <xdr:rowOff>142875</xdr:rowOff>
    </xdr:to>
    <xdr:cxnSp macro="">
      <xdr:nvCxnSpPr>
        <xdr:cNvPr id="7" name="Conector: angular 6">
          <a:extLst>
            <a:ext uri="{FF2B5EF4-FFF2-40B4-BE49-F238E27FC236}">
              <a16:creationId xmlns:a16="http://schemas.microsoft.com/office/drawing/2014/main" id="{608500C3-50EE-4F11-A66A-DE981B76E366}"/>
            </a:ext>
          </a:extLst>
        </xdr:cNvPr>
        <xdr:cNvCxnSpPr>
          <a:stCxn id="4" idx="0"/>
        </xdr:cNvCxnSpPr>
      </xdr:nvCxnSpPr>
      <xdr:spPr>
        <a:xfrm rot="5400000" flipH="1" flipV="1">
          <a:off x="28440756" y="1656456"/>
          <a:ext cx="332581" cy="1212258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492718</xdr:colOff>
      <xdr:row>16</xdr:row>
      <xdr:rowOff>113504</xdr:rowOff>
    </xdr:from>
    <xdr:to>
      <xdr:col>22</xdr:col>
      <xdr:colOff>654844</xdr:colOff>
      <xdr:row>18</xdr:row>
      <xdr:rowOff>83343</xdr:rowOff>
    </xdr:to>
    <xdr:cxnSp macro="">
      <xdr:nvCxnSpPr>
        <xdr:cNvPr id="8" name="Conector: angular 7">
          <a:extLst>
            <a:ext uri="{FF2B5EF4-FFF2-40B4-BE49-F238E27FC236}">
              <a16:creationId xmlns:a16="http://schemas.microsoft.com/office/drawing/2014/main" id="{136D60E0-A45E-4E4A-8D25-005C81A355C4}"/>
            </a:ext>
          </a:extLst>
        </xdr:cNvPr>
        <xdr:cNvCxnSpPr>
          <a:stCxn id="4" idx="2"/>
        </xdr:cNvCxnSpPr>
      </xdr:nvCxnSpPr>
      <xdr:spPr>
        <a:xfrm rot="16200000" flipH="1">
          <a:off x="28455836" y="2681186"/>
          <a:ext cx="338139" cy="1247976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154782</xdr:colOff>
      <xdr:row>10</xdr:row>
      <xdr:rowOff>154781</xdr:rowOff>
    </xdr:from>
    <xdr:to>
      <xdr:col>23</xdr:col>
      <xdr:colOff>340509</xdr:colOff>
      <xdr:row>12</xdr:row>
      <xdr:rowOff>17175</xdr:rowOff>
    </xdr:to>
    <xdr:sp macro="" textlink="">
      <xdr:nvSpPr>
        <xdr:cNvPr id="9" name="CuadroTexto 27">
          <a:extLst>
            <a:ext uri="{FF2B5EF4-FFF2-40B4-BE49-F238E27FC236}">
              <a16:creationId xmlns:a16="http://schemas.microsoft.com/office/drawing/2014/main" id="{A0CA3620-A688-42C4-A695-E0DC55ED61C6}"/>
            </a:ext>
          </a:extLst>
        </xdr:cNvPr>
        <xdr:cNvSpPr txBox="1"/>
      </xdr:nvSpPr>
      <xdr:spPr>
        <a:xfrm>
          <a:off x="28748832" y="2072481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V (acetona)</a:t>
          </a:r>
        </a:p>
      </xdr:txBody>
    </xdr:sp>
    <xdr:clientData/>
  </xdr:twoCellAnchor>
  <xdr:twoCellAnchor>
    <xdr:from>
      <xdr:col>22</xdr:col>
      <xdr:colOff>214313</xdr:colOff>
      <xdr:row>18</xdr:row>
      <xdr:rowOff>71438</xdr:rowOff>
    </xdr:from>
    <xdr:to>
      <xdr:col>23</xdr:col>
      <xdr:colOff>400040</xdr:colOff>
      <xdr:row>19</xdr:row>
      <xdr:rowOff>124332</xdr:rowOff>
    </xdr:to>
    <xdr:sp macro="" textlink="">
      <xdr:nvSpPr>
        <xdr:cNvPr id="10" name="CuadroTexto 27">
          <a:extLst>
            <a:ext uri="{FF2B5EF4-FFF2-40B4-BE49-F238E27FC236}">
              <a16:creationId xmlns:a16="http://schemas.microsoft.com/office/drawing/2014/main" id="{C316B19B-5C4E-4EC0-9A46-808663093032}"/>
            </a:ext>
          </a:extLst>
        </xdr:cNvPr>
        <xdr:cNvSpPr txBox="1"/>
      </xdr:nvSpPr>
      <xdr:spPr>
        <a:xfrm>
          <a:off x="28808363" y="3462338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L (pesticida)</a:t>
          </a:r>
        </a:p>
      </xdr:txBody>
    </xdr:sp>
    <xdr:clientData/>
  </xdr:twoCellAnchor>
  <xdr:twoCellAnchor editAs="oneCell">
    <xdr:from>
      <xdr:col>33</xdr:col>
      <xdr:colOff>223837</xdr:colOff>
      <xdr:row>3</xdr:row>
      <xdr:rowOff>25401</xdr:rowOff>
    </xdr:from>
    <xdr:to>
      <xdr:col>39</xdr:col>
      <xdr:colOff>130342</xdr:colOff>
      <xdr:row>21</xdr:row>
      <xdr:rowOff>160338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B091B88-65B5-4A6C-81C7-CEE9BAFB9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77" r="13173"/>
        <a:stretch/>
      </xdr:blipFill>
      <xdr:spPr>
        <a:xfrm>
          <a:off x="39181087" y="647701"/>
          <a:ext cx="4478505" cy="3455987"/>
        </a:xfrm>
        <a:prstGeom prst="rect">
          <a:avLst/>
        </a:prstGeom>
      </xdr:spPr>
    </xdr:pic>
    <xdr:clientData/>
  </xdr:twoCellAnchor>
  <xdr:twoCellAnchor>
    <xdr:from>
      <xdr:col>20</xdr:col>
      <xdr:colOff>702469</xdr:colOff>
      <xdr:row>14</xdr:row>
      <xdr:rowOff>11906</xdr:rowOff>
    </xdr:from>
    <xdr:to>
      <xdr:col>20</xdr:col>
      <xdr:colOff>935037</xdr:colOff>
      <xdr:row>15</xdr:row>
      <xdr:rowOff>59532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AB9AC03D-FEA4-41F5-AC11-C4EADC44E408}"/>
            </a:ext>
          </a:extLst>
        </xdr:cNvPr>
        <xdr:cNvSpPr/>
      </xdr:nvSpPr>
      <xdr:spPr>
        <a:xfrm>
          <a:off x="26756519" y="2666206"/>
          <a:ext cx="232568" cy="231776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631031</xdr:colOff>
      <xdr:row>13</xdr:row>
      <xdr:rowOff>154781</xdr:rowOff>
    </xdr:from>
    <xdr:to>
      <xdr:col>20</xdr:col>
      <xdr:colOff>1000125</xdr:colOff>
      <xdr:row>15</xdr:row>
      <xdr:rowOff>95250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0930533-5056-49E7-9255-FDD1FB591EBA}"/>
            </a:ext>
          </a:extLst>
        </xdr:cNvPr>
        <xdr:cNvCxnSpPr/>
      </xdr:nvCxnSpPr>
      <xdr:spPr>
        <a:xfrm flipV="1">
          <a:off x="26685081" y="2624931"/>
          <a:ext cx="369094" cy="3087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137</xdr:row>
      <xdr:rowOff>0</xdr:rowOff>
    </xdr:from>
    <xdr:to>
      <xdr:col>19</xdr:col>
      <xdr:colOff>438073</xdr:colOff>
      <xdr:row>151</xdr:row>
      <xdr:rowOff>34054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C5C4B29-11D8-47A1-8E96-E1DD895EF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593045</xdr:colOff>
      <xdr:row>137</xdr:row>
      <xdr:rowOff>0</xdr:rowOff>
    </xdr:from>
    <xdr:to>
      <xdr:col>22</xdr:col>
      <xdr:colOff>416908</xdr:colOff>
      <xdr:row>151</xdr:row>
      <xdr:rowOff>34054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AC2F4A9-E90C-4BB3-B3BB-0F0D9FB57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275166</xdr:colOff>
      <xdr:row>0</xdr:row>
      <xdr:rowOff>105833</xdr:rowOff>
    </xdr:from>
    <xdr:to>
      <xdr:col>9</xdr:col>
      <xdr:colOff>3069167</xdr:colOff>
      <xdr:row>23</xdr:row>
      <xdr:rowOff>150335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F0B6F08-F530-4AC5-9517-02A50639A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5166" y="105833"/>
          <a:ext cx="10826751" cy="43561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520700</xdr:colOff>
      <xdr:row>204</xdr:row>
      <xdr:rowOff>19050</xdr:rowOff>
    </xdr:from>
    <xdr:to>
      <xdr:col>7</xdr:col>
      <xdr:colOff>330347</xdr:colOff>
      <xdr:row>208</xdr:row>
      <xdr:rowOff>117971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801181-3941-4124-9E43-BDF19DA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39998650"/>
          <a:ext cx="2851297" cy="8418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401461</xdr:colOff>
      <xdr:row>8</xdr:row>
      <xdr:rowOff>185208</xdr:rowOff>
    </xdr:from>
    <xdr:to>
      <xdr:col>4</xdr:col>
      <xdr:colOff>333188</xdr:colOff>
      <xdr:row>10</xdr:row>
      <xdr:rowOff>47602</xdr:rowOff>
    </xdr:to>
    <xdr:sp macro="" textlink="">
      <xdr:nvSpPr>
        <xdr:cNvPr id="3" name="CuadroTexto 27">
          <a:extLst>
            <a:ext uri="{FF2B5EF4-FFF2-40B4-BE49-F238E27FC236}">
              <a16:creationId xmlns:a16="http://schemas.microsoft.com/office/drawing/2014/main" id="{5AE6BDB8-2AC0-47F1-AD52-24EE14267D7F}"/>
            </a:ext>
          </a:extLst>
        </xdr:cNvPr>
        <xdr:cNvSpPr txBox="1"/>
      </xdr:nvSpPr>
      <xdr:spPr>
        <a:xfrm>
          <a:off x="4027311" y="1734608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1690689</xdr:colOff>
      <xdr:row>12</xdr:row>
      <xdr:rowOff>142875</xdr:rowOff>
    </xdr:from>
    <xdr:to>
      <xdr:col>22</xdr:col>
      <xdr:colOff>390120</xdr:colOff>
      <xdr:row>16</xdr:row>
      <xdr:rowOff>113505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99CAD53-70F7-4EAB-8F10-4B64137648AB}"/>
            </a:ext>
          </a:extLst>
        </xdr:cNvPr>
        <xdr:cNvSpPr/>
      </xdr:nvSpPr>
      <xdr:spPr>
        <a:xfrm>
          <a:off x="27509789" y="2428875"/>
          <a:ext cx="1474381" cy="70723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200"/>
            <a:t>Flash</a:t>
          </a:r>
        </a:p>
      </xdr:txBody>
    </xdr:sp>
    <xdr:clientData/>
  </xdr:twoCellAnchor>
  <xdr:twoCellAnchor>
    <xdr:from>
      <xdr:col>20</xdr:col>
      <xdr:colOff>916781</xdr:colOff>
      <xdr:row>14</xdr:row>
      <xdr:rowOff>128190</xdr:rowOff>
    </xdr:from>
    <xdr:to>
      <xdr:col>20</xdr:col>
      <xdr:colOff>1690689</xdr:colOff>
      <xdr:row>14</xdr:row>
      <xdr:rowOff>130969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2F6EDADA-D2AB-474E-BB95-CC047A50BC8A}"/>
            </a:ext>
          </a:extLst>
        </xdr:cNvPr>
        <xdr:cNvCxnSpPr>
          <a:endCxn id="4" idx="1"/>
        </xdr:cNvCxnSpPr>
      </xdr:nvCxnSpPr>
      <xdr:spPr>
        <a:xfrm flipV="1">
          <a:off x="26970831" y="2782490"/>
          <a:ext cx="538958" cy="27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357188</xdr:colOff>
      <xdr:row>15</xdr:row>
      <xdr:rowOff>71437</xdr:rowOff>
    </xdr:from>
    <xdr:to>
      <xdr:col>20</xdr:col>
      <xdr:colOff>1304915</xdr:colOff>
      <xdr:row>16</xdr:row>
      <xdr:rowOff>124331</xdr:rowOff>
    </xdr:to>
    <xdr:sp macro="" textlink="">
      <xdr:nvSpPr>
        <xdr:cNvPr id="6" name="CuadroTexto 27">
          <a:extLst>
            <a:ext uri="{FF2B5EF4-FFF2-40B4-BE49-F238E27FC236}">
              <a16:creationId xmlns:a16="http://schemas.microsoft.com/office/drawing/2014/main" id="{6875044D-797F-4B77-9A0D-49C381D5AF8D}"/>
            </a:ext>
          </a:extLst>
        </xdr:cNvPr>
        <xdr:cNvSpPr txBox="1"/>
      </xdr:nvSpPr>
      <xdr:spPr>
        <a:xfrm>
          <a:off x="26411238" y="2909887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Q13</a:t>
          </a:r>
        </a:p>
      </xdr:txBody>
    </xdr:sp>
    <xdr:clientData/>
  </xdr:twoCellAnchor>
  <xdr:twoCellAnchor>
    <xdr:from>
      <xdr:col>21</xdr:col>
      <xdr:colOff>492718</xdr:colOff>
      <xdr:row>10</xdr:row>
      <xdr:rowOff>178594</xdr:rowOff>
    </xdr:from>
    <xdr:to>
      <xdr:col>22</xdr:col>
      <xdr:colOff>619126</xdr:colOff>
      <xdr:row>12</xdr:row>
      <xdr:rowOff>142875</xdr:rowOff>
    </xdr:to>
    <xdr:cxnSp macro="">
      <xdr:nvCxnSpPr>
        <xdr:cNvPr id="7" name="Conector: angular 6">
          <a:extLst>
            <a:ext uri="{FF2B5EF4-FFF2-40B4-BE49-F238E27FC236}">
              <a16:creationId xmlns:a16="http://schemas.microsoft.com/office/drawing/2014/main" id="{FB1D0A4E-2F39-45B1-B7CB-3F0EABF25A85}"/>
            </a:ext>
          </a:extLst>
        </xdr:cNvPr>
        <xdr:cNvCxnSpPr>
          <a:stCxn id="4" idx="0"/>
        </xdr:cNvCxnSpPr>
      </xdr:nvCxnSpPr>
      <xdr:spPr>
        <a:xfrm rot="5400000" flipH="1" flipV="1">
          <a:off x="28440756" y="1656456"/>
          <a:ext cx="332581" cy="1212258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492718</xdr:colOff>
      <xdr:row>16</xdr:row>
      <xdr:rowOff>113504</xdr:rowOff>
    </xdr:from>
    <xdr:to>
      <xdr:col>22</xdr:col>
      <xdr:colOff>654844</xdr:colOff>
      <xdr:row>18</xdr:row>
      <xdr:rowOff>83343</xdr:rowOff>
    </xdr:to>
    <xdr:cxnSp macro="">
      <xdr:nvCxnSpPr>
        <xdr:cNvPr id="8" name="Conector: angular 7">
          <a:extLst>
            <a:ext uri="{FF2B5EF4-FFF2-40B4-BE49-F238E27FC236}">
              <a16:creationId xmlns:a16="http://schemas.microsoft.com/office/drawing/2014/main" id="{07CFAE7D-3D76-4AC9-8B13-6E0A936C6864}"/>
            </a:ext>
          </a:extLst>
        </xdr:cNvPr>
        <xdr:cNvCxnSpPr>
          <a:stCxn id="4" idx="2"/>
        </xdr:cNvCxnSpPr>
      </xdr:nvCxnSpPr>
      <xdr:spPr>
        <a:xfrm rot="16200000" flipH="1">
          <a:off x="28455836" y="2681186"/>
          <a:ext cx="338139" cy="1247976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154782</xdr:colOff>
      <xdr:row>10</xdr:row>
      <xdr:rowOff>154781</xdr:rowOff>
    </xdr:from>
    <xdr:to>
      <xdr:col>23</xdr:col>
      <xdr:colOff>340509</xdr:colOff>
      <xdr:row>12</xdr:row>
      <xdr:rowOff>17175</xdr:rowOff>
    </xdr:to>
    <xdr:sp macro="" textlink="">
      <xdr:nvSpPr>
        <xdr:cNvPr id="9" name="CuadroTexto 27">
          <a:extLst>
            <a:ext uri="{FF2B5EF4-FFF2-40B4-BE49-F238E27FC236}">
              <a16:creationId xmlns:a16="http://schemas.microsoft.com/office/drawing/2014/main" id="{B4B3E497-A039-46AE-981A-2D35C33C2523}"/>
            </a:ext>
          </a:extLst>
        </xdr:cNvPr>
        <xdr:cNvSpPr txBox="1"/>
      </xdr:nvSpPr>
      <xdr:spPr>
        <a:xfrm>
          <a:off x="28748832" y="2072481"/>
          <a:ext cx="947727" cy="23069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V (acetona)</a:t>
          </a:r>
        </a:p>
      </xdr:txBody>
    </xdr:sp>
    <xdr:clientData/>
  </xdr:twoCellAnchor>
  <xdr:twoCellAnchor>
    <xdr:from>
      <xdr:col>22</xdr:col>
      <xdr:colOff>214313</xdr:colOff>
      <xdr:row>18</xdr:row>
      <xdr:rowOff>71438</xdr:rowOff>
    </xdr:from>
    <xdr:to>
      <xdr:col>23</xdr:col>
      <xdr:colOff>400040</xdr:colOff>
      <xdr:row>19</xdr:row>
      <xdr:rowOff>124332</xdr:rowOff>
    </xdr:to>
    <xdr:sp macro="" textlink="">
      <xdr:nvSpPr>
        <xdr:cNvPr id="10" name="CuadroTexto 27">
          <a:extLst>
            <a:ext uri="{FF2B5EF4-FFF2-40B4-BE49-F238E27FC236}">
              <a16:creationId xmlns:a16="http://schemas.microsoft.com/office/drawing/2014/main" id="{30E2A4E9-D645-49AF-9C61-443E96410C71}"/>
            </a:ext>
          </a:extLst>
        </xdr:cNvPr>
        <xdr:cNvSpPr txBox="1"/>
      </xdr:nvSpPr>
      <xdr:spPr>
        <a:xfrm>
          <a:off x="28808363" y="3462338"/>
          <a:ext cx="947727" cy="23704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>
              <a:solidFill>
                <a:srgbClr val="FF0000"/>
              </a:solidFill>
            </a:rPr>
            <a:t>L (pesticida)</a:t>
          </a:r>
        </a:p>
      </xdr:txBody>
    </xdr:sp>
    <xdr:clientData/>
  </xdr:twoCellAnchor>
  <xdr:twoCellAnchor editAs="oneCell">
    <xdr:from>
      <xdr:col>33</xdr:col>
      <xdr:colOff>223837</xdr:colOff>
      <xdr:row>3</xdr:row>
      <xdr:rowOff>25401</xdr:rowOff>
    </xdr:from>
    <xdr:to>
      <xdr:col>39</xdr:col>
      <xdr:colOff>130342</xdr:colOff>
      <xdr:row>21</xdr:row>
      <xdr:rowOff>160338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8F60511-D5F8-44E2-A20B-BFE7FABA7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77" r="13173"/>
        <a:stretch/>
      </xdr:blipFill>
      <xdr:spPr>
        <a:xfrm>
          <a:off x="39181087" y="647701"/>
          <a:ext cx="4478505" cy="3455987"/>
        </a:xfrm>
        <a:prstGeom prst="rect">
          <a:avLst/>
        </a:prstGeom>
      </xdr:spPr>
    </xdr:pic>
    <xdr:clientData/>
  </xdr:twoCellAnchor>
  <xdr:twoCellAnchor>
    <xdr:from>
      <xdr:col>20</xdr:col>
      <xdr:colOff>702469</xdr:colOff>
      <xdr:row>14</xdr:row>
      <xdr:rowOff>11906</xdr:rowOff>
    </xdr:from>
    <xdr:to>
      <xdr:col>20</xdr:col>
      <xdr:colOff>935037</xdr:colOff>
      <xdr:row>15</xdr:row>
      <xdr:rowOff>59532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72C7DE29-E3FA-4368-9E17-DF70F9352F95}"/>
            </a:ext>
          </a:extLst>
        </xdr:cNvPr>
        <xdr:cNvSpPr/>
      </xdr:nvSpPr>
      <xdr:spPr>
        <a:xfrm>
          <a:off x="26756519" y="2666206"/>
          <a:ext cx="232568" cy="231776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631031</xdr:colOff>
      <xdr:row>13</xdr:row>
      <xdr:rowOff>154781</xdr:rowOff>
    </xdr:from>
    <xdr:to>
      <xdr:col>20</xdr:col>
      <xdr:colOff>1000125</xdr:colOff>
      <xdr:row>15</xdr:row>
      <xdr:rowOff>95250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1215A31-EFB3-4BDB-8658-CB517402828A}"/>
            </a:ext>
          </a:extLst>
        </xdr:cNvPr>
        <xdr:cNvCxnSpPr/>
      </xdr:nvCxnSpPr>
      <xdr:spPr>
        <a:xfrm flipV="1">
          <a:off x="26685081" y="2624931"/>
          <a:ext cx="369094" cy="3087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137</xdr:row>
      <xdr:rowOff>0</xdr:rowOff>
    </xdr:from>
    <xdr:to>
      <xdr:col>19</xdr:col>
      <xdr:colOff>438073</xdr:colOff>
      <xdr:row>151</xdr:row>
      <xdr:rowOff>34054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64184D9-9F64-455E-852E-3A00824B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593045</xdr:colOff>
      <xdr:row>137</xdr:row>
      <xdr:rowOff>0</xdr:rowOff>
    </xdr:from>
    <xdr:to>
      <xdr:col>22</xdr:col>
      <xdr:colOff>416908</xdr:colOff>
      <xdr:row>151</xdr:row>
      <xdr:rowOff>34054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CBFEB1-7046-422A-953B-BA17A320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317500</xdr:colOff>
      <xdr:row>0</xdr:row>
      <xdr:rowOff>72068</xdr:rowOff>
    </xdr:from>
    <xdr:to>
      <xdr:col>9</xdr:col>
      <xdr:colOff>1841500</xdr:colOff>
      <xdr:row>24</xdr:row>
      <xdr:rowOff>73204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F3CD2BE-7D95-460A-9105-15B50B88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0" y="72068"/>
          <a:ext cx="9556750" cy="449693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ENA MARIA ROJO DE BENITO" id="{63C43466-B4E2-451E-A603-608CF3A60009}" userId="ELENA MARIA ROJO DE BENITO" providerId="None"/>
  <person displayName="ELENA MARIA ROJO DE BENITO" id="{D2C2CCDD-8433-4567-B0F8-8572DCC6879D}" userId="S::elenamaria.rojo@uva.es::8e30a15a-038a-4d57-a480-80842eddf8f1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7" dT="2023-02-13T16:20:35.61" personId="{D2C2CCDD-8433-4567-B0F8-8572DCC6879D}" id="{C2AF7FC0-FFA8-427D-A24D-A1293BB7A492}">
    <text>Mismo equipo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N5" dT="2022-10-07T10:03:16.63" personId="{63C43466-B4E2-451E-A603-608CF3A60009}" id="{E9E7359F-F908-44C3-A557-13FC746D09E9}">
    <text>Excel Rubén (datos Almería?)</text>
  </threadedComment>
  <threadedComment ref="AB11" dT="2022-10-27T19:49:52.36" personId="{D2C2CCDD-8433-4567-B0F8-8572DCC6879D}" id="{492CFD8F-6BED-43A4-98FF-1A475EF5E8D4}">
    <text>https://ceta.zaragoza.unam.mx/wp-content/recursosi/calculadoras/constantes-de-antonio/constantes-de-antonio.htm</text>
    <extLst>
      <x:ext xmlns:xltc2="http://schemas.microsoft.com/office/spreadsheetml/2020/threadedcomments2" uri="{F7C98A9C-CBB3-438F-8F68-D28B6AF4A901}">
        <xltc2:checksum>4084752734</xltc2:checksum>
        <xltc2:hyperlink startIndex="0" length="111" url="https://ceta.zaragoza.unam.mx/wp-content/recursosi/calculadoras/constantes-de-antonio/constantes-de-antonio.htm"/>
      </x:ext>
    </extLst>
  </threadedComment>
  <threadedComment ref="F26" dT="2022-10-10T17:02:21.52" personId="{D2C2CCDD-8433-4567-B0F8-8572DCC6879D}" id="{7465171E-7FC2-4755-8907-E1A469AFF789}">
    <text>Mismas concentraciones que Q7 y Q8</text>
  </threadedComment>
  <threadedComment ref="J26" dT="2022-10-10T16:21:30.04" personId="{D2C2CCDD-8433-4567-B0F8-8572DCC6879D}" id="{636A6408-74DE-45DD-A31B-D478D0EA7F5F}">
    <text>Concentraciones igual que la purga (para sacar los flujos másicos)</text>
  </threadedComment>
  <threadedComment ref="X26" dT="2022-10-05T15:11:06.40" personId="{D2C2CCDD-8433-4567-B0F8-8572DCC6879D}" id="{D28E614D-EBFF-417B-832F-FA912BCBC782}">
    <text>Artículo Javiera</text>
  </threadedComment>
  <threadedComment ref="AB26" dT="2022-10-05T18:06:29.31" personId="{D2C2CCDD-8433-4567-B0F8-8572DCC6879D}" id="{2F7110B2-E598-4A24-9129-E8BED3A4A21B}">
    <text>Del Excel de Rubén</text>
  </threadedComment>
  <threadedComment ref="O27" dT="2022-10-11T09:54:32.57" personId="{63C43466-B4E2-451E-A603-608CF3A60009}" id="{E9358EA6-09CB-41A9-BBC2-991735F1989C}">
    <text>Se ha añadido acetona</text>
  </threadedComment>
  <threadedComment ref="G28" dT="2022-10-10T15:48:57.77" personId="{D2C2CCDD-8433-4567-B0F8-8572DCC6879D}" id="{6CEC617B-C578-4D75-BE8A-FD1293AEA318}">
    <text>La entrada al reactor tiene que ser una dilución del purín del 10%</text>
  </threadedComment>
  <threadedComment ref="D30" dT="2022-10-10T15:46:48.86" personId="{D2C2CCDD-8433-4567-B0F8-8572DCC6879D}" id="{17C45EA7-DA47-4A80-A2CB-74D41158D2A8}">
    <text>Se resta al total sólo los sólidos</text>
  </threadedComment>
  <threadedComment ref="Y32" dT="2022-10-05T15:18:00.46" personId="{D2C2CCDD-8433-4567-B0F8-8572DCC6879D}" id="{D472F5FA-48D2-4138-AEEA-E6E7CA0A4F53}">
    <text>Del Excel de Rubén</text>
  </threadedComment>
  <threadedComment ref="X34" dT="2022-10-05T15:11:06.40" personId="{D2C2CCDD-8433-4567-B0F8-8572DCC6879D}" id="{90F9B27C-F10B-4733-96FA-44276AAA5669}">
    <text>Artículo Javiera</text>
  </threadedComment>
  <threadedComment ref="AC35" dT="2022-10-10T16:00:43.93" personId="{D2C2CCDD-8433-4567-B0F8-8572DCC6879D}" id="{63E1450F-9C3D-4D12-AF88-06A1A11D4289}">
    <text>Area calculado según Excel Rubén</text>
  </threadedComment>
  <threadedComment ref="L36" dT="2022-10-10T16:32:32.28" personId="{D2C2CCDD-8433-4567-B0F8-8572DCC6879D}" id="{05F43288-1A2C-467F-AB5B-D70254860B34}">
    <text>Suma del TOC de la alga y lo que no se ha eliminado en el sistema.
Se hace igual para el TN y el TP</text>
  </threadedComment>
  <threadedComment ref="AB38" dT="2022-10-05T15:11:06.40" personId="{D2C2CCDD-8433-4567-B0F8-8572DCC6879D}" id="{D4384E12-92D6-447F-BB78-AE2E8E07641E}">
    <text>Artículo Javiera</text>
  </threadedComment>
  <threadedComment ref="H40" dT="2022-10-10T16:04:14.64" personId="{D2C2CCDD-8433-4567-B0F8-8572DCC6879D}" id="{2B26D994-94A9-417F-8604-ECEC4C8F1E2A}">
    <text>Pérdidas del 10% (buscar referencia de reactor que mida eso)</text>
  </threadedComment>
  <threadedComment ref="J41" dT="2022-10-10T16:19:54.93" personId="{D2C2CCDD-8433-4567-B0F8-8572DCC6879D}" id="{CCA3D6BA-FA5D-4514-AB69-1DB5ADC143A1}">
    <text>Valor obtenido del Ecxel de Ruben y confirmado por Silvia 10/10/22</text>
  </threadedComment>
  <threadedComment ref="X43" dT="2022-10-05T15:11:06.40" personId="{D2C2CCDD-8433-4567-B0F8-8572DCC6879D}" id="{FDD97F59-1F31-482B-9148-AF8D7AAD27B3}">
    <text>Artículo Javiera</text>
  </threadedComment>
  <threadedComment ref="AB43" dT="2022-10-05T15:11:06.40" personId="{D2C2CCDD-8433-4567-B0F8-8572DCC6879D}" id="{306A9E25-C6E3-40F8-AD93-7D693D130492}">
    <text>Artículo Javiera</text>
  </threadedComment>
  <threadedComment ref="Y47" dT="2022-10-06T11:57:55.03" personId="{63C43466-B4E2-451E-A603-608CF3A60009}" id="{21B84F3C-44D4-420C-B8FD-4CB66FA75646}">
    <text>Excel Rubén</text>
  </threadedComment>
  <threadedComment ref="AB48" dT="2022-10-05T15:11:06.40" personId="{D2C2CCDD-8433-4567-B0F8-8572DCC6879D}" id="{78628328-E052-40CD-AE2B-4E7645D3C707}">
    <text>Artículo Javiera</text>
  </threadedComment>
  <threadedComment ref="AC52" dT="2022-10-11T09:41:53.60" personId="{63C43466-B4E2-451E-A603-608CF3A60009}" id="{5C505C27-3B89-4BD0-AA4C-D241053AD952}">
    <text>Excel Rubén</text>
  </threadedComment>
  <threadedComment ref="Y55" dT="2023-01-20T17:17:53.87" personId="{D2C2CCDD-8433-4567-B0F8-8572DCC6879D}" id="{39C50323-434A-4AEB-83B9-880970C20AA4}">
    <text>Misma concentración que usamos nosotros</text>
  </threadedComment>
  <threadedComment ref="J78" dT="2022-10-10T17:19:28.28" personId="{D2C2CCDD-8433-4567-B0F8-8572DCC6879D}" id="{8FBFB0ED-86CD-4952-A2B0-5B76BD08BAE7}">
    <text>Meter aquí las bombas</text>
  </threadedComment>
  <threadedComment ref="K107" dT="2022-10-10T18:35:47.69" personId="{D2C2CCDD-8433-4567-B0F8-8572DCC6879D}" id="{E00A5914-D7D1-4889-9557-E137CB35B406}">
    <text>Valores medios</text>
  </threadedComment>
  <threadedComment ref="D110" dT="2022-10-06T09:57:43.22" personId="{63C43466-B4E2-451E-A603-608CF3A60009}" id="{0BD70E66-98C6-4E51-AD31-334A95E6B3AF}">
    <text>Artículo Victor</text>
  </threadedComment>
  <threadedComment ref="D118" dT="2022-11-04T17:23:43.05" personId="{D2C2CCDD-8433-4567-B0F8-8572DCC6879D}" id="{A9DB372D-3DC5-434E-ABB1-BBC9AE4F2B51}">
    <text>Perez 2021</text>
  </threadedComment>
  <threadedComment ref="D138" dT="2022-10-06T15:15:55.41" personId="{D2C2CCDD-8433-4567-B0F8-8572DCC6879D}" id="{56497251-20AE-40C9-B581-E433007132CA}">
    <text>Mirar cuanto sube la temperatura</text>
  </threadedComment>
  <threadedComment ref="L138" dT="2022-10-11T08:41:13.64" personId="{63C43466-B4E2-451E-A603-608CF3A60009}" id="{C97C4AD7-9E5E-4CFC-9EDE-6254DFD48F89}">
    <text>https://www.kochseparation.com/technologies/membrane-filtration/puron-mbr-and-pulsion-mbr-modules/#datasheets</text>
    <extLst>
      <x:ext xmlns:xltc2="http://schemas.microsoft.com/office/spreadsheetml/2020/threadedcomments2" uri="{F7C98A9C-CBB3-438F-8F68-D28B6AF4A901}">
        <xltc2:checksum>2017703462</xltc2:checksum>
        <xltc2:hyperlink startIndex="0" length="109" url="https://www.kochseparation.com/technologies/membrane-filtration/puron-mbr-and-pulsion-mbr-modules/#datasheets"/>
      </x:ext>
    </extLst>
  </threadedComment>
  <threadedComment ref="D139" dT="2022-10-06T15:04:31.26" personId="{D2C2CCDD-8433-4567-B0F8-8572DCC6879D}" id="{1E210E2A-5E0A-4062-AF14-2B215D7055AA}">
    <text>https://www.ingenierosindustriales.com/calculo-del-caudal-de-agua-en-instalaciones-de-calefaccion-o-climatizacion/</text>
    <extLst>
      <x:ext xmlns:xltc2="http://schemas.microsoft.com/office/spreadsheetml/2020/threadedcomments2" uri="{F7C98A9C-CBB3-438F-8F68-D28B6AF4A901}">
        <xltc2:checksum>3744560398</xltc2:checksum>
        <xltc2:hyperlink startIndex="0" length="114" url="https://www.ingenierosindustriales.com/calculo-del-caudal-de-agua-en-instalaciones-de-calefaccion-o-climatizacion/"/>
      </x:ext>
    </extLst>
  </threadedComment>
  <threadedComment ref="D142" dT="2022-10-26T09:32:45.71" personId="{63C43466-B4E2-451E-A603-608CF3A60009}" id="{4D5855EA-80D6-4D0D-9A0D-D4D0251DCBAE}">
    <text>Dato de Grabriel (memoria Greenfarm)</text>
  </threadedComment>
  <threadedComment ref="K174" dT="2022-11-08T15:51:29.30" personId="{D2C2CCDD-8433-4567-B0F8-8572DCC6879D}" id="{E3F8AA0D-DB15-4643-8EB5-2C72F0349DF0}">
    <text>Fertiberia 
https://fercampo.com/catalogo-de-productos/nutricion-vegetal/fertilizantes-liquidos/</text>
    <extLst>
      <x:ext xmlns:xltc2="http://schemas.microsoft.com/office/spreadsheetml/2020/threadedcomments2" uri="{F7C98A9C-CBB3-438F-8F68-D28B6AF4A901}">
        <xltc2:checksum>3603582145</xltc2:checksum>
        <xltc2:hyperlink startIndex="13" length="84" url="https://fercampo.com/catalogo-de-productos/nutricion-vegetal/fertilizantes-liquidos/"/>
      </x:ext>
    </extLst>
  </threadedComment>
  <threadedComment ref="M176" dT="2022-11-08T15:36:42.97" personId="{D2C2CCDD-8433-4567-B0F8-8572DCC6879D}" id="{E5929778-D08F-439B-8E6B-BDF53898911C}">
    <text>https://www.fertiberia.com/es/agricultura/productos/categorias/foliar/especiales/energrow-green-mo/</text>
    <extLst>
      <x:ext xmlns:xltc2="http://schemas.microsoft.com/office/spreadsheetml/2020/threadedcomments2" uri="{F7C98A9C-CBB3-438F-8F68-D28B6AF4A901}">
        <xltc2:checksum>988874796</xltc2:checksum>
        <xltc2:hyperlink startIndex="0" length="99" url="https://www.fertiberia.com/es/agricultura/productos/categorias/foliar/especiales/energrow-green-mo/"/>
      </x:ext>
    </extLst>
  </threadedComment>
  <threadedComment ref="O176" dT="2022-11-08T15:47:12.51" personId="{D2C2CCDD-8433-4567-B0F8-8572DCC6879D}" id="{1658046C-6E2B-4DDE-B635-C1B4AFD245B7}">
    <text>https://www.fertiberia.com/es/agricultura/productos/categorias/foliar/complejos/glugel-12-24-12/</text>
    <extLst>
      <x:ext xmlns:xltc2="http://schemas.microsoft.com/office/spreadsheetml/2020/threadedcomments2" uri="{F7C98A9C-CBB3-438F-8F68-D28B6AF4A901}">
        <xltc2:checksum>1718153243</xltc2:checksum>
        <xltc2:hyperlink startIndex="0" length="96" url="https://www.fertiberia.com/es/agricultura/productos/categorias/foliar/complejos/glugel-12-24-12/"/>
      </x:ext>
    </extLst>
  </threadedComment>
  <threadedComment ref="Q176" dT="2022-11-08T15:53:48.66" personId="{D2C2CCDD-8433-4567-B0F8-8572DCC6879D}" id="{296F69B3-332C-42D8-97C1-BFA3573845C5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M180" dT="2022-11-08T15:37:40.34" personId="{D2C2CCDD-8433-4567-B0F8-8572DCC6879D}" id="{192B3A49-AE9F-4018-B04B-4B6632D079B2}">
    <text>Al año</text>
  </threadedComment>
  <threadedComment ref="O180" dT="2022-11-08T15:47:59.99" personId="{D2C2CCDD-8433-4567-B0F8-8572DCC6879D}" id="{7BA3DA67-CF29-4816-A1B7-B7E47AA78011}">
    <text>Al mes son 5L/ha</text>
  </threadedComment>
  <threadedComment ref="Q180" dT="2022-11-08T15:47:59.99" personId="{D2C2CCDD-8433-4567-B0F8-8572DCC6879D}" id="{79A6EE72-90C7-486F-A0A1-DE0D6809A497}">
    <text>Al mes son 5L/ha</text>
  </threadedComment>
  <threadedComment ref="D220" dT="2022-12-05T18:29:29.25" personId="{D2C2CCDD-8433-4567-B0F8-8572DCC6879D}" id="{D8E76528-9BE4-40F2-8239-0354D81578EC}">
    <text>Altura depósito purin = 3m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N5" dT="2022-10-07T10:03:16.63" personId="{63C43466-B4E2-451E-A603-608CF3A60009}" id="{C1421CFB-48E1-4C74-964D-AFC63B15AAFD}">
    <text>Excel Rubén (datos Almería?)</text>
  </threadedComment>
  <threadedComment ref="AB11" dT="2022-10-27T19:49:52.36" personId="{D2C2CCDD-8433-4567-B0F8-8572DCC6879D}" id="{BEEC24D3-3A8A-4968-A270-69F648AD89F6}">
    <text>https://ceta.zaragoza.unam.mx/wp-content/recursosi/calculadoras/constantes-de-antonio/constantes-de-antonio.htm</text>
    <extLst>
      <x:ext xmlns:xltc2="http://schemas.microsoft.com/office/spreadsheetml/2020/threadedcomments2" uri="{F7C98A9C-CBB3-438F-8F68-D28B6AF4A901}">
        <xltc2:checksum>4084752734</xltc2:checksum>
        <xltc2:hyperlink startIndex="0" length="111" url="https://ceta.zaragoza.unam.mx/wp-content/recursosi/calculadoras/constantes-de-antonio/constantes-de-antonio.htm"/>
      </x:ext>
    </extLst>
  </threadedComment>
  <threadedComment ref="F26" dT="2022-10-10T17:02:21.52" personId="{D2C2CCDD-8433-4567-B0F8-8572DCC6879D}" id="{68AE8FF6-005C-4EBD-8D4E-846FEF02E09D}">
    <text>Mismas concentraciones que Q7 y Q8</text>
  </threadedComment>
  <threadedComment ref="J26" dT="2022-10-10T16:21:30.04" personId="{D2C2CCDD-8433-4567-B0F8-8572DCC6879D}" id="{C0EE3DEC-F9D7-4A3B-9991-2FFA42170B70}">
    <text>Concentraciones igual que la purga (para sacar los flujos másicos)</text>
  </threadedComment>
  <threadedComment ref="X26" dT="2022-10-05T15:11:06.40" personId="{D2C2CCDD-8433-4567-B0F8-8572DCC6879D}" id="{72E68C70-4D1E-4F14-899B-4536BE9EB102}">
    <text>Artículo Javiera</text>
  </threadedComment>
  <threadedComment ref="AB26" dT="2022-10-05T18:06:29.31" personId="{D2C2CCDD-8433-4567-B0F8-8572DCC6879D}" id="{B07F10C5-400D-426A-A384-951FB3B001C9}">
    <text>Del Excel de Rubén</text>
  </threadedComment>
  <threadedComment ref="O27" dT="2022-10-11T09:54:32.57" personId="{63C43466-B4E2-451E-A603-608CF3A60009}" id="{343C7E7A-65EA-496A-9CF1-FCFE775A4F19}">
    <text>Se ha añadido acetona</text>
  </threadedComment>
  <threadedComment ref="G28" dT="2022-10-10T15:48:57.77" personId="{D2C2CCDD-8433-4567-B0F8-8572DCC6879D}" id="{9478EE63-2C79-4139-A4D1-1306DE85F443}">
    <text>La entrada al reactor tiene que ser una dilución del purín del 10%</text>
  </threadedComment>
  <threadedComment ref="D30" dT="2022-10-10T15:46:48.86" personId="{D2C2CCDD-8433-4567-B0F8-8572DCC6879D}" id="{EEFFBF5C-1F90-4BAB-B50C-53F816CA47AD}">
    <text>Se resta al total sólo los sólidos</text>
  </threadedComment>
  <threadedComment ref="Y32" dT="2022-10-05T15:18:00.46" personId="{D2C2CCDD-8433-4567-B0F8-8572DCC6879D}" id="{AA6FCE83-A8A9-46FC-A93A-E13ED2E06918}">
    <text>Del Excel de Rubén</text>
  </threadedComment>
  <threadedComment ref="X34" dT="2022-10-05T15:11:06.40" personId="{D2C2CCDD-8433-4567-B0F8-8572DCC6879D}" id="{6108DBEC-46C4-4181-84E2-3D97D3ED8E39}">
    <text>Artículo Javiera</text>
  </threadedComment>
  <threadedComment ref="AC35" dT="2022-10-10T16:00:43.93" personId="{D2C2CCDD-8433-4567-B0F8-8572DCC6879D}" id="{BA25BEE8-261A-4F28-8448-70F32621BBB7}">
    <text>Area calculado según Excel Rubén</text>
  </threadedComment>
  <threadedComment ref="L36" dT="2022-10-10T16:32:32.28" personId="{D2C2CCDD-8433-4567-B0F8-8572DCC6879D}" id="{EC913ED5-170D-464E-B233-240FABF40BAE}">
    <text>Suma del TOC de la alga y lo que no se ha eliminado en el sistema.
Se hace igual para el TN y el TP</text>
  </threadedComment>
  <threadedComment ref="AB38" dT="2022-10-05T15:11:06.40" personId="{D2C2CCDD-8433-4567-B0F8-8572DCC6879D}" id="{A4310CB0-9903-4218-9285-CE4B5D3A5AC0}">
    <text>Artículo Javiera</text>
  </threadedComment>
  <threadedComment ref="H40" dT="2022-10-10T16:04:14.64" personId="{D2C2CCDD-8433-4567-B0F8-8572DCC6879D}" id="{6655324A-BABC-4AE5-AF9E-8A73FF5463FA}">
    <text>Pérdidas del 10% (buscar referencia de reactor que mida eso)</text>
  </threadedComment>
  <threadedComment ref="J41" dT="2022-10-10T16:19:54.93" personId="{D2C2CCDD-8433-4567-B0F8-8572DCC6879D}" id="{19CF865A-BEDD-4AF8-9F85-5BF3D46B15D2}">
    <text>Valor obtenido del Ecxel de Ruben y confirmado por Silvia 10/10/22</text>
  </threadedComment>
  <threadedComment ref="X43" dT="2022-10-05T15:11:06.40" personId="{D2C2CCDD-8433-4567-B0F8-8572DCC6879D}" id="{984AD41A-F95C-4382-B46F-D8AC4D3DE47B}">
    <text>Artículo Javiera</text>
  </threadedComment>
  <threadedComment ref="AB43" dT="2022-10-05T15:11:06.40" personId="{D2C2CCDD-8433-4567-B0F8-8572DCC6879D}" id="{C60079CB-4BBB-482A-97C9-FB9B36D266E0}">
    <text>Artículo Javiera</text>
  </threadedComment>
  <threadedComment ref="Y47" dT="2022-10-06T11:57:55.03" personId="{63C43466-B4E2-451E-A603-608CF3A60009}" id="{0865AA03-A9F0-401F-BD15-F4D76CC77A36}">
    <text>Excel Rubén</text>
  </threadedComment>
  <threadedComment ref="AB48" dT="2022-10-05T15:11:06.40" personId="{D2C2CCDD-8433-4567-B0F8-8572DCC6879D}" id="{4765B3CF-648E-4C76-92A6-0163CF46DF67}">
    <text>Artículo Javiera</text>
  </threadedComment>
  <threadedComment ref="AC52" dT="2022-10-11T09:41:53.60" personId="{63C43466-B4E2-451E-A603-608CF3A60009}" id="{6B5F2E09-0F38-4CE4-895A-F7CDA5003D8B}">
    <text>Excel Rubén</text>
  </threadedComment>
  <threadedComment ref="Y55" dT="2023-01-20T17:17:53.87" personId="{D2C2CCDD-8433-4567-B0F8-8572DCC6879D}" id="{EFE070F0-29EB-44A3-8E15-9375B530D647}">
    <text>Misma concentración que usamos nosotros</text>
  </threadedComment>
  <threadedComment ref="J78" dT="2022-10-10T17:19:28.28" personId="{D2C2CCDD-8433-4567-B0F8-8572DCC6879D}" id="{35D622E8-D510-4899-BA6C-FCA949F9F5A6}">
    <text>Meter aquí las bombas</text>
  </threadedComment>
  <threadedComment ref="K107" dT="2022-10-10T18:35:47.69" personId="{D2C2CCDD-8433-4567-B0F8-8572DCC6879D}" id="{ADFF36FD-4D17-4008-835A-3B1B194511EC}">
    <text>Valores medios</text>
  </threadedComment>
  <threadedComment ref="D110" dT="2022-10-06T09:57:43.22" personId="{63C43466-B4E2-451E-A603-608CF3A60009}" id="{3CAF4DAC-335C-41C4-B525-96619E57C201}">
    <text>Artículo Victor</text>
  </threadedComment>
  <threadedComment ref="D118" dT="2022-11-04T17:23:43.05" personId="{D2C2CCDD-8433-4567-B0F8-8572DCC6879D}" id="{3F39D69D-3E20-40DB-BB9B-2485793E4B8A}">
    <text>Perez 2021</text>
  </threadedComment>
  <threadedComment ref="D138" dT="2022-10-06T15:15:55.41" personId="{D2C2CCDD-8433-4567-B0F8-8572DCC6879D}" id="{D013B79C-301C-477E-AD72-E6F67A7AAB11}">
    <text>Mirar cuanto sube la temperatura</text>
  </threadedComment>
  <threadedComment ref="L138" dT="2022-10-11T08:41:13.64" personId="{63C43466-B4E2-451E-A603-608CF3A60009}" id="{C73D115A-147A-44A2-B1EC-FC181A22D3A7}">
    <text>https://www.kochseparation.com/technologies/membrane-filtration/puron-mbr-and-pulsion-mbr-modules/#datasheets</text>
    <extLst>
      <x:ext xmlns:xltc2="http://schemas.microsoft.com/office/spreadsheetml/2020/threadedcomments2" uri="{F7C98A9C-CBB3-438F-8F68-D28B6AF4A901}">
        <xltc2:checksum>2017703462</xltc2:checksum>
        <xltc2:hyperlink startIndex="0" length="109" url="https://www.kochseparation.com/technologies/membrane-filtration/puron-mbr-and-pulsion-mbr-modules/#datasheets"/>
      </x:ext>
    </extLst>
  </threadedComment>
  <threadedComment ref="D139" dT="2022-10-06T15:04:31.26" personId="{D2C2CCDD-8433-4567-B0F8-8572DCC6879D}" id="{47E53D4D-A8C3-4200-98B8-9387F973B55A}">
    <text>https://www.ingenierosindustriales.com/calculo-del-caudal-de-agua-en-instalaciones-de-calefaccion-o-climatizacion/</text>
    <extLst>
      <x:ext xmlns:xltc2="http://schemas.microsoft.com/office/spreadsheetml/2020/threadedcomments2" uri="{F7C98A9C-CBB3-438F-8F68-D28B6AF4A901}">
        <xltc2:checksum>3744560398</xltc2:checksum>
        <xltc2:hyperlink startIndex="0" length="114" url="https://www.ingenierosindustriales.com/calculo-del-caudal-de-agua-en-instalaciones-de-calefaccion-o-climatizacion/"/>
      </x:ext>
    </extLst>
  </threadedComment>
  <threadedComment ref="D142" dT="2022-10-26T09:32:45.71" personId="{63C43466-B4E2-451E-A603-608CF3A60009}" id="{69EED15E-BD3E-47BD-8EC2-14E2DC2112AE}">
    <text>Dato de Grabriel (memoria Greenfarm)</text>
  </threadedComment>
  <threadedComment ref="K174" dT="2022-11-08T15:51:29.30" personId="{D2C2CCDD-8433-4567-B0F8-8572DCC6879D}" id="{D1E5B46E-B915-48DA-9425-48FC8240A7FB}">
    <text>Fertiberia 
https://fercampo.com/catalogo-de-productos/nutricion-vegetal/fertilizantes-liquidos/</text>
    <extLst>
      <x:ext xmlns:xltc2="http://schemas.microsoft.com/office/spreadsheetml/2020/threadedcomments2" uri="{F7C98A9C-CBB3-438F-8F68-D28B6AF4A901}">
        <xltc2:checksum>3603582145</xltc2:checksum>
        <xltc2:hyperlink startIndex="13" length="84" url="https://fercampo.com/catalogo-de-productos/nutricion-vegetal/fertilizantes-liquidos/"/>
      </x:ext>
    </extLst>
  </threadedComment>
  <threadedComment ref="M176" dT="2022-11-08T15:36:42.97" personId="{D2C2CCDD-8433-4567-B0F8-8572DCC6879D}" id="{D2094E19-A743-4801-A222-BD1997012B9E}">
    <text>https://www.fertiberia.com/es/agricultura/productos/categorias/foliar/especiales/energrow-green-mo/</text>
    <extLst>
      <x:ext xmlns:xltc2="http://schemas.microsoft.com/office/spreadsheetml/2020/threadedcomments2" uri="{F7C98A9C-CBB3-438F-8F68-D28B6AF4A901}">
        <xltc2:checksum>988874796</xltc2:checksum>
        <xltc2:hyperlink startIndex="0" length="99" url="https://www.fertiberia.com/es/agricultura/productos/categorias/foliar/especiales/energrow-green-mo/"/>
      </x:ext>
    </extLst>
  </threadedComment>
  <threadedComment ref="O176" dT="2022-11-08T15:47:12.51" personId="{D2C2CCDD-8433-4567-B0F8-8572DCC6879D}" id="{C55C15CA-F70F-456D-9B20-2C4144FFA3FB}">
    <text>https://www.fertiberia.com/es/agricultura/productos/categorias/foliar/complejos/glugel-12-24-12/</text>
    <extLst>
      <x:ext xmlns:xltc2="http://schemas.microsoft.com/office/spreadsheetml/2020/threadedcomments2" uri="{F7C98A9C-CBB3-438F-8F68-D28B6AF4A901}">
        <xltc2:checksum>1718153243</xltc2:checksum>
        <xltc2:hyperlink startIndex="0" length="96" url="https://www.fertiberia.com/es/agricultura/productos/categorias/foliar/complejos/glugel-12-24-12/"/>
      </x:ext>
    </extLst>
  </threadedComment>
  <threadedComment ref="Q176" dT="2022-11-08T15:53:48.66" personId="{D2C2CCDD-8433-4567-B0F8-8572DCC6879D}" id="{231BC67B-9787-4CD7-85E2-15DE2019A354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M180" dT="2022-11-08T15:37:40.34" personId="{D2C2CCDD-8433-4567-B0F8-8572DCC6879D}" id="{69C3018F-BDBE-4A39-9C63-7948A417AE75}">
    <text>Al año</text>
  </threadedComment>
  <threadedComment ref="O180" dT="2022-11-08T15:47:59.99" personId="{D2C2CCDD-8433-4567-B0F8-8572DCC6879D}" id="{4F0C7C36-EE10-4924-8372-F56853BAB75E}">
    <text>Al mes son 5L/ha</text>
  </threadedComment>
  <threadedComment ref="Q180" dT="2022-11-08T15:47:59.99" personId="{D2C2CCDD-8433-4567-B0F8-8572DCC6879D}" id="{F3576335-FFB8-453A-A61D-78F2DD7C092C}">
    <text>Al mes son 5L/ha</text>
  </threadedComment>
  <threadedComment ref="D220" dT="2022-12-05T18:29:29.25" personId="{D2C2CCDD-8433-4567-B0F8-8572DCC6879D}" id="{52295B7F-F368-41B1-B619-88464F50BC3B}">
    <text>Altura depósito purin = 3m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97" dT="2023-02-13T16:20:35.61" personId="{D2C2CCDD-8433-4567-B0F8-8572DCC6879D}" id="{BD4D9BFC-88DD-45A9-986E-CFAB3A3F47C3}">
    <text>Mismo equipo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97" dT="2023-02-13T16:20:35.61" personId="{D2C2CCDD-8433-4567-B0F8-8572DCC6879D}" id="{CBFB7D30-7D46-454F-9C4D-2BA5C445995C}">
    <text>Mismo equipo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97" dT="2023-02-13T16:20:35.61" personId="{D2C2CCDD-8433-4567-B0F8-8572DCC6879D}" id="{BBE9E799-FE0E-4535-B2B9-96F55451577F}">
    <text>Mismo equipo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U9" dT="2023-03-06T13:46:07.74" personId="{D2C2CCDD-8433-4567-B0F8-8572DCC6879D}" id="{D30774B3-7704-4C78-91B1-68AE21DDAD02}">
    <text>Cultivo y cosechado</text>
  </threadedComment>
  <threadedComment ref="V9" dT="2023-03-06T13:46:07.74" personId="{D2C2CCDD-8433-4567-B0F8-8572DCC6879D}" id="{69477620-DD8F-4B80-8D12-3B380A32383B}">
    <text>Pretratamiento y bioestimulante</text>
  </threadedComment>
  <threadedComment ref="W9" dT="2023-03-06T13:46:07.74" personId="{D2C2CCDD-8433-4567-B0F8-8572DCC6879D}" id="{95FD5945-6ABA-43AA-B899-FA656FC3F79B}">
    <text>Biopesticida</text>
  </threadedComment>
  <threadedComment ref="D28" dT="2023-01-20T15:35:57.78" personId="{D2C2CCDD-8433-4567-B0F8-8572DCC6879D}" id="{DA0C59FC-91AF-42C7-BA62-236B68BA08EA}">
    <text>Poniendo la misma eliminación, este valor bajo y la relación queda en 4,3 también</text>
  </threadedComment>
  <threadedComment ref="B87" dT="2023-02-13T16:19:41.40" personId="{D2C2CCDD-8433-4567-B0F8-8572DCC6879D}" id="{772D20F5-B345-4A57-8A0A-66AADB775418}">
    <text>Tiene que ser el mismo equipo aumentando por ejemplo un 10% el flujo</text>
  </threadedComment>
  <threadedComment ref="C191" dT="2023-01-31T18:16:44.61" personId="{D2C2CCDD-8433-4567-B0F8-8572DCC6879D}" id="{F6883160-3BF7-4233-ADEC-DB86612722AA}">
    <text>En el de Jin, les sale 1.7 $/ha para el mismo camión y fertilizante líquido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104" dT="2023-01-30T15:13:12.75" personId="{D2C2CCDD-8433-4567-B0F8-8572DCC6879D}" id="{6FB20B08-A5CA-4021-9650-3DC71FB4A2D7}">
    <text>https://powderprocess.net/Mixing/Power_Consumption.html</text>
    <extLst>
      <x:ext xmlns:xltc2="http://schemas.microsoft.com/office/spreadsheetml/2020/threadedcomments2" uri="{F7C98A9C-CBB3-438F-8F68-D28B6AF4A901}">
        <xltc2:checksum>1690909944</xltc2:checksum>
        <xltc2:hyperlink startIndex="0" length="55" url="https://powderprocess.net/Mixing/Power_Consumption.html"/>
      </x:ext>
    </extLst>
  </threadedComment>
  <threadedComment ref="Q155" dT="2023-01-20T16:29:53.70" personId="{D2C2CCDD-8433-4567-B0F8-8572DCC6879D}" id="{EF8F5F5A-0751-4C1A-AE6F-1472BD33B128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Q159" dT="2023-01-20T16:29:39.20" personId="{D2C2CCDD-8433-4567-B0F8-8572DCC6879D}" id="{C1B56973-7E20-413F-86B3-4CC971AD2EAC}">
    <text>Al mes son 5L/ha</text>
  </threadedComment>
  <threadedComment ref="O160" dT="2023-01-23T20:55:58.08" personId="{D2C2CCDD-8433-4567-B0F8-8572DCC6879D}" id="{67146BE1-500A-4755-A4AD-E9C2F1F58587}">
    <text>Estaba puesto antes 1.5</text>
  </threadedComment>
  <threadedComment ref="Q160" dT="2023-01-20T16:29:01.69" personId="{D2C2CCDD-8433-4567-B0F8-8572DCC6879D}" id="{DAC56037-A4AB-489B-8E03-C78828E16BA2}">
    <text>https://www.collier-turf-care.co.uk/Catalogue/Turf-Care-Shop/Fertiliser/Liquid-Lawn-Fertiliser/Prestige-Liquid-Fertiliser/Prestige-NPK-Spring-Summer</text>
    <extLst>
      <x:ext xmlns:xltc2="http://schemas.microsoft.com/office/spreadsheetml/2020/threadedcomments2" uri="{F7C98A9C-CBB3-438F-8F68-D28B6AF4A901}">
        <xltc2:checksum>3864939187</xltc2:checksum>
        <xltc2:hyperlink startIndex="0" length="148" url="https://www.collier-turf-care.co.uk/Catalogue/Turf-Care-Shop/Fertiliser/Liquid-Lawn-Fertiliser/Prestige-Liquid-Fertiliser/Prestige-NPK-Spring-Summer"/>
      </x:ext>
    </extLs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R4" dT="2022-10-07T10:03:16.63" personId="{63C43466-B4E2-451E-A603-608CF3A60009}" id="{AE517C1A-6455-4567-8536-88E75CD009CE}">
    <text>Excel Rubén (datos Almería?)</text>
  </threadedComment>
  <threadedComment ref="F18" dT="2022-10-10T17:02:21.52" personId="{D2C2CCDD-8433-4567-B0F8-8572DCC6879D}" id="{8E28A5FF-39A0-4E3E-A8D8-DD79CCEA06FC}">
    <text>Mismas concentraciones que Q7 y Q8</text>
  </threadedComment>
  <threadedComment ref="J18" dT="2022-10-10T16:21:30.04" personId="{D2C2CCDD-8433-4567-B0F8-8572DCC6879D}" id="{FCA9FDFA-E213-4341-833D-0D850200B84C}">
    <text>Concentraciones igual que la purga (para sacar los flujos másicos)</text>
  </threadedComment>
  <threadedComment ref="Q18" dT="2022-10-05T15:11:06.40" personId="{D2C2CCDD-8433-4567-B0F8-8572DCC6879D}" id="{CD0FEE76-885C-4E5A-B887-7D0C1FFFA217}">
    <text>Artículo Javiera</text>
  </threadedComment>
  <threadedComment ref="U18" dT="2022-10-05T18:06:29.31" personId="{D2C2CCDD-8433-4567-B0F8-8572DCC6879D}" id="{F49B51D2-7E47-47FA-9F79-BD96E6CA4992}">
    <text>Del Excel de Rubén</text>
  </threadedComment>
  <threadedComment ref="G20" dT="2022-10-10T15:48:57.77" personId="{D2C2CCDD-8433-4567-B0F8-8572DCC6879D}" id="{BB6E751E-01B5-4D26-A1B4-70FAFDF14244}">
    <text>La entrada al reactor tiene que ser una dilución del purín del 10%</text>
  </threadedComment>
  <threadedComment ref="D22" dT="2022-10-10T15:46:48.86" personId="{D2C2CCDD-8433-4567-B0F8-8572DCC6879D}" id="{3DA655A1-1A24-4034-8E8C-4BA9CFEA3E7C}">
    <text>Se resta al total sólo los sólidos</text>
  </threadedComment>
  <threadedComment ref="R24" dT="2022-10-05T15:18:00.46" personId="{D2C2CCDD-8433-4567-B0F8-8572DCC6879D}" id="{6BD0E93B-02E1-4F27-9DC3-7263EBDE5FB5}">
    <text>Del Excel de Rubén</text>
  </threadedComment>
  <threadedComment ref="Q26" dT="2022-10-05T15:11:06.40" personId="{D2C2CCDD-8433-4567-B0F8-8572DCC6879D}" id="{C6A2C418-5327-4070-B187-E3AD0D0368A2}">
    <text>Artículo Javiera</text>
  </threadedComment>
  <threadedComment ref="V27" dT="2022-10-10T16:00:43.93" personId="{D2C2CCDD-8433-4567-B0F8-8572DCC6879D}" id="{9E7567E5-BA8B-49DA-8DBB-0677A9D6EF9F}">
    <text>Area calculado según Excel Rubén</text>
  </threadedComment>
  <threadedComment ref="L28" dT="2022-10-10T16:32:32.28" personId="{D2C2CCDD-8433-4567-B0F8-8572DCC6879D}" id="{84824B52-48B6-4B76-AAA7-842ADF3A2392}">
    <text>Suma del TOC de la alga y lo que no se ha eliminado en el sistema.
Se hace igual para el TN y el TP</text>
  </threadedComment>
  <threadedComment ref="U30" dT="2022-10-05T15:11:06.40" personId="{D2C2CCDD-8433-4567-B0F8-8572DCC6879D}" id="{7D1CDF76-4485-4F25-81CD-9D556C5035FC}">
    <text>Artículo Javiera</text>
  </threadedComment>
  <threadedComment ref="H32" dT="2022-10-10T16:04:14.64" personId="{D2C2CCDD-8433-4567-B0F8-8572DCC6879D}" id="{A0DD78D3-98E2-4A3E-934B-E95DCE0FF5A4}">
    <text>Pérdidas del 10% (buscar referencia de reactor que mida eso)</text>
  </threadedComment>
  <threadedComment ref="J33" dT="2022-10-10T16:19:54.93" personId="{D2C2CCDD-8433-4567-B0F8-8572DCC6879D}" id="{45E8AB6B-FC64-4BB6-87D5-1D235EDA934D}">
    <text>Valor obtenido del Ecxel de Ruben y confirmado por Silvia 10/10/22</text>
  </threadedComment>
  <threadedComment ref="N35" dT="2022-10-19T11:29:11.71" personId="{63C43466-B4E2-451E-A603-608CF3A60009}" id="{4F0B9D8E-52CD-4253-B210-580AFA46CEFD}">
    <text>Añadir fosfato hasta concentración 20g/l</text>
  </threadedComment>
  <threadedComment ref="Q35" dT="2022-10-05T15:11:06.40" personId="{D2C2CCDD-8433-4567-B0F8-8572DCC6879D}" id="{C172B2F7-F1B8-4A6C-9BF5-D570A4C512DD}">
    <text>Artículo Javiera</text>
  </threadedComment>
  <threadedComment ref="U35" dT="2022-10-05T15:11:06.40" personId="{D2C2CCDD-8433-4567-B0F8-8572DCC6879D}" id="{E4F7CC8E-3636-401C-92B1-146B7B493E69}">
    <text>Artículo Javiera</text>
  </threadedComment>
  <threadedComment ref="R39" dT="2022-10-06T11:57:55.03" personId="{63C43466-B4E2-451E-A603-608CF3A60009}" id="{D460E028-9737-4BA6-A764-50B7E4F91AB1}">
    <text>Excel Rubén</text>
  </threadedComment>
  <threadedComment ref="J68" dT="2022-10-10T17:19:28.28" personId="{D2C2CCDD-8433-4567-B0F8-8572DCC6879D}" id="{92B87367-CC10-42F5-A436-52C440050570}">
    <text>Meter aquí las bombas</text>
  </threadedComment>
  <threadedComment ref="B74" dT="2022-11-17T16:10:27.96" personId="{D2C2CCDD-8433-4567-B0F8-8572DCC6879D}" id="{BAF78052-F7D3-42F7-A9A1-330B6542DB22}">
    <text>Fasaie 2018</text>
  </threadedComment>
  <threadedComment ref="K88" dT="2022-10-10T18:35:47.69" personId="{D2C2CCDD-8433-4567-B0F8-8572DCC6879D}" id="{66EFC39B-0751-46FA-B52E-A0909569F0FA}">
    <text>Valores medios</text>
  </threadedComment>
  <threadedComment ref="D91" dT="2022-10-06T09:57:43.22" personId="{63C43466-B4E2-451E-A603-608CF3A60009}" id="{51E5129E-3A12-4461-BA40-B08865B77D33}">
    <text>Artículo Victor</text>
  </threadedComment>
  <threadedComment ref="D103" dT="2022-10-26T09:32:45.71" personId="{63C43466-B4E2-451E-A603-608CF3A60009}" id="{33DBAE76-730B-40AC-87C2-7A00C77BFD90}">
    <text>Dato de Grabriel</text>
  </threadedComment>
  <threadedComment ref="D115" dT="2022-10-06T15:15:55.41" personId="{D2C2CCDD-8433-4567-B0F8-8572DCC6879D}" id="{17450BC8-A672-45B7-BBB4-A1263D88886E}">
    <text>Mirar cuanto sube la temperatura</text>
  </threadedComment>
  <threadedComment ref="D116" dT="2022-10-06T15:04:31.26" personId="{D2C2CCDD-8433-4567-B0F8-8572DCC6879D}" id="{A6E7680A-A921-4CFF-976A-8165868DE627}">
    <text>https://www.ingenierosindustriales.com/calculo-del-caudal-de-agua-en-instalaciones-de-calefaccion-o-climatizacion/</text>
    <extLst>
      <x:ext xmlns:xltc2="http://schemas.microsoft.com/office/spreadsheetml/2020/threadedcomments2" uri="{F7C98A9C-CBB3-438F-8F68-D28B6AF4A901}">
        <xltc2:checksum>3744560398</xltc2:checksum>
        <xltc2:hyperlink startIndex="0" length="114" url="https://www.ingenierosindustriales.com/calculo-del-caudal-de-agua-en-instalaciones-de-calefaccion-o-climatizacion/"/>
      </x:ext>
    </extLst>
  </threadedComment>
  <threadedComment ref="D117" dT="2022-10-26T09:32:45.71" personId="{63C43466-B4E2-451E-A603-608CF3A60009}" id="{8603BF5E-0B1C-48B3-980B-6C4D134489E7}">
    <text>Dato de Grabriel (memoria Greenfarm)</text>
  </threadedComment>
  <threadedComment ref="L119" dT="2022-10-11T08:41:13.64" personId="{63C43466-B4E2-451E-A603-608CF3A60009}" id="{1AFBD320-AF00-400E-9D25-2862FB5110E3}">
    <text>https://www.kochseparation.com/technologies/membrane-filtration/puron-mbr-and-pulsion-mbr-modules/#datasheets</text>
    <extLst>
      <x:ext xmlns:xltc2="http://schemas.microsoft.com/office/spreadsheetml/2020/threadedcomments2" uri="{F7C98A9C-CBB3-438F-8F68-D28B6AF4A901}">
        <xltc2:checksum>2017703462</xltc2:checksum>
        <xltc2:hyperlink startIndex="0" length="109" url="https://www.kochseparation.com/technologies/membrane-filtration/puron-mbr-and-pulsion-mbr-modules/#datasheets"/>
      </x:ext>
    </extLst>
  </threadedComment>
  <threadedComment ref="B131" dT="2022-10-11T08:17:34.93" personId="{63C43466-B4E2-451E-A603-608CF3A60009}" id="{19AF7061-D7E4-40EA-B7B4-68E32729BB2C}">
    <text>Sacado de mi Excel del TFG</text>
  </threadedComment>
  <threadedComment ref="K153" dT="2022-11-08T15:51:29.30" personId="{D2C2CCDD-8433-4567-B0F8-8572DCC6879D}" id="{E07DA2E9-7221-4FF6-8E3C-F1BA752BAE91}">
    <text>Fertiberia 
https://fercampo.com/catalogo-de-productos/nutricion-vegetal/fertilizantes-liquidos/</text>
    <extLst>
      <x:ext xmlns:xltc2="http://schemas.microsoft.com/office/spreadsheetml/2020/threadedcomments2" uri="{F7C98A9C-CBB3-438F-8F68-D28B6AF4A901}">
        <xltc2:checksum>3603582145</xltc2:checksum>
        <xltc2:hyperlink startIndex="13" length="84" url="https://fercampo.com/catalogo-de-productos/nutricion-vegetal/fertilizantes-liquidos/"/>
      </x:ext>
    </extLst>
  </threadedComment>
  <threadedComment ref="M155" dT="2022-11-08T15:36:42.97" personId="{D2C2CCDD-8433-4567-B0F8-8572DCC6879D}" id="{059A7AD7-0CB7-4955-B647-616159C1F25B}">
    <text>https://www.fertiberia.com/es/agricultura/productos/categorias/foliar/especiales/energrow-green-mo/</text>
    <extLst>
      <x:ext xmlns:xltc2="http://schemas.microsoft.com/office/spreadsheetml/2020/threadedcomments2" uri="{F7C98A9C-CBB3-438F-8F68-D28B6AF4A901}">
        <xltc2:checksum>988874796</xltc2:checksum>
        <xltc2:hyperlink startIndex="0" length="99" url="https://www.fertiberia.com/es/agricultura/productos/categorias/foliar/especiales/energrow-green-mo/"/>
      </x:ext>
    </extLst>
  </threadedComment>
  <threadedComment ref="O155" dT="2022-11-08T15:47:12.51" personId="{D2C2CCDD-8433-4567-B0F8-8572DCC6879D}" id="{13BBB0A0-3C73-4135-93A7-FF328851B3CE}">
    <text>https://www.fertiberia.com/es/agricultura/productos/categorias/foliar/complejos/glugel-12-24-12/</text>
    <extLst>
      <x:ext xmlns:xltc2="http://schemas.microsoft.com/office/spreadsheetml/2020/threadedcomments2" uri="{F7C98A9C-CBB3-438F-8F68-D28B6AF4A901}">
        <xltc2:checksum>1718153243</xltc2:checksum>
        <xltc2:hyperlink startIndex="0" length="96" url="https://www.fertiberia.com/es/agricultura/productos/categorias/foliar/complejos/glugel-12-24-12/"/>
      </x:ext>
    </extLst>
  </threadedComment>
  <threadedComment ref="Q155" dT="2022-11-08T15:53:48.66" personId="{D2C2CCDD-8433-4567-B0F8-8572DCC6879D}" id="{348E4799-99EC-4C26-A341-51B3884306F7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M159" dT="2022-11-08T15:37:40.34" personId="{D2C2CCDD-8433-4567-B0F8-8572DCC6879D}" id="{5A22FB7E-982C-45F9-9F09-E76052BEB75E}">
    <text>Al año</text>
  </threadedComment>
  <threadedComment ref="O159" dT="2022-11-08T15:47:59.99" personId="{D2C2CCDD-8433-4567-B0F8-8572DCC6879D}" id="{AAB47778-8AF7-476D-B5EC-60AD8340C08B}">
    <text>Al mes son 5L/ha</text>
  </threadedComment>
  <threadedComment ref="Q159" dT="2022-11-08T15:47:59.99" personId="{D2C2CCDD-8433-4567-B0F8-8572DCC6879D}" id="{06210E84-3D16-42F6-9730-4CDC2F535479}">
    <text>Al mes son 5L/ha</text>
  </threadedComment>
  <threadedComment ref="D194" dT="2022-12-05T18:29:29.25" personId="{D2C2CCDD-8433-4567-B0F8-8572DCC6879D}" id="{4CCFCBDD-6CED-4437-B92F-10A4D2C92BF5}">
    <text>Altura depósito purin = 3m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N5" dT="2022-10-07T10:03:16.63" personId="{63C43466-B4E2-451E-A603-608CF3A60009}" id="{8ED2FEFC-5760-4EF7-8A97-6E31CFECA9CB}">
    <text>Excel Rubén (datos Almería?)</text>
  </threadedComment>
  <threadedComment ref="AB11" dT="2022-10-27T19:49:52.36" personId="{D2C2CCDD-8433-4567-B0F8-8572DCC6879D}" id="{B2D96E57-3EE8-4F5B-84FD-1BA5EF0308BA}">
    <text>https://ceta.zaragoza.unam.mx/wp-content/recursosi/calculadoras/constantes-de-antonio/constantes-de-antonio.htm</text>
    <extLst>
      <x:ext xmlns:xltc2="http://schemas.microsoft.com/office/spreadsheetml/2020/threadedcomments2" uri="{F7C98A9C-CBB3-438F-8F68-D28B6AF4A901}">
        <xltc2:checksum>4084752734</xltc2:checksum>
        <xltc2:hyperlink startIndex="0" length="111" url="https://ceta.zaragoza.unam.mx/wp-content/recursosi/calculadoras/constantes-de-antonio/constantes-de-antonio.htm"/>
      </x:ext>
    </extLst>
  </threadedComment>
  <threadedComment ref="F26" dT="2022-10-10T17:02:21.52" personId="{D2C2CCDD-8433-4567-B0F8-8572DCC6879D}" id="{19684D77-7CDA-47CF-996A-FD8BC2CEEE79}">
    <text>Mismas concentraciones que Q7 y Q8</text>
  </threadedComment>
  <threadedComment ref="J26" dT="2022-10-10T16:21:30.04" personId="{D2C2CCDD-8433-4567-B0F8-8572DCC6879D}" id="{E382F112-5759-44B0-98DF-97792ABA856C}">
    <text>Concentraciones igual que la purga (para sacar los flujos másicos)</text>
  </threadedComment>
  <threadedComment ref="X26" dT="2022-10-05T15:11:06.40" personId="{D2C2CCDD-8433-4567-B0F8-8572DCC6879D}" id="{14090658-6107-434D-9ED4-DBBD831111E4}">
    <text>Artículo Javiera</text>
  </threadedComment>
  <threadedComment ref="AB26" dT="2022-10-05T18:06:29.31" personId="{D2C2CCDD-8433-4567-B0F8-8572DCC6879D}" id="{882B536A-D4BE-4D77-8591-954A1142A367}">
    <text>Del Excel de Rubén</text>
  </threadedComment>
  <threadedComment ref="O27" dT="2022-10-11T09:54:32.57" personId="{63C43466-B4E2-451E-A603-608CF3A60009}" id="{2D9AA47A-20FF-4E1C-873A-4845A6B0E1AB}">
    <text>Se ha añadido acetona</text>
  </threadedComment>
  <threadedComment ref="G28" dT="2022-10-10T15:48:57.77" personId="{D2C2CCDD-8433-4567-B0F8-8572DCC6879D}" id="{EBF0DC7E-3189-485F-B719-38852EA6E8C1}">
    <text>La entrada al reactor tiene que ser una dilución del purín del 10%</text>
  </threadedComment>
  <threadedComment ref="D30" dT="2022-10-10T15:46:48.86" personId="{D2C2CCDD-8433-4567-B0F8-8572DCC6879D}" id="{2738615B-35BB-4F59-BA33-96A0DBF1754F}">
    <text>Se resta al total sólo los sólidos</text>
  </threadedComment>
  <threadedComment ref="Y32" dT="2022-10-05T15:18:00.46" personId="{D2C2CCDD-8433-4567-B0F8-8572DCC6879D}" id="{8CAABB89-E493-4565-9629-C4F8767DFEA3}">
    <text>Del Excel de Rubén</text>
  </threadedComment>
  <threadedComment ref="X34" dT="2022-10-05T15:11:06.40" personId="{D2C2CCDD-8433-4567-B0F8-8572DCC6879D}" id="{5686E5D5-CC69-47E1-9833-18106121C397}">
    <text>Artículo Javiera</text>
  </threadedComment>
  <threadedComment ref="AC35" dT="2022-10-10T16:00:43.93" personId="{D2C2CCDD-8433-4567-B0F8-8572DCC6879D}" id="{AB6C4891-1AAC-4C7B-B3AD-1FDA07B2C5DB}">
    <text>Area calculado según Excel Rubén</text>
  </threadedComment>
  <threadedComment ref="L36" dT="2022-10-10T16:32:32.28" personId="{D2C2CCDD-8433-4567-B0F8-8572DCC6879D}" id="{899CD756-FCD1-4B89-BADA-08B1A942E31A}">
    <text>Suma del TOC de la alga y lo que no se ha eliminado en el sistema.
Se hace igual para el TN y el TP</text>
  </threadedComment>
  <threadedComment ref="AB38" dT="2022-10-05T15:11:06.40" personId="{D2C2CCDD-8433-4567-B0F8-8572DCC6879D}" id="{A939F6D0-E213-4C19-AEAE-9A0ED3F4AC79}">
    <text>Artículo Javiera</text>
  </threadedComment>
  <threadedComment ref="H40" dT="2022-10-10T16:04:14.64" personId="{D2C2CCDD-8433-4567-B0F8-8572DCC6879D}" id="{E722ACE6-0247-4D2B-9DD7-3E6B8CD16230}">
    <text>Pérdidas del 10% (buscar referencia de reactor que mida eso)</text>
  </threadedComment>
  <threadedComment ref="J41" dT="2022-10-10T16:19:54.93" personId="{D2C2CCDD-8433-4567-B0F8-8572DCC6879D}" id="{7AD2D129-9A74-4DA0-A41A-7D4A51325FED}">
    <text>Valor obtenido del Ecxel de Ruben y confirmado por Silvia 10/10/22</text>
  </threadedComment>
  <threadedComment ref="X43" dT="2022-10-05T15:11:06.40" personId="{D2C2CCDD-8433-4567-B0F8-8572DCC6879D}" id="{5C2D327F-8E67-4B1C-A3F2-B3A09DA0DC13}">
    <text>Artículo Javiera</text>
  </threadedComment>
  <threadedComment ref="AB43" dT="2022-10-05T15:11:06.40" personId="{D2C2CCDD-8433-4567-B0F8-8572DCC6879D}" id="{31C5A14D-CCE9-4EB4-9209-5B4A8758FAEE}">
    <text>Artículo Javiera</text>
  </threadedComment>
  <threadedComment ref="Y47" dT="2022-10-06T11:57:55.03" personId="{63C43466-B4E2-451E-A603-608CF3A60009}" id="{93262834-479C-4033-8A0D-65FEEA947C47}">
    <text>Excel Rubén</text>
  </threadedComment>
  <threadedComment ref="AB48" dT="2022-10-05T15:11:06.40" personId="{D2C2CCDD-8433-4567-B0F8-8572DCC6879D}" id="{961E3B39-AD28-4F72-8DB0-2AE877A64110}">
    <text>Artículo Javiera</text>
  </threadedComment>
  <threadedComment ref="AC52" dT="2022-10-11T09:41:53.60" personId="{63C43466-B4E2-451E-A603-608CF3A60009}" id="{48640FC4-D46C-4994-AC97-DD718DC639C4}">
    <text>Excel Rubén</text>
  </threadedComment>
  <threadedComment ref="Y55" dT="2023-01-20T17:17:53.87" personId="{D2C2CCDD-8433-4567-B0F8-8572DCC6879D}" id="{129B4D6E-E76A-4218-A735-B45D30D02105}">
    <text>Misma concentración que usamos nosotros</text>
  </threadedComment>
  <threadedComment ref="J78" dT="2022-10-10T17:19:28.28" personId="{D2C2CCDD-8433-4567-B0F8-8572DCC6879D}" id="{9409117F-A828-4E52-9EAF-F7953039BDA0}">
    <text>Meter aquí las bombas</text>
  </threadedComment>
  <threadedComment ref="K107" dT="2022-10-10T18:35:47.69" personId="{D2C2CCDD-8433-4567-B0F8-8572DCC6879D}" id="{8A1106F0-780D-42F3-97F2-180EEB5C4CB8}">
    <text>Valores medios</text>
  </threadedComment>
  <threadedComment ref="D110" dT="2022-10-06T09:57:43.22" personId="{63C43466-B4E2-451E-A603-608CF3A60009}" id="{574E6A89-C796-410A-85B9-52DC7ABD7F39}">
    <text>Artículo Victor</text>
  </threadedComment>
  <threadedComment ref="D118" dT="2022-11-04T17:23:43.05" personId="{D2C2CCDD-8433-4567-B0F8-8572DCC6879D}" id="{6145D7CE-19AB-4034-9334-ACF18C56CCE7}">
    <text>Perez 2021</text>
  </threadedComment>
  <threadedComment ref="D138" dT="2022-10-06T15:15:55.41" personId="{D2C2CCDD-8433-4567-B0F8-8572DCC6879D}" id="{BCAFD0E9-16A0-44BD-9E26-4DB80EA4D10F}">
    <text>Mirar cuanto sube la temperatura</text>
  </threadedComment>
  <threadedComment ref="L138" dT="2022-10-11T08:41:13.64" personId="{63C43466-B4E2-451E-A603-608CF3A60009}" id="{5E036037-E081-43D6-A851-81D20DD21BCC}">
    <text>https://www.kochseparation.com/technologies/membrane-filtration/puron-mbr-and-pulsion-mbr-modules/#datasheets</text>
    <extLst>
      <x:ext xmlns:xltc2="http://schemas.microsoft.com/office/spreadsheetml/2020/threadedcomments2" uri="{F7C98A9C-CBB3-438F-8F68-D28B6AF4A901}">
        <xltc2:checksum>2017703462</xltc2:checksum>
        <xltc2:hyperlink startIndex="0" length="109" url="https://www.kochseparation.com/technologies/membrane-filtration/puron-mbr-and-pulsion-mbr-modules/#datasheets"/>
      </x:ext>
    </extLst>
  </threadedComment>
  <threadedComment ref="D139" dT="2022-10-06T15:04:31.26" personId="{D2C2CCDD-8433-4567-B0F8-8572DCC6879D}" id="{40C947D6-A5A2-4760-AF31-168BB82CA088}">
    <text>https://www.ingenierosindustriales.com/calculo-del-caudal-de-agua-en-instalaciones-de-calefaccion-o-climatizacion/</text>
    <extLst>
      <x:ext xmlns:xltc2="http://schemas.microsoft.com/office/spreadsheetml/2020/threadedcomments2" uri="{F7C98A9C-CBB3-438F-8F68-D28B6AF4A901}">
        <xltc2:checksum>3744560398</xltc2:checksum>
        <xltc2:hyperlink startIndex="0" length="114" url="https://www.ingenierosindustriales.com/calculo-del-caudal-de-agua-en-instalaciones-de-calefaccion-o-climatizacion/"/>
      </x:ext>
    </extLst>
  </threadedComment>
  <threadedComment ref="D142" dT="2022-10-26T09:32:45.71" personId="{63C43466-B4E2-451E-A603-608CF3A60009}" id="{D1C96050-8F4A-4A09-ACFC-F55C775E8874}">
    <text>Dato de Grabriel (memoria Greenfarm)</text>
  </threadedComment>
  <threadedComment ref="K174" dT="2022-11-08T15:51:29.30" personId="{D2C2CCDD-8433-4567-B0F8-8572DCC6879D}" id="{933AB6FA-AF01-4AD8-90EC-A5FB381FD28A}">
    <text>Fertiberia 
https://fercampo.com/catalogo-de-productos/nutricion-vegetal/fertilizantes-liquidos/</text>
    <extLst>
      <x:ext xmlns:xltc2="http://schemas.microsoft.com/office/spreadsheetml/2020/threadedcomments2" uri="{F7C98A9C-CBB3-438F-8F68-D28B6AF4A901}">
        <xltc2:checksum>3603582145</xltc2:checksum>
        <xltc2:hyperlink startIndex="13" length="84" url="https://fercampo.com/catalogo-de-productos/nutricion-vegetal/fertilizantes-liquidos/"/>
      </x:ext>
    </extLst>
  </threadedComment>
  <threadedComment ref="M176" dT="2022-11-08T15:36:42.97" personId="{D2C2CCDD-8433-4567-B0F8-8572DCC6879D}" id="{B624CEC3-5C60-48FA-AC91-8ABE72A5C0D5}">
    <text>https://www.fertiberia.com/es/agricultura/productos/categorias/foliar/especiales/energrow-green-mo/</text>
    <extLst>
      <x:ext xmlns:xltc2="http://schemas.microsoft.com/office/spreadsheetml/2020/threadedcomments2" uri="{F7C98A9C-CBB3-438F-8F68-D28B6AF4A901}">
        <xltc2:checksum>988874796</xltc2:checksum>
        <xltc2:hyperlink startIndex="0" length="99" url="https://www.fertiberia.com/es/agricultura/productos/categorias/foliar/especiales/energrow-green-mo/"/>
      </x:ext>
    </extLst>
  </threadedComment>
  <threadedComment ref="O176" dT="2022-11-08T15:47:12.51" personId="{D2C2CCDD-8433-4567-B0F8-8572DCC6879D}" id="{90C61C9D-FFA4-4ED9-90B7-8CA4A59625D6}">
    <text>https://www.fertiberia.com/es/agricultura/productos/categorias/foliar/complejos/glugel-12-24-12/</text>
    <extLst>
      <x:ext xmlns:xltc2="http://schemas.microsoft.com/office/spreadsheetml/2020/threadedcomments2" uri="{F7C98A9C-CBB3-438F-8F68-D28B6AF4A901}">
        <xltc2:checksum>1718153243</xltc2:checksum>
        <xltc2:hyperlink startIndex="0" length="96" url="https://www.fertiberia.com/es/agricultura/productos/categorias/foliar/complejos/glugel-12-24-12/"/>
      </x:ext>
    </extLst>
  </threadedComment>
  <threadedComment ref="Q176" dT="2022-11-08T15:53:48.66" personId="{D2C2CCDD-8433-4567-B0F8-8572DCC6879D}" id="{86959E27-C718-4C12-9C85-779F926CB6E1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M180" dT="2022-11-08T15:37:40.34" personId="{D2C2CCDD-8433-4567-B0F8-8572DCC6879D}" id="{CA1A6A91-9C08-4B48-8579-644B7AD06306}">
    <text>Al año</text>
  </threadedComment>
  <threadedComment ref="O180" dT="2022-11-08T15:47:59.99" personId="{D2C2CCDD-8433-4567-B0F8-8572DCC6879D}" id="{91AFB94B-5751-4082-9E37-8F6F7B053F0B}">
    <text>Al mes son 5L/ha</text>
  </threadedComment>
  <threadedComment ref="Q180" dT="2022-11-08T15:47:59.99" personId="{D2C2CCDD-8433-4567-B0F8-8572DCC6879D}" id="{2418B130-BAC3-4A67-88E9-4430A8356A09}">
    <text>Al mes son 5L/ha</text>
  </threadedComment>
  <threadedComment ref="D220" dT="2022-12-05T18:29:29.25" personId="{D2C2CCDD-8433-4567-B0F8-8572DCC6879D}" id="{2CAAD1B7-04CF-4C55-BEE8-B1057B1A8C1F}">
    <text>Altura depósito purin = 3m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N5" dT="2022-10-07T10:03:16.63" personId="{63C43466-B4E2-451E-A603-608CF3A60009}" id="{2B481A56-28D6-472A-B36E-A3B8A53E0594}">
    <text>Excel Rubén (datos Almería?)</text>
  </threadedComment>
  <threadedComment ref="AB11" dT="2022-10-27T19:49:52.36" personId="{D2C2CCDD-8433-4567-B0F8-8572DCC6879D}" id="{8F3926F6-408F-44BC-B79D-8132643D3B36}">
    <text>https://ceta.zaragoza.unam.mx/wp-content/recursosi/calculadoras/constantes-de-antonio/constantes-de-antonio.htm</text>
    <extLst>
      <x:ext xmlns:xltc2="http://schemas.microsoft.com/office/spreadsheetml/2020/threadedcomments2" uri="{F7C98A9C-CBB3-438F-8F68-D28B6AF4A901}">
        <xltc2:checksum>4084752734</xltc2:checksum>
        <xltc2:hyperlink startIndex="0" length="111" url="https://ceta.zaragoza.unam.mx/wp-content/recursosi/calculadoras/constantes-de-antonio/constantes-de-antonio.htm"/>
      </x:ext>
    </extLst>
  </threadedComment>
  <threadedComment ref="F26" dT="2022-10-10T17:02:21.52" personId="{D2C2CCDD-8433-4567-B0F8-8572DCC6879D}" id="{61258B56-90AD-4CEF-BB30-9D6A749C5675}">
    <text>Mismas concentraciones que Q7 y Q8</text>
  </threadedComment>
  <threadedComment ref="J26" dT="2022-10-10T16:21:30.04" personId="{D2C2CCDD-8433-4567-B0F8-8572DCC6879D}" id="{35135191-7CB3-4D95-A134-B5E752A2FD73}">
    <text>Concentraciones igual que la purga (para sacar los flujos másicos)</text>
  </threadedComment>
  <threadedComment ref="X26" dT="2022-10-05T15:11:06.40" personId="{D2C2CCDD-8433-4567-B0F8-8572DCC6879D}" id="{D4E6B5FD-39B5-414E-BA86-D39949986880}">
    <text>Artículo Javiera</text>
  </threadedComment>
  <threadedComment ref="AB26" dT="2022-10-05T18:06:29.31" personId="{D2C2CCDD-8433-4567-B0F8-8572DCC6879D}" id="{0CBF72CB-BDF1-4CE1-8A37-86D8AB233728}">
    <text>Del Excel de Rubén</text>
  </threadedComment>
  <threadedComment ref="O27" dT="2022-10-11T09:54:32.57" personId="{63C43466-B4E2-451E-A603-608CF3A60009}" id="{A30AF6FE-BB9B-41C9-9B2B-41138F451C04}">
    <text>Se ha añadido acetona</text>
  </threadedComment>
  <threadedComment ref="G28" dT="2022-10-10T15:48:57.77" personId="{D2C2CCDD-8433-4567-B0F8-8572DCC6879D}" id="{C29C611D-6581-4BA0-9E72-76631DB32673}">
    <text>La entrada al reactor tiene que ser una dilución del purín del 10%</text>
  </threadedComment>
  <threadedComment ref="D30" dT="2022-10-10T15:46:48.86" personId="{D2C2CCDD-8433-4567-B0F8-8572DCC6879D}" id="{C7EBB036-4362-4B1B-988A-5641ADF2C949}">
    <text>Se resta al total sólo los sólidos</text>
  </threadedComment>
  <threadedComment ref="Y32" dT="2022-10-05T15:18:00.46" personId="{D2C2CCDD-8433-4567-B0F8-8572DCC6879D}" id="{9B710404-FC24-4C4F-8142-E63B066DF57E}">
    <text>Del Excel de Rubén</text>
  </threadedComment>
  <threadedComment ref="X34" dT="2022-10-05T15:11:06.40" personId="{D2C2CCDD-8433-4567-B0F8-8572DCC6879D}" id="{1CCCD4EF-716D-416D-A4B9-96CD97DA1021}">
    <text>Artículo Javiera</text>
  </threadedComment>
  <threadedComment ref="AC35" dT="2022-10-10T16:00:43.93" personId="{D2C2CCDD-8433-4567-B0F8-8572DCC6879D}" id="{05DFAF1D-B00C-4A36-8224-625C6B9D5D23}">
    <text>Area calculado según Excel Rubén</text>
  </threadedComment>
  <threadedComment ref="L36" dT="2022-10-10T16:32:32.28" personId="{D2C2CCDD-8433-4567-B0F8-8572DCC6879D}" id="{E64087C7-8458-4EDC-B1F3-F9197215A0DE}">
    <text>Suma del TOC de la alga y lo que no se ha eliminado en el sistema.
Se hace igual para el TN y el TP</text>
  </threadedComment>
  <threadedComment ref="AB38" dT="2022-10-05T15:11:06.40" personId="{D2C2CCDD-8433-4567-B0F8-8572DCC6879D}" id="{9B8CB03E-9E31-45BC-988E-D7873DC1B89C}">
    <text>Artículo Javiera</text>
  </threadedComment>
  <threadedComment ref="H40" dT="2022-10-10T16:04:14.64" personId="{D2C2CCDD-8433-4567-B0F8-8572DCC6879D}" id="{E4853884-9899-4986-B131-46FA42F2D135}">
    <text>Pérdidas del 10% (buscar referencia de reactor que mida eso)</text>
  </threadedComment>
  <threadedComment ref="J41" dT="2022-10-10T16:19:54.93" personId="{D2C2CCDD-8433-4567-B0F8-8572DCC6879D}" id="{41BF0F15-282F-49FA-B5A5-10FED4662839}">
    <text>Valor obtenido del Ecxel de Ruben y confirmado por Silvia 10/10/22</text>
  </threadedComment>
  <threadedComment ref="X43" dT="2022-10-05T15:11:06.40" personId="{D2C2CCDD-8433-4567-B0F8-8572DCC6879D}" id="{4E77625E-763B-4FC2-950F-F40D366F5F3A}">
    <text>Artículo Javiera</text>
  </threadedComment>
  <threadedComment ref="AB43" dT="2022-10-05T15:11:06.40" personId="{D2C2CCDD-8433-4567-B0F8-8572DCC6879D}" id="{387882F6-F351-484D-9343-CAC840899B50}">
    <text>Artículo Javiera</text>
  </threadedComment>
  <threadedComment ref="Y47" dT="2022-10-06T11:57:55.03" personId="{63C43466-B4E2-451E-A603-608CF3A60009}" id="{49479B42-4D2F-49A0-A70D-4B5CA7168593}">
    <text>Excel Rubén</text>
  </threadedComment>
  <threadedComment ref="AB48" dT="2022-10-05T15:11:06.40" personId="{D2C2CCDD-8433-4567-B0F8-8572DCC6879D}" id="{C734F926-33DD-415B-9B6F-3C08C69F121C}">
    <text>Artículo Javiera</text>
  </threadedComment>
  <threadedComment ref="AC52" dT="2022-10-11T09:41:53.60" personId="{63C43466-B4E2-451E-A603-608CF3A60009}" id="{34A62BD3-8167-4B53-BF9C-71164115D222}">
    <text>Excel Rubén</text>
  </threadedComment>
  <threadedComment ref="Y55" dT="2023-01-20T17:17:53.87" personId="{D2C2CCDD-8433-4567-B0F8-8572DCC6879D}" id="{29E1886A-7A37-4133-B014-67303617FB01}">
    <text>Misma concentración que usamos nosotros</text>
  </threadedComment>
  <threadedComment ref="J78" dT="2022-10-10T17:19:28.28" personId="{D2C2CCDD-8433-4567-B0F8-8572DCC6879D}" id="{F99E1276-7E0D-4ABF-8B88-7C7B2088F7B0}">
    <text>Meter aquí las bombas</text>
  </threadedComment>
  <threadedComment ref="K107" dT="2022-10-10T18:35:47.69" personId="{D2C2CCDD-8433-4567-B0F8-8572DCC6879D}" id="{945456D9-5C75-4913-8591-AE8CAB182CA1}">
    <text>Valores medios</text>
  </threadedComment>
  <threadedComment ref="D110" dT="2022-10-06T09:57:43.22" personId="{63C43466-B4E2-451E-A603-608CF3A60009}" id="{46320A33-E50D-4BA6-8F37-1DCE52556698}">
    <text>Artículo Victor</text>
  </threadedComment>
  <threadedComment ref="D118" dT="2022-11-04T17:23:43.05" personId="{D2C2CCDD-8433-4567-B0F8-8572DCC6879D}" id="{930FF7B9-AA41-417B-B29C-CADCB0661C49}">
    <text>Perez 2021</text>
  </threadedComment>
  <threadedComment ref="D138" dT="2022-10-06T15:15:55.41" personId="{D2C2CCDD-8433-4567-B0F8-8572DCC6879D}" id="{482282F0-7EDD-409E-BFA4-3832B899C3B7}">
    <text>Mirar cuanto sube la temperatura</text>
  </threadedComment>
  <threadedComment ref="L138" dT="2022-10-11T08:41:13.64" personId="{63C43466-B4E2-451E-A603-608CF3A60009}" id="{BDE3E6A8-181E-4019-B4AD-CC33E991E409}">
    <text>https://www.kochseparation.com/technologies/membrane-filtration/puron-mbr-and-pulsion-mbr-modules/#datasheets</text>
    <extLst>
      <x:ext xmlns:xltc2="http://schemas.microsoft.com/office/spreadsheetml/2020/threadedcomments2" uri="{F7C98A9C-CBB3-438F-8F68-D28B6AF4A901}">
        <xltc2:checksum>2017703462</xltc2:checksum>
        <xltc2:hyperlink startIndex="0" length="109" url="https://www.kochseparation.com/technologies/membrane-filtration/puron-mbr-and-pulsion-mbr-modules/#datasheets"/>
      </x:ext>
    </extLst>
  </threadedComment>
  <threadedComment ref="D139" dT="2022-10-06T15:04:31.26" personId="{D2C2CCDD-8433-4567-B0F8-8572DCC6879D}" id="{2207DDA3-39C6-4D5A-A262-A3F8F1DB42B1}">
    <text>https://www.ingenierosindustriales.com/calculo-del-caudal-de-agua-en-instalaciones-de-calefaccion-o-climatizacion/</text>
    <extLst>
      <x:ext xmlns:xltc2="http://schemas.microsoft.com/office/spreadsheetml/2020/threadedcomments2" uri="{F7C98A9C-CBB3-438F-8F68-D28B6AF4A901}">
        <xltc2:checksum>3744560398</xltc2:checksum>
        <xltc2:hyperlink startIndex="0" length="114" url="https://www.ingenierosindustriales.com/calculo-del-caudal-de-agua-en-instalaciones-de-calefaccion-o-climatizacion/"/>
      </x:ext>
    </extLst>
  </threadedComment>
  <threadedComment ref="D142" dT="2022-10-26T09:32:45.71" personId="{63C43466-B4E2-451E-A603-608CF3A60009}" id="{9C5A80E4-3844-46FB-9BE2-CBECAE347242}">
    <text>Dato de Grabriel (memoria Greenfarm)</text>
  </threadedComment>
  <threadedComment ref="K174" dT="2022-11-08T15:51:29.30" personId="{D2C2CCDD-8433-4567-B0F8-8572DCC6879D}" id="{45B62A81-88D7-43AA-A965-4D3D2D426379}">
    <text>Fertiberia 
https://fercampo.com/catalogo-de-productos/nutricion-vegetal/fertilizantes-liquidos/</text>
    <extLst>
      <x:ext xmlns:xltc2="http://schemas.microsoft.com/office/spreadsheetml/2020/threadedcomments2" uri="{F7C98A9C-CBB3-438F-8F68-D28B6AF4A901}">
        <xltc2:checksum>3603582145</xltc2:checksum>
        <xltc2:hyperlink startIndex="13" length="84" url="https://fercampo.com/catalogo-de-productos/nutricion-vegetal/fertilizantes-liquidos/"/>
      </x:ext>
    </extLst>
  </threadedComment>
  <threadedComment ref="M176" dT="2022-11-08T15:36:42.97" personId="{D2C2CCDD-8433-4567-B0F8-8572DCC6879D}" id="{2A756F89-3739-486C-AF99-82EE0653D1E1}">
    <text>https://www.fertiberia.com/es/agricultura/productos/categorias/foliar/especiales/energrow-green-mo/</text>
    <extLst>
      <x:ext xmlns:xltc2="http://schemas.microsoft.com/office/spreadsheetml/2020/threadedcomments2" uri="{F7C98A9C-CBB3-438F-8F68-D28B6AF4A901}">
        <xltc2:checksum>988874796</xltc2:checksum>
        <xltc2:hyperlink startIndex="0" length="99" url="https://www.fertiberia.com/es/agricultura/productos/categorias/foliar/especiales/energrow-green-mo/"/>
      </x:ext>
    </extLst>
  </threadedComment>
  <threadedComment ref="O176" dT="2022-11-08T15:47:12.51" personId="{D2C2CCDD-8433-4567-B0F8-8572DCC6879D}" id="{8CA5C121-A70B-417B-8EAA-950D6421DC68}">
    <text>https://www.fertiberia.com/es/agricultura/productos/categorias/foliar/complejos/glugel-12-24-12/</text>
    <extLst>
      <x:ext xmlns:xltc2="http://schemas.microsoft.com/office/spreadsheetml/2020/threadedcomments2" uri="{F7C98A9C-CBB3-438F-8F68-D28B6AF4A901}">
        <xltc2:checksum>1718153243</xltc2:checksum>
        <xltc2:hyperlink startIndex="0" length="96" url="https://www.fertiberia.com/es/agricultura/productos/categorias/foliar/complejos/glugel-12-24-12/"/>
      </x:ext>
    </extLst>
  </threadedComment>
  <threadedComment ref="Q176" dT="2022-11-08T15:53:48.66" personId="{D2C2CCDD-8433-4567-B0F8-8572DCC6879D}" id="{8969FBE7-B659-4A36-8DDE-8B81EA00A761}">
    <text>https://fercampo.com/catalogo-de-productos/nutricion-vegetal/fertilizantes-liquidos/</text>
    <extLst>
      <x:ext xmlns:xltc2="http://schemas.microsoft.com/office/spreadsheetml/2020/threadedcomments2" uri="{F7C98A9C-CBB3-438F-8F68-D28B6AF4A901}">
        <xltc2:checksum>1891551722</xltc2:checksum>
        <xltc2:hyperlink startIndex="0" length="84" url="https://fercampo.com/catalogo-de-productos/nutricion-vegetal/fertilizantes-liquidos/"/>
      </x:ext>
    </extLst>
  </threadedComment>
  <threadedComment ref="M180" dT="2022-11-08T15:37:40.34" personId="{D2C2CCDD-8433-4567-B0F8-8572DCC6879D}" id="{A7355971-83B9-41A9-B1E9-1A8C4E80FB77}">
    <text>Al año</text>
  </threadedComment>
  <threadedComment ref="O180" dT="2022-11-08T15:47:59.99" personId="{D2C2CCDD-8433-4567-B0F8-8572DCC6879D}" id="{EBF471D1-57BF-4911-85E1-440864969B84}">
    <text>Al mes son 5L/ha</text>
  </threadedComment>
  <threadedComment ref="Q180" dT="2022-11-08T15:47:59.99" personId="{D2C2CCDD-8433-4567-B0F8-8572DCC6879D}" id="{17BD6978-F5E4-4396-86F6-3595B4E12912}">
    <text>Al mes son 5L/ha</text>
  </threadedComment>
  <threadedComment ref="D220" dT="2022-12-05T18:29:29.25" personId="{D2C2CCDD-8433-4567-B0F8-8572DCC6879D}" id="{FB5D55D5-D8C2-4CFC-83D2-B273E79B2611}">
    <text>Altura depósito purin = 3m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0.xml"/><Relationship Id="rId3" Type="http://schemas.openxmlformats.org/officeDocument/2006/relationships/hyperlink" Target="https://www.sciencedirect.com/science/article/pii/S0960852419313744" TargetMode="External"/><Relationship Id="rId7" Type="http://schemas.openxmlformats.org/officeDocument/2006/relationships/comments" Target="../comments10.xml"/><Relationship Id="rId2" Type="http://schemas.openxmlformats.org/officeDocument/2006/relationships/hyperlink" Target="https://blogs.worldbank.org/opendata/fertilizer-prices-expected-remain-higher-longer" TargetMode="External"/><Relationship Id="rId1" Type="http://schemas.openxmlformats.org/officeDocument/2006/relationships/hyperlink" Target="https://www.youtube.com/watch?v=iYtwmPxySNM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1.xml"/><Relationship Id="rId3" Type="http://schemas.openxmlformats.org/officeDocument/2006/relationships/hyperlink" Target="https://www.sciencedirect.com/science/article/pii/S0960852419313744" TargetMode="External"/><Relationship Id="rId7" Type="http://schemas.openxmlformats.org/officeDocument/2006/relationships/comments" Target="../comments11.xml"/><Relationship Id="rId2" Type="http://schemas.openxmlformats.org/officeDocument/2006/relationships/hyperlink" Target="https://blogs.worldbank.org/opendata/fertilizer-prices-expected-remain-higher-longer" TargetMode="External"/><Relationship Id="rId1" Type="http://schemas.openxmlformats.org/officeDocument/2006/relationships/hyperlink" Target="https://www.youtube.com/watch?v=iYtwmPxySNM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microsoft.com/office/2017/10/relationships/threadedComment" Target="../threadedComments/threadedComment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blogs.worldbank.org/opendata/fertilizer-prices-expected-remain-higher-longer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8.xml"/><Relationship Id="rId3" Type="http://schemas.openxmlformats.org/officeDocument/2006/relationships/hyperlink" Target="https://www.sciencedirect.com/science/article/pii/S0960852419313744" TargetMode="External"/><Relationship Id="rId7" Type="http://schemas.openxmlformats.org/officeDocument/2006/relationships/comments" Target="../comments8.xml"/><Relationship Id="rId2" Type="http://schemas.openxmlformats.org/officeDocument/2006/relationships/hyperlink" Target="https://blogs.worldbank.org/opendata/fertilizer-prices-expected-remain-higher-longer" TargetMode="External"/><Relationship Id="rId1" Type="http://schemas.openxmlformats.org/officeDocument/2006/relationships/hyperlink" Target="https://www.youtube.com/watch?v=iYtwmPxySNM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9.xml"/><Relationship Id="rId3" Type="http://schemas.openxmlformats.org/officeDocument/2006/relationships/hyperlink" Target="https://www.sciencedirect.com/science/article/pii/S0960852419313744" TargetMode="External"/><Relationship Id="rId7" Type="http://schemas.openxmlformats.org/officeDocument/2006/relationships/comments" Target="../comments9.xml"/><Relationship Id="rId2" Type="http://schemas.openxmlformats.org/officeDocument/2006/relationships/hyperlink" Target="https://blogs.worldbank.org/opendata/fertilizer-prices-expected-remain-higher-longer" TargetMode="External"/><Relationship Id="rId1" Type="http://schemas.openxmlformats.org/officeDocument/2006/relationships/hyperlink" Target="https://www.youtube.com/watch?v=iYtwmPxySNM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2:AA204"/>
  <sheetViews>
    <sheetView zoomScale="80" zoomScaleNormal="80" workbookViewId="0">
      <selection activeCell="A104" sqref="A104"/>
    </sheetView>
  </sheetViews>
  <sheetFormatPr defaultColWidth="11.42578125" defaultRowHeight="15"/>
  <cols>
    <col min="6" max="9" width="14.5703125" bestFit="1" customWidth="1"/>
    <col min="11" max="12" width="14.5703125" bestFit="1" customWidth="1"/>
    <col min="15" max="15" width="13.7109375" bestFit="1" customWidth="1"/>
    <col min="19" max="19" width="15.140625" bestFit="1" customWidth="1"/>
    <col min="20" max="20" width="14.5703125" bestFit="1" customWidth="1"/>
    <col min="23" max="23" width="13.140625" customWidth="1"/>
  </cols>
  <sheetData>
    <row r="2" spans="2:12" hidden="1">
      <c r="B2" s="255" t="s">
        <v>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</row>
    <row r="3" spans="2:12" hidden="1"/>
    <row r="4" spans="2:12" hidden="1">
      <c r="B4" s="153" t="s">
        <v>1</v>
      </c>
      <c r="C4" s="153" t="s">
        <v>2</v>
      </c>
      <c r="D4" s="153" t="s">
        <v>3</v>
      </c>
      <c r="G4" s="152" t="s">
        <v>1</v>
      </c>
      <c r="H4" s="152" t="s">
        <v>2</v>
      </c>
      <c r="I4" s="152" t="s">
        <v>3</v>
      </c>
    </row>
    <row r="5" spans="2:12" hidden="1">
      <c r="B5" s="2">
        <v>3</v>
      </c>
      <c r="C5" s="2">
        <v>5</v>
      </c>
      <c r="D5" s="2">
        <v>4</v>
      </c>
      <c r="F5" s="73" t="s">
        <v>4</v>
      </c>
      <c r="G5" s="21">
        <v>1042853.8477108254</v>
      </c>
      <c r="H5" s="21">
        <v>1076371.204103783</v>
      </c>
      <c r="I5" s="21">
        <v>1063996.4699984812</v>
      </c>
    </row>
    <row r="6" spans="2:12" hidden="1">
      <c r="F6" s="73" t="s">
        <v>5</v>
      </c>
      <c r="G6" s="21">
        <v>428113.60151396412</v>
      </c>
      <c r="H6" s="21">
        <v>511242.94606099441</v>
      </c>
      <c r="I6" s="21">
        <v>480072.85389494139</v>
      </c>
    </row>
    <row r="7" spans="2:12" hidden="1">
      <c r="B7" s="251" t="s">
        <v>6</v>
      </c>
      <c r="C7" s="252"/>
      <c r="D7" s="252"/>
      <c r="F7" s="73" t="s">
        <v>7</v>
      </c>
      <c r="G7" s="21">
        <v>563167.9458128456</v>
      </c>
      <c r="H7" s="21">
        <v>650637.94135351165</v>
      </c>
      <c r="I7" s="21">
        <v>617865.26450684096</v>
      </c>
    </row>
    <row r="8" spans="2:12" ht="15" hidden="1" customHeight="1">
      <c r="B8" s="94" t="s">
        <v>8</v>
      </c>
      <c r="C8" s="5">
        <v>0.25</v>
      </c>
      <c r="D8" s="5" t="s">
        <v>9</v>
      </c>
      <c r="F8" s="73" t="s">
        <v>10</v>
      </c>
      <c r="G8" s="21">
        <v>84.27511145393602</v>
      </c>
      <c r="H8" s="21">
        <v>69.546096241813828</v>
      </c>
      <c r="I8" s="21">
        <v>73.968221262556028</v>
      </c>
    </row>
    <row r="9" spans="2:12" ht="17.25" hidden="1">
      <c r="B9" s="94" t="s">
        <v>11</v>
      </c>
      <c r="C9" s="7" t="s">
        <v>12</v>
      </c>
      <c r="D9" s="5" t="s">
        <v>13</v>
      </c>
      <c r="F9" s="73" t="s">
        <v>14</v>
      </c>
      <c r="G9" s="9">
        <v>6682.4942274999994</v>
      </c>
      <c r="H9" s="9">
        <v>9355.4919184999962</v>
      </c>
      <c r="I9" s="9">
        <v>8353.1177843749974</v>
      </c>
      <c r="J9" s="60" t="s">
        <v>15</v>
      </c>
    </row>
    <row r="10" spans="2:12" hidden="1">
      <c r="B10" s="94" t="s">
        <v>16</v>
      </c>
      <c r="C10" s="5">
        <v>5</v>
      </c>
      <c r="D10" s="5" t="s">
        <v>17</v>
      </c>
    </row>
    <row r="11" spans="2:12" hidden="1">
      <c r="B11" s="94" t="s">
        <v>18</v>
      </c>
      <c r="C11" s="5">
        <v>2</v>
      </c>
      <c r="D11" s="5" t="s">
        <v>19</v>
      </c>
    </row>
    <row r="12" spans="2:12" ht="17.25" hidden="1">
      <c r="B12" s="94" t="s">
        <v>20</v>
      </c>
      <c r="C12" s="5">
        <v>5</v>
      </c>
      <c r="D12" s="5" t="s">
        <v>21</v>
      </c>
    </row>
    <row r="13" spans="2:12" ht="17.25" hidden="1">
      <c r="B13" s="94" t="s">
        <v>22</v>
      </c>
      <c r="C13" s="5">
        <v>37.770000000000003</v>
      </c>
      <c r="D13" s="5" t="s">
        <v>23</v>
      </c>
    </row>
    <row r="14" spans="2:12" hidden="1">
      <c r="B14" s="94" t="s">
        <v>24</v>
      </c>
      <c r="C14" s="5">
        <v>50</v>
      </c>
      <c r="D14" s="5" t="s">
        <v>17</v>
      </c>
    </row>
    <row r="15" spans="2:12" ht="17.25" hidden="1" customHeight="1">
      <c r="B15" s="94" t="s">
        <v>25</v>
      </c>
      <c r="C15" s="5">
        <v>3</v>
      </c>
      <c r="D15" s="5" t="s">
        <v>26</v>
      </c>
    </row>
    <row r="16" spans="2:12" hidden="1"/>
    <row r="17" spans="2:27" hidden="1"/>
    <row r="18" spans="2:27" hidden="1"/>
    <row r="19" spans="2:27" hidden="1"/>
    <row r="20" spans="2:27" hidden="1"/>
    <row r="21" spans="2:27" hidden="1">
      <c r="P21" s="74" t="s">
        <v>1</v>
      </c>
      <c r="Q21" s="74" t="s">
        <v>2</v>
      </c>
      <c r="R21" s="74" t="s">
        <v>3</v>
      </c>
      <c r="S21" s="74" t="s">
        <v>1</v>
      </c>
      <c r="X21" s="74" t="s">
        <v>1</v>
      </c>
      <c r="Y21" s="74" t="s">
        <v>2</v>
      </c>
      <c r="Z21" s="74" t="s">
        <v>3</v>
      </c>
      <c r="AA21" s="74" t="s">
        <v>1</v>
      </c>
    </row>
    <row r="22" spans="2:27" ht="17.25" hidden="1">
      <c r="B22" s="255" t="s">
        <v>27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O22" s="73" t="s">
        <v>28</v>
      </c>
      <c r="P22" s="21">
        <f>G8</f>
        <v>84.27511145393602</v>
      </c>
      <c r="Q22" s="21">
        <f>H8</f>
        <v>69.546096241813828</v>
      </c>
      <c r="R22" s="21">
        <f>I8</f>
        <v>73.968221262556028</v>
      </c>
      <c r="S22" s="21">
        <f>P22</f>
        <v>84.27511145393602</v>
      </c>
      <c r="W22" s="73" t="s">
        <v>28</v>
      </c>
      <c r="X22" s="9">
        <f>G9</f>
        <v>6682.4942274999994</v>
      </c>
      <c r="Y22" s="9">
        <f t="shared" ref="Y22:Z22" si="0">H9</f>
        <v>9355.4919184999962</v>
      </c>
      <c r="Z22" s="9">
        <f t="shared" si="0"/>
        <v>8353.1177843749974</v>
      </c>
      <c r="AA22" s="9">
        <f>X22</f>
        <v>6682.4942274999994</v>
      </c>
    </row>
    <row r="23" spans="2:27" hidden="1">
      <c r="O23" s="73" t="s">
        <v>22</v>
      </c>
      <c r="P23" s="21">
        <f>G28</f>
        <v>101.4742749981922</v>
      </c>
      <c r="Q23" s="21">
        <f>H28</f>
        <v>64.652997801804034</v>
      </c>
      <c r="R23" s="21">
        <f>I28</f>
        <v>73.968221262556028</v>
      </c>
      <c r="S23" s="21">
        <f>P23</f>
        <v>101.4742749981922</v>
      </c>
      <c r="W23" s="73" t="s">
        <v>22</v>
      </c>
      <c r="X23" s="9">
        <f>G29</f>
        <v>4176.5588921874942</v>
      </c>
      <c r="Y23" s="9">
        <f t="shared" ref="Y23:Z23" si="1">H29</f>
        <v>12529.676676562482</v>
      </c>
      <c r="Z23" s="9">
        <f t="shared" si="1"/>
        <v>8353.1177843749974</v>
      </c>
      <c r="AA23" s="9">
        <f t="shared" ref="AA23:AA26" si="2">X23</f>
        <v>4176.5588921874942</v>
      </c>
    </row>
    <row r="24" spans="2:27" hidden="1">
      <c r="B24" s="153" t="s">
        <v>1</v>
      </c>
      <c r="C24" s="153" t="s">
        <v>2</v>
      </c>
      <c r="D24" s="153" t="s">
        <v>3</v>
      </c>
      <c r="G24" s="152" t="s">
        <v>1</v>
      </c>
      <c r="H24" s="152" t="s">
        <v>2</v>
      </c>
      <c r="I24" s="152" t="s">
        <v>3</v>
      </c>
      <c r="O24" s="73" t="s">
        <v>29</v>
      </c>
      <c r="P24" s="21">
        <f>G48</f>
        <v>74.103865812441285</v>
      </c>
      <c r="Q24" s="21">
        <f>H48</f>
        <v>73.832576712670786</v>
      </c>
      <c r="R24" s="21">
        <f>I48</f>
        <v>73.968221262556028</v>
      </c>
      <c r="S24" s="21">
        <f>P24</f>
        <v>74.103865812441285</v>
      </c>
      <c r="W24" s="73" t="s">
        <v>29</v>
      </c>
      <c r="X24" s="9">
        <f>G49</f>
        <v>8353.1177843749883</v>
      </c>
      <c r="Y24" s="9">
        <f t="shared" ref="Y24:Z24" si="3">H49</f>
        <v>8353.1177843749883</v>
      </c>
      <c r="Z24" s="9">
        <f t="shared" si="3"/>
        <v>8353.1177843749974</v>
      </c>
      <c r="AA24" s="9">
        <f t="shared" si="2"/>
        <v>8353.1177843749883</v>
      </c>
    </row>
    <row r="25" spans="2:27" hidden="1">
      <c r="B25" s="9">
        <f>D25/D26</f>
        <v>18.884657534246575</v>
      </c>
      <c r="C25" s="9">
        <f>B25*C26</f>
        <v>56.653972602739728</v>
      </c>
      <c r="D25" s="9">
        <v>37.76931506849315</v>
      </c>
      <c r="F25" s="73" t="s">
        <v>30</v>
      </c>
      <c r="G25" s="21">
        <v>859181.75726686977</v>
      </c>
      <c r="H25" s="21">
        <v>1256326.5468952567</v>
      </c>
      <c r="I25" s="21">
        <f>I5</f>
        <v>1063996.4699984812</v>
      </c>
      <c r="O25" s="73" t="s">
        <v>25</v>
      </c>
      <c r="P25" s="21">
        <f>G68</f>
        <v>64.109075275693016</v>
      </c>
      <c r="Q25" s="21">
        <f>H68</f>
        <v>88.674059599216164</v>
      </c>
      <c r="R25" s="21">
        <f>I68</f>
        <v>73.968221262556028</v>
      </c>
      <c r="S25" s="21">
        <f>P25</f>
        <v>64.109075275693016</v>
      </c>
      <c r="W25" s="73" t="s">
        <v>25</v>
      </c>
      <c r="X25" s="9">
        <f>G69</f>
        <v>10023.741341249986</v>
      </c>
      <c r="Y25" s="9">
        <f t="shared" ref="Y25:Z25" si="4">H69</f>
        <v>6682.4942274999885</v>
      </c>
      <c r="Z25" s="9">
        <f t="shared" si="4"/>
        <v>8353.1177843749974</v>
      </c>
      <c r="AA25" s="9">
        <f t="shared" si="2"/>
        <v>10023.741341249986</v>
      </c>
    </row>
    <row r="26" spans="2:27" hidden="1">
      <c r="B26" s="2">
        <v>1</v>
      </c>
      <c r="C26" s="2">
        <v>3</v>
      </c>
      <c r="D26" s="2">
        <v>2</v>
      </c>
      <c r="F26" s="73" t="s">
        <v>5</v>
      </c>
      <c r="G26" s="21">
        <v>312545.31727905862</v>
      </c>
      <c r="H26" s="21">
        <v>647381.12315361924</v>
      </c>
      <c r="I26" s="21">
        <f t="shared" ref="I26:I29" si="5">I6</f>
        <v>480072.85389494139</v>
      </c>
      <c r="O26" s="73" t="s">
        <v>31</v>
      </c>
      <c r="P26" s="21">
        <f>G88</f>
        <v>65.977059394018937</v>
      </c>
      <c r="Q26" s="21">
        <f>H88</f>
        <v>86.98535931892873</v>
      </c>
      <c r="R26" s="21">
        <f>I88</f>
        <v>73.968221262556028</v>
      </c>
      <c r="S26" s="21">
        <f>P26</f>
        <v>65.977059394018937</v>
      </c>
      <c r="W26" s="73" t="s">
        <v>31</v>
      </c>
      <c r="X26" s="9">
        <f>G89</f>
        <v>10357.866052624984</v>
      </c>
      <c r="Y26" s="9">
        <f t="shared" ref="Y26:Z26" si="6">H89</f>
        <v>6348.3695161249907</v>
      </c>
      <c r="Z26" s="9">
        <f t="shared" si="6"/>
        <v>8353.1177843749974</v>
      </c>
      <c r="AA26" s="9">
        <f t="shared" si="2"/>
        <v>10357.866052624984</v>
      </c>
    </row>
    <row r="27" spans="2:27" hidden="1">
      <c r="F27" s="73" t="s">
        <v>7</v>
      </c>
      <c r="G27" s="21">
        <v>423813.28557197878</v>
      </c>
      <c r="H27" s="21">
        <v>810081.15862710937</v>
      </c>
      <c r="I27" s="21">
        <f t="shared" si="5"/>
        <v>617865.26450684096</v>
      </c>
    </row>
    <row r="28" spans="2:27" ht="17.25" hidden="1">
      <c r="B28" s="251" t="s">
        <v>6</v>
      </c>
      <c r="C28" s="252"/>
      <c r="D28" s="252"/>
      <c r="F28" s="73" t="s">
        <v>10</v>
      </c>
      <c r="G28" s="21">
        <v>101.4742749981922</v>
      </c>
      <c r="H28" s="21">
        <v>64.652997801804034</v>
      </c>
      <c r="I28" s="21">
        <f t="shared" si="5"/>
        <v>73.968221262556028</v>
      </c>
      <c r="O28" s="256" t="s">
        <v>32</v>
      </c>
      <c r="P28" s="256"/>
      <c r="Q28" s="256"/>
      <c r="R28" s="256"/>
      <c r="S28" s="256"/>
      <c r="T28" s="256"/>
    </row>
    <row r="29" spans="2:27" ht="17.25" hidden="1">
      <c r="B29" s="94" t="s">
        <v>8</v>
      </c>
      <c r="C29" s="5">
        <v>0.25</v>
      </c>
      <c r="D29" s="5" t="s">
        <v>9</v>
      </c>
      <c r="F29" s="73" t="s">
        <v>14</v>
      </c>
      <c r="G29" s="7">
        <v>4176.5588921874942</v>
      </c>
      <c r="H29" s="7">
        <v>12529.676676562482</v>
      </c>
      <c r="I29" s="21">
        <f t="shared" si="5"/>
        <v>8353.1177843749974</v>
      </c>
      <c r="J29" s="60" t="s">
        <v>15</v>
      </c>
    </row>
    <row r="30" spans="2:27" ht="17.25" hidden="1">
      <c r="B30" s="94" t="s">
        <v>11</v>
      </c>
      <c r="C30" s="7" t="s">
        <v>12</v>
      </c>
      <c r="D30" s="5" t="s">
        <v>33</v>
      </c>
      <c r="O30" s="89" t="s">
        <v>28</v>
      </c>
      <c r="P30" s="2">
        <v>3</v>
      </c>
      <c r="Q30" s="2" t="s">
        <v>34</v>
      </c>
      <c r="S30" s="89" t="s">
        <v>30</v>
      </c>
      <c r="T30" s="21">
        <v>851989.59802672314</v>
      </c>
    </row>
    <row r="31" spans="2:27" ht="17.25" hidden="1">
      <c r="B31" s="94" t="s">
        <v>16</v>
      </c>
      <c r="C31" s="5">
        <v>5</v>
      </c>
      <c r="D31" s="5" t="s">
        <v>17</v>
      </c>
      <c r="O31" s="89" t="s">
        <v>22</v>
      </c>
      <c r="P31" s="9">
        <f>B25</f>
        <v>18.884657534246575</v>
      </c>
      <c r="Q31" s="5" t="s">
        <v>23</v>
      </c>
      <c r="S31" s="89" t="s">
        <v>5</v>
      </c>
      <c r="T31" s="21">
        <v>207560.25547683969</v>
      </c>
    </row>
    <row r="32" spans="2:27" hidden="1">
      <c r="B32" s="94" t="s">
        <v>18</v>
      </c>
      <c r="C32" s="5">
        <v>2</v>
      </c>
      <c r="D32" s="5" t="s">
        <v>19</v>
      </c>
      <c r="O32" s="89" t="s">
        <v>29</v>
      </c>
      <c r="P32" s="2">
        <v>30</v>
      </c>
      <c r="Q32" s="2" t="s">
        <v>17</v>
      </c>
      <c r="S32" s="89" t="s">
        <v>7</v>
      </c>
      <c r="T32" s="21">
        <v>317896.80624428077</v>
      </c>
    </row>
    <row r="33" spans="2:20" ht="17.25" hidden="1">
      <c r="B33" s="94" t="s">
        <v>20</v>
      </c>
      <c r="C33" s="5">
        <v>5</v>
      </c>
      <c r="D33" s="5" t="s">
        <v>21</v>
      </c>
      <c r="O33" s="89" t="s">
        <v>25</v>
      </c>
      <c r="P33" s="2">
        <v>4</v>
      </c>
      <c r="Q33" s="5" t="s">
        <v>26</v>
      </c>
      <c r="S33" s="153" t="s">
        <v>35</v>
      </c>
      <c r="T33" s="162">
        <v>713.57369439107697</v>
      </c>
    </row>
    <row r="34" spans="2:20" ht="17.25" hidden="1">
      <c r="B34" s="94" t="s">
        <v>36</v>
      </c>
      <c r="C34" s="5">
        <v>4</v>
      </c>
      <c r="D34" s="5" t="s">
        <v>34</v>
      </c>
      <c r="O34" s="89" t="s">
        <v>31</v>
      </c>
      <c r="P34" s="2">
        <v>7</v>
      </c>
      <c r="Q34" s="106" t="s">
        <v>21</v>
      </c>
      <c r="S34" s="89" t="s">
        <v>14</v>
      </c>
      <c r="T34" s="9">
        <v>445.49961516666582</v>
      </c>
    </row>
    <row r="35" spans="2:20" hidden="1">
      <c r="B35" s="94" t="s">
        <v>24</v>
      </c>
      <c r="C35" s="5">
        <v>50</v>
      </c>
      <c r="D35" s="5" t="s">
        <v>17</v>
      </c>
    </row>
    <row r="36" spans="2:20" hidden="1">
      <c r="B36" s="94" t="s">
        <v>25</v>
      </c>
      <c r="C36" s="5">
        <v>3</v>
      </c>
      <c r="D36" s="5" t="s">
        <v>26</v>
      </c>
    </row>
    <row r="37" spans="2:20" hidden="1"/>
    <row r="38" spans="2:20" hidden="1">
      <c r="O38" s="257" t="s">
        <v>37</v>
      </c>
      <c r="P38" s="257"/>
      <c r="Q38" s="257"/>
      <c r="R38" s="257"/>
      <c r="S38" s="257"/>
      <c r="T38" s="257"/>
    </row>
    <row r="39" spans="2:20" hidden="1"/>
    <row r="40" spans="2:20" hidden="1">
      <c r="O40" s="163" t="s">
        <v>28</v>
      </c>
      <c r="P40" s="63">
        <v>5</v>
      </c>
      <c r="Q40" s="2" t="s">
        <v>34</v>
      </c>
      <c r="S40" s="163" t="s">
        <v>30</v>
      </c>
      <c r="T40" s="21">
        <v>1248985.5782983336</v>
      </c>
    </row>
    <row r="41" spans="2:20" ht="17.25" hidden="1">
      <c r="C41" s="100"/>
      <c r="O41" s="163" t="s">
        <v>22</v>
      </c>
      <c r="P41" s="9">
        <f>C25</f>
        <v>56.653972602739728</v>
      </c>
      <c r="Q41" s="5" t="s">
        <v>23</v>
      </c>
      <c r="S41" s="163" t="s">
        <v>5</v>
      </c>
      <c r="T41" s="21">
        <v>771836.66191903816</v>
      </c>
    </row>
    <row r="42" spans="2:20" hidden="1">
      <c r="B42" s="255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O42" s="163" t="s">
        <v>29</v>
      </c>
      <c r="P42" s="2">
        <v>70</v>
      </c>
      <c r="Q42" s="2" t="s">
        <v>17</v>
      </c>
      <c r="S42" s="163" t="s">
        <v>7</v>
      </c>
      <c r="T42" s="21">
        <v>933586.00837454898</v>
      </c>
    </row>
    <row r="43" spans="2:20" ht="17.25" hidden="1">
      <c r="O43" s="163" t="s">
        <v>25</v>
      </c>
      <c r="P43" s="2">
        <v>2</v>
      </c>
      <c r="Q43" s="5" t="s">
        <v>26</v>
      </c>
      <c r="S43" s="164" t="s">
        <v>35</v>
      </c>
      <c r="T43" s="162">
        <v>52.919022709060584</v>
      </c>
    </row>
    <row r="44" spans="2:20" ht="17.25" hidden="1">
      <c r="B44" s="153" t="s">
        <v>1</v>
      </c>
      <c r="C44" s="153" t="s">
        <v>2</v>
      </c>
      <c r="D44" s="153" t="s">
        <v>3</v>
      </c>
      <c r="G44" s="152" t="s">
        <v>1</v>
      </c>
      <c r="H44" s="152" t="s">
        <v>2</v>
      </c>
      <c r="I44" s="152" t="s">
        <v>3</v>
      </c>
      <c r="O44" s="163" t="s">
        <v>31</v>
      </c>
      <c r="P44" s="2">
        <v>3</v>
      </c>
      <c r="Q44" s="106" t="s">
        <v>21</v>
      </c>
      <c r="S44" s="163" t="s">
        <v>14</v>
      </c>
      <c r="T44" s="9">
        <v>17641.784760599974</v>
      </c>
    </row>
    <row r="45" spans="2:20" hidden="1">
      <c r="B45" s="9">
        <v>30</v>
      </c>
      <c r="C45" s="9">
        <v>70</v>
      </c>
      <c r="D45" s="9">
        <v>50</v>
      </c>
      <c r="F45" s="73" t="s">
        <v>30</v>
      </c>
      <c r="G45" s="21">
        <v>1063996.4699984812</v>
      </c>
      <c r="H45" s="21">
        <v>1063996.4699984812</v>
      </c>
      <c r="I45" s="21">
        <f>I5</f>
        <v>1063996.4699984812</v>
      </c>
      <c r="T45" s="93"/>
    </row>
    <row r="46" spans="2:20" hidden="1">
      <c r="F46" s="73" t="s">
        <v>5</v>
      </c>
      <c r="G46" s="21">
        <v>481205.9087969414</v>
      </c>
      <c r="H46" s="21">
        <v>478939.79899294139</v>
      </c>
      <c r="I46" s="21">
        <f t="shared" ref="I46:I49" si="7">I6</f>
        <v>480072.85389494139</v>
      </c>
    </row>
    <row r="47" spans="2:20" hidden="1">
      <c r="B47" s="251" t="s">
        <v>6</v>
      </c>
      <c r="C47" s="252"/>
      <c r="D47" s="252"/>
      <c r="F47" s="73" t="s">
        <v>7</v>
      </c>
      <c r="G47" s="21">
        <v>618998.31940884097</v>
      </c>
      <c r="H47" s="21">
        <v>616732.20960484096</v>
      </c>
      <c r="I47" s="21">
        <f t="shared" si="7"/>
        <v>617865.26450684096</v>
      </c>
    </row>
    <row r="48" spans="2:20" ht="17.25" hidden="1">
      <c r="B48" s="94" t="s">
        <v>8</v>
      </c>
      <c r="C48" s="5">
        <v>0.25</v>
      </c>
      <c r="D48" s="5" t="s">
        <v>9</v>
      </c>
      <c r="F48" s="73" t="s">
        <v>10</v>
      </c>
      <c r="G48" s="21">
        <v>74.103865812441285</v>
      </c>
      <c r="H48" s="21">
        <v>73.832576712670786</v>
      </c>
      <c r="I48" s="21">
        <f t="shared" si="7"/>
        <v>73.968221262556028</v>
      </c>
    </row>
    <row r="49" spans="2:12" ht="17.25" hidden="1">
      <c r="B49" s="94" t="s">
        <v>11</v>
      </c>
      <c r="C49" s="7" t="s">
        <v>12</v>
      </c>
      <c r="D49" s="5" t="s">
        <v>33</v>
      </c>
      <c r="F49" s="73" t="s">
        <v>14</v>
      </c>
      <c r="G49" s="9">
        <v>8353.1177843749883</v>
      </c>
      <c r="H49" s="9">
        <v>8353.1177843749883</v>
      </c>
      <c r="I49" s="21">
        <f t="shared" si="7"/>
        <v>8353.1177843749974</v>
      </c>
      <c r="J49" s="60" t="s">
        <v>15</v>
      </c>
    </row>
    <row r="50" spans="2:12" hidden="1">
      <c r="B50" s="94" t="s">
        <v>16</v>
      </c>
      <c r="C50" s="5">
        <v>5</v>
      </c>
      <c r="D50" s="5" t="s">
        <v>17</v>
      </c>
    </row>
    <row r="51" spans="2:12" hidden="1">
      <c r="B51" s="94" t="s">
        <v>18</v>
      </c>
      <c r="C51" s="5">
        <v>2</v>
      </c>
      <c r="D51" s="5" t="s">
        <v>19</v>
      </c>
    </row>
    <row r="52" spans="2:12" ht="17.25" hidden="1">
      <c r="B52" s="94" t="s">
        <v>20</v>
      </c>
      <c r="C52" s="5">
        <v>5</v>
      </c>
      <c r="D52" s="5" t="s">
        <v>21</v>
      </c>
    </row>
    <row r="53" spans="2:12" hidden="1">
      <c r="B53" s="94" t="s">
        <v>36</v>
      </c>
      <c r="C53" s="5">
        <v>4</v>
      </c>
      <c r="D53" s="5" t="s">
        <v>34</v>
      </c>
    </row>
    <row r="54" spans="2:12" ht="17.25" hidden="1">
      <c r="B54" s="94" t="s">
        <v>22</v>
      </c>
      <c r="C54" s="5">
        <v>37.770000000000003</v>
      </c>
      <c r="D54" s="5" t="s">
        <v>23</v>
      </c>
    </row>
    <row r="55" spans="2:12" hidden="1">
      <c r="B55" s="94" t="s">
        <v>25</v>
      </c>
      <c r="C55" s="5">
        <v>3</v>
      </c>
      <c r="D55" s="5" t="s">
        <v>26</v>
      </c>
    </row>
    <row r="56" spans="2:12" hidden="1"/>
    <row r="57" spans="2:12" hidden="1"/>
    <row r="58" spans="2:12" hidden="1"/>
    <row r="59" spans="2:12" hidden="1"/>
    <row r="60" spans="2:12" hidden="1"/>
    <row r="61" spans="2:12" hidden="1"/>
    <row r="62" spans="2:12" hidden="1">
      <c r="B62" s="255" t="s">
        <v>39</v>
      </c>
      <c r="C62" s="255"/>
      <c r="D62" s="255"/>
      <c r="E62" s="255"/>
      <c r="F62" s="255"/>
      <c r="G62" s="255"/>
      <c r="H62" s="255"/>
      <c r="I62" s="255"/>
      <c r="J62" s="255"/>
      <c r="K62" s="255"/>
      <c r="L62" s="255"/>
    </row>
    <row r="63" spans="2:12" hidden="1"/>
    <row r="64" spans="2:12" hidden="1">
      <c r="B64" s="153" t="s">
        <v>1</v>
      </c>
      <c r="C64" s="153" t="s">
        <v>2</v>
      </c>
      <c r="D64" s="153" t="s">
        <v>3</v>
      </c>
      <c r="G64" s="152" t="s">
        <v>1</v>
      </c>
      <c r="H64" s="152" t="s">
        <v>2</v>
      </c>
      <c r="I64" s="152" t="s">
        <v>3</v>
      </c>
    </row>
    <row r="65" spans="2:10" hidden="1">
      <c r="B65" s="9">
        <v>2</v>
      </c>
      <c r="C65" s="9">
        <v>4</v>
      </c>
      <c r="D65" s="9">
        <v>3</v>
      </c>
      <c r="F65" s="73" t="s">
        <v>30</v>
      </c>
      <c r="G65" s="21">
        <v>1021480.7173353592</v>
      </c>
      <c r="H65" s="21">
        <v>1102746.2700790938</v>
      </c>
      <c r="I65" s="21">
        <f>I5</f>
        <v>1063996.4699984812</v>
      </c>
    </row>
    <row r="66" spans="2:10" hidden="1">
      <c r="F66" s="73" t="s">
        <v>5</v>
      </c>
      <c r="G66" s="21">
        <v>510326.36205634591</v>
      </c>
      <c r="H66" s="21">
        <v>449753.20439941628</v>
      </c>
      <c r="I66" s="21">
        <f t="shared" ref="I66:I69" si="8">I6</f>
        <v>480072.85389494139</v>
      </c>
    </row>
    <row r="67" spans="2:10" hidden="1">
      <c r="B67" s="251" t="s">
        <v>6</v>
      </c>
      <c r="C67" s="252"/>
      <c r="D67" s="252"/>
      <c r="F67" s="73" t="s">
        <v>7</v>
      </c>
      <c r="G67" s="21">
        <v>642612.78819027147</v>
      </c>
      <c r="H67" s="21">
        <v>592563.89140075201</v>
      </c>
      <c r="I67" s="21">
        <f t="shared" si="8"/>
        <v>617865.26450684096</v>
      </c>
    </row>
    <row r="68" spans="2:10" ht="17.25" hidden="1">
      <c r="B68" s="94" t="s">
        <v>8</v>
      </c>
      <c r="C68" s="5">
        <v>0.25</v>
      </c>
      <c r="D68" s="5" t="s">
        <v>9</v>
      </c>
      <c r="F68" s="73" t="s">
        <v>10</v>
      </c>
      <c r="G68" s="21">
        <v>64.109075275693016</v>
      </c>
      <c r="H68" s="21">
        <v>88.674059599216164</v>
      </c>
      <c r="I68" s="21">
        <f t="shared" si="8"/>
        <v>73.968221262556028</v>
      </c>
    </row>
    <row r="69" spans="2:10" ht="17.25" hidden="1">
      <c r="B69" s="94" t="s">
        <v>11</v>
      </c>
      <c r="C69" s="7" t="s">
        <v>12</v>
      </c>
      <c r="D69" s="5" t="s">
        <v>33</v>
      </c>
      <c r="F69" s="73" t="s">
        <v>14</v>
      </c>
      <c r="G69" s="7">
        <v>10023.741341249986</v>
      </c>
      <c r="H69" s="7">
        <v>6682.4942274999885</v>
      </c>
      <c r="I69" s="21">
        <f t="shared" si="8"/>
        <v>8353.1177843749974</v>
      </c>
      <c r="J69" s="60" t="s">
        <v>15</v>
      </c>
    </row>
    <row r="70" spans="2:10" hidden="1">
      <c r="B70" s="94" t="s">
        <v>16</v>
      </c>
      <c r="C70" s="5">
        <v>5</v>
      </c>
      <c r="D70" s="5" t="s">
        <v>17</v>
      </c>
    </row>
    <row r="71" spans="2:10" ht="17.25" hidden="1">
      <c r="B71" s="94" t="s">
        <v>18</v>
      </c>
      <c r="C71" s="5">
        <v>30</v>
      </c>
      <c r="D71" s="5" t="s">
        <v>40</v>
      </c>
    </row>
    <row r="72" spans="2:10" ht="17.25" hidden="1">
      <c r="B72" s="94" t="s">
        <v>20</v>
      </c>
      <c r="C72" s="5">
        <v>5</v>
      </c>
      <c r="D72" s="5" t="s">
        <v>21</v>
      </c>
    </row>
    <row r="73" spans="2:10" hidden="1">
      <c r="B73" s="94" t="s">
        <v>36</v>
      </c>
      <c r="C73" s="5">
        <v>4</v>
      </c>
      <c r="D73" s="5" t="s">
        <v>34</v>
      </c>
    </row>
    <row r="74" spans="2:10" ht="17.25" hidden="1">
      <c r="B74" s="94" t="s">
        <v>22</v>
      </c>
      <c r="C74" s="5">
        <v>37.770000000000003</v>
      </c>
      <c r="D74" s="5" t="s">
        <v>23</v>
      </c>
    </row>
    <row r="75" spans="2:10" hidden="1">
      <c r="B75" s="94" t="s">
        <v>41</v>
      </c>
      <c r="C75" s="5">
        <v>50</v>
      </c>
      <c r="D75" s="5" t="s">
        <v>17</v>
      </c>
    </row>
    <row r="76" spans="2:10" hidden="1"/>
    <row r="77" spans="2:10" hidden="1"/>
    <row r="78" spans="2:10" hidden="1"/>
    <row r="79" spans="2:10" hidden="1"/>
    <row r="80" spans="2:10" hidden="1"/>
    <row r="81" spans="2:12" hidden="1"/>
    <row r="82" spans="2:12" ht="17.25" hidden="1">
      <c r="B82" s="255" t="s">
        <v>42</v>
      </c>
      <c r="C82" s="255"/>
      <c r="D82" s="255"/>
      <c r="E82" s="255"/>
      <c r="F82" s="255"/>
      <c r="G82" s="255"/>
      <c r="H82" s="255"/>
      <c r="I82" s="255"/>
      <c r="J82" s="255"/>
      <c r="K82" s="255"/>
      <c r="L82" s="255"/>
    </row>
    <row r="83" spans="2:12" hidden="1"/>
    <row r="84" spans="2:12" hidden="1">
      <c r="B84" s="153" t="s">
        <v>1</v>
      </c>
      <c r="C84" s="153" t="s">
        <v>2</v>
      </c>
      <c r="D84" s="153" t="s">
        <v>3</v>
      </c>
      <c r="G84" s="152" t="s">
        <v>1</v>
      </c>
      <c r="H84" s="152" t="s">
        <v>2</v>
      </c>
      <c r="I84" s="152" t="s">
        <v>3</v>
      </c>
    </row>
    <row r="85" spans="2:12" hidden="1">
      <c r="B85" s="9">
        <v>3</v>
      </c>
      <c r="C85" s="9">
        <v>7</v>
      </c>
      <c r="D85" s="9">
        <v>5</v>
      </c>
      <c r="F85" s="73" t="s">
        <v>30</v>
      </c>
      <c r="G85" s="21">
        <v>1088548.2436755351</v>
      </c>
      <c r="H85" s="21">
        <v>1038535.0339643912</v>
      </c>
      <c r="I85" s="21">
        <f>I5</f>
        <v>1063996.4699984812</v>
      </c>
    </row>
    <row r="86" spans="2:12" hidden="1">
      <c r="F86" s="73" t="s">
        <v>5</v>
      </c>
      <c r="G86" s="21">
        <v>542409.56612273643</v>
      </c>
      <c r="H86" s="21">
        <v>417720.16528917145</v>
      </c>
      <c r="I86" s="21">
        <f t="shared" ref="I86:I89" si="9">I6</f>
        <v>480072.85389494139</v>
      </c>
    </row>
    <row r="87" spans="2:12" hidden="1">
      <c r="B87" s="251" t="s">
        <v>6</v>
      </c>
      <c r="C87" s="252"/>
      <c r="D87" s="252"/>
      <c r="F87" s="73" t="s">
        <v>7</v>
      </c>
      <c r="G87" s="21">
        <v>683381.54374933103</v>
      </c>
      <c r="H87" s="21">
        <v>552215.20344946603</v>
      </c>
      <c r="I87" s="21">
        <f t="shared" si="9"/>
        <v>617865.26450684096</v>
      </c>
    </row>
    <row r="88" spans="2:12" hidden="1">
      <c r="B88" s="94" t="s">
        <v>8</v>
      </c>
      <c r="C88" s="5">
        <v>0.25</v>
      </c>
      <c r="D88" s="5" t="s">
        <v>9</v>
      </c>
      <c r="F88" s="73" t="s">
        <v>43</v>
      </c>
      <c r="G88" s="21">
        <v>65.977059394018937</v>
      </c>
      <c r="H88" s="21">
        <v>86.98535931892873</v>
      </c>
      <c r="I88" s="21">
        <f t="shared" si="9"/>
        <v>73.968221262556028</v>
      </c>
    </row>
    <row r="89" spans="2:12" ht="17.25" hidden="1">
      <c r="B89" s="94" t="s">
        <v>11</v>
      </c>
      <c r="C89" s="7" t="s">
        <v>12</v>
      </c>
      <c r="D89" s="5" t="s">
        <v>33</v>
      </c>
      <c r="F89" s="73" t="s">
        <v>44</v>
      </c>
      <c r="G89" s="7">
        <v>10357.866052624984</v>
      </c>
      <c r="H89" s="7">
        <v>6348.3695161249907</v>
      </c>
      <c r="I89" s="21">
        <f t="shared" si="9"/>
        <v>8353.1177843749974</v>
      </c>
      <c r="J89" s="60" t="s">
        <v>15</v>
      </c>
    </row>
    <row r="90" spans="2:12" hidden="1">
      <c r="B90" s="94" t="s">
        <v>16</v>
      </c>
      <c r="C90" s="5">
        <v>5</v>
      </c>
      <c r="D90" s="5" t="s">
        <v>17</v>
      </c>
    </row>
    <row r="91" spans="2:12" ht="17.25" hidden="1">
      <c r="B91" s="94" t="s">
        <v>18</v>
      </c>
      <c r="C91" s="5">
        <v>30</v>
      </c>
      <c r="D91" s="5" t="s">
        <v>40</v>
      </c>
    </row>
    <row r="92" spans="2:12" hidden="1">
      <c r="B92" s="94" t="s">
        <v>20</v>
      </c>
      <c r="C92" s="5">
        <v>4</v>
      </c>
      <c r="D92" s="5" t="s">
        <v>34</v>
      </c>
    </row>
    <row r="93" spans="2:12" ht="17.25" hidden="1">
      <c r="B93" s="94" t="s">
        <v>36</v>
      </c>
      <c r="C93" s="5">
        <v>37.770000000000003</v>
      </c>
      <c r="D93" s="5" t="s">
        <v>23</v>
      </c>
    </row>
    <row r="94" spans="2:12" hidden="1">
      <c r="B94" s="94" t="s">
        <v>41</v>
      </c>
      <c r="C94" s="5">
        <v>50</v>
      </c>
      <c r="D94" s="5" t="s">
        <v>17</v>
      </c>
    </row>
    <row r="95" spans="2:12" hidden="1">
      <c r="B95" s="94" t="s">
        <v>25</v>
      </c>
      <c r="C95" s="5">
        <v>3</v>
      </c>
      <c r="D95" s="5" t="s">
        <v>26</v>
      </c>
    </row>
    <row r="96" spans="2:12" hidden="1"/>
    <row r="97" spans="1:19" s="253" customFormat="1">
      <c r="A97" s="253" t="s">
        <v>45</v>
      </c>
    </row>
    <row r="98" spans="1:19" s="254" customFormat="1" ht="15.75" thickBot="1"/>
    <row r="101" spans="1:19" ht="17.25">
      <c r="B101" s="250" t="s">
        <v>27</v>
      </c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Q101" s="74" t="s">
        <v>2</v>
      </c>
      <c r="R101" s="74" t="s">
        <v>3</v>
      </c>
      <c r="S101" s="74" t="s">
        <v>1</v>
      </c>
    </row>
    <row r="102" spans="1:19">
      <c r="P102" s="73" t="s">
        <v>22</v>
      </c>
      <c r="Q102" s="21">
        <f>H107</f>
        <v>0</v>
      </c>
      <c r="R102" s="21">
        <f>I107</f>
        <v>0</v>
      </c>
      <c r="S102" s="21">
        <f>G107</f>
        <v>0</v>
      </c>
    </row>
    <row r="103" spans="1:19">
      <c r="B103" s="153" t="s">
        <v>1</v>
      </c>
      <c r="C103" s="153" t="s">
        <v>2</v>
      </c>
      <c r="D103" s="153" t="s">
        <v>3</v>
      </c>
      <c r="G103" s="152" t="s">
        <v>1</v>
      </c>
      <c r="H103" s="152" t="s">
        <v>2</v>
      </c>
      <c r="I103" s="152" t="s">
        <v>3</v>
      </c>
      <c r="P103" s="73" t="s">
        <v>8</v>
      </c>
      <c r="Q103" s="21">
        <f>H123</f>
        <v>71.641689310885241</v>
      </c>
      <c r="R103" s="21">
        <f>I123</f>
        <v>65.488963502830316</v>
      </c>
      <c r="S103" s="21">
        <f>G123</f>
        <v>59.336237694775399</v>
      </c>
    </row>
    <row r="104" spans="1:19">
      <c r="B104" s="9">
        <f>D104/D105</f>
        <v>18.884657534246575</v>
      </c>
      <c r="C104" s="9">
        <f>B104*C105</f>
        <v>56.653972602739728</v>
      </c>
      <c r="D104" s="9">
        <v>37.76931506849315</v>
      </c>
      <c r="F104" s="94" t="s">
        <v>30</v>
      </c>
      <c r="G104" s="189"/>
      <c r="H104" s="189"/>
      <c r="I104" s="189"/>
      <c r="P104" s="73" t="s">
        <v>46</v>
      </c>
      <c r="Q104" s="21">
        <f>H139</f>
        <v>67.470225689351068</v>
      </c>
      <c r="R104" s="21">
        <f>I139</f>
        <v>65.488963502830316</v>
      </c>
      <c r="S104" s="21">
        <f>G155</f>
        <v>63.952249597725519</v>
      </c>
    </row>
    <row r="105" spans="1:19">
      <c r="B105" s="2">
        <v>1</v>
      </c>
      <c r="C105" s="2">
        <v>3</v>
      </c>
      <c r="D105" s="2">
        <v>2</v>
      </c>
      <c r="F105" s="94" t="s">
        <v>5</v>
      </c>
      <c r="G105" s="189"/>
      <c r="H105" s="189"/>
      <c r="I105" s="189"/>
      <c r="P105" s="73" t="s">
        <v>47</v>
      </c>
      <c r="Q105" s="21">
        <f>H155</f>
        <v>67.025677407935135</v>
      </c>
      <c r="R105" s="21">
        <f>I155</f>
        <v>65.488963502830316</v>
      </c>
      <c r="S105" s="21">
        <f>G155</f>
        <v>63.952249597725519</v>
      </c>
    </row>
    <row r="106" spans="1:19">
      <c r="F106" s="94" t="s">
        <v>7</v>
      </c>
      <c r="G106" s="189"/>
      <c r="H106" s="189"/>
      <c r="I106" s="189"/>
      <c r="P106" s="73" t="s">
        <v>48</v>
      </c>
      <c r="Q106" s="21">
        <f>H171</f>
        <v>68.106749791589479</v>
      </c>
      <c r="R106" s="21">
        <f>I171</f>
        <v>65.488963502830316</v>
      </c>
      <c r="S106" s="21">
        <f>G171</f>
        <v>62.87117721407116</v>
      </c>
    </row>
    <row r="107" spans="1:19" ht="18">
      <c r="B107" s="251" t="s">
        <v>6</v>
      </c>
      <c r="C107" s="252"/>
      <c r="D107" s="252"/>
      <c r="F107" s="94" t="s">
        <v>10</v>
      </c>
      <c r="G107" s="189"/>
      <c r="H107" s="189"/>
      <c r="I107" s="189"/>
      <c r="P107" s="73" t="s">
        <v>49</v>
      </c>
      <c r="Q107" s="21">
        <f>H187</f>
        <v>67.555636888692817</v>
      </c>
      <c r="R107" s="21">
        <f>I187</f>
        <v>65.488963502830316</v>
      </c>
      <c r="S107" s="21">
        <f>G187</f>
        <v>63.422290116967829</v>
      </c>
    </row>
    <row r="108" spans="1:19" ht="17.25">
      <c r="B108" s="94" t="s">
        <v>8</v>
      </c>
      <c r="C108" s="5">
        <v>0.25</v>
      </c>
      <c r="D108" s="5" t="s">
        <v>9</v>
      </c>
      <c r="F108" s="94" t="s">
        <v>14</v>
      </c>
      <c r="G108" s="7"/>
      <c r="H108" s="7"/>
      <c r="I108" s="7"/>
      <c r="J108" s="60" t="s">
        <v>15</v>
      </c>
    </row>
    <row r="109" spans="1:19" ht="17.25">
      <c r="B109" s="94" t="s">
        <v>11</v>
      </c>
      <c r="C109" s="7" t="s">
        <v>12</v>
      </c>
      <c r="D109" s="5" t="s">
        <v>33</v>
      </c>
    </row>
    <row r="110" spans="1:19">
      <c r="B110" s="94" t="s">
        <v>16</v>
      </c>
      <c r="C110" s="5">
        <v>5</v>
      </c>
      <c r="D110" s="5" t="s">
        <v>17</v>
      </c>
    </row>
    <row r="111" spans="1:19">
      <c r="B111" s="94" t="s">
        <v>18</v>
      </c>
      <c r="C111" s="5">
        <v>2</v>
      </c>
      <c r="D111" s="5" t="s">
        <v>19</v>
      </c>
    </row>
    <row r="112" spans="1:19" ht="17.25">
      <c r="B112" s="94" t="s">
        <v>20</v>
      </c>
      <c r="C112" s="5">
        <v>5</v>
      </c>
      <c r="D112" s="5" t="s">
        <v>21</v>
      </c>
    </row>
    <row r="113" spans="2:19">
      <c r="B113" s="94" t="s">
        <v>36</v>
      </c>
      <c r="C113" s="5">
        <v>4</v>
      </c>
      <c r="D113" s="5" t="s">
        <v>34</v>
      </c>
    </row>
    <row r="114" spans="2:19">
      <c r="B114" s="94" t="s">
        <v>24</v>
      </c>
      <c r="C114" s="5">
        <v>50</v>
      </c>
      <c r="D114" s="5" t="s">
        <v>17</v>
      </c>
    </row>
    <row r="115" spans="2:19">
      <c r="B115" s="94" t="s">
        <v>25</v>
      </c>
      <c r="C115" s="5">
        <v>3</v>
      </c>
      <c r="D115" s="5" t="s">
        <v>26</v>
      </c>
    </row>
    <row r="117" spans="2:19">
      <c r="B117" s="250" t="s">
        <v>50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</row>
    <row r="119" spans="2:19">
      <c r="B119" s="153" t="s">
        <v>1</v>
      </c>
      <c r="C119" s="153" t="s">
        <v>2</v>
      </c>
      <c r="D119" s="153" t="s">
        <v>3</v>
      </c>
      <c r="G119" s="152" t="s">
        <v>1</v>
      </c>
      <c r="H119" s="152" t="s">
        <v>2</v>
      </c>
      <c r="I119" s="152" t="s">
        <v>3</v>
      </c>
    </row>
    <row r="120" spans="2:19">
      <c r="B120" s="9">
        <v>0.1</v>
      </c>
      <c r="C120" s="9">
        <v>0.4</v>
      </c>
      <c r="D120" s="9">
        <v>0.25</v>
      </c>
      <c r="F120" s="73" t="s">
        <v>30</v>
      </c>
      <c r="G120" s="21">
        <v>1063996.4699984812</v>
      </c>
      <c r="H120" s="21">
        <v>1063996.4699984812</v>
      </c>
      <c r="I120" s="21">
        <f>'Escenario 1'!C155</f>
        <v>1063996.4699984812</v>
      </c>
    </row>
    <row r="121" spans="2:19">
      <c r="F121" s="73" t="s">
        <v>5</v>
      </c>
      <c r="G121" s="21">
        <v>350174.49876680016</v>
      </c>
      <c r="H121" s="21">
        <v>451371.56529653328</v>
      </c>
      <c r="I121" s="21">
        <f>'Escenario 1'!C156</f>
        <v>400773.03203166672</v>
      </c>
    </row>
    <row r="122" spans="2:19">
      <c r="F122" s="73" t="s">
        <v>7</v>
      </c>
      <c r="G122" s="21">
        <v>487966.90937869973</v>
      </c>
      <c r="H122" s="21">
        <v>589163.97590843285</v>
      </c>
      <c r="I122" s="21">
        <f>'Escenario 1'!C160</f>
        <v>538565.44264356629</v>
      </c>
    </row>
    <row r="123" spans="2:19" ht="17.25">
      <c r="B123" s="251" t="s">
        <v>6</v>
      </c>
      <c r="C123" s="252"/>
      <c r="D123" s="252"/>
      <c r="F123" s="73" t="s">
        <v>10</v>
      </c>
      <c r="G123" s="21">
        <v>59.336237694775399</v>
      </c>
      <c r="H123" s="21">
        <v>71.641689310885241</v>
      </c>
      <c r="I123" s="21">
        <f>'Escenario 1'!C161</f>
        <v>65.488963502830316</v>
      </c>
    </row>
    <row r="124" spans="2:19" ht="17.25">
      <c r="B124" s="94" t="s">
        <v>22</v>
      </c>
      <c r="C124" s="5">
        <v>37.770000000000003</v>
      </c>
      <c r="D124" s="5" t="s">
        <v>23</v>
      </c>
      <c r="F124" s="73" t="s">
        <v>14</v>
      </c>
      <c r="G124" s="7">
        <f>H124</f>
        <v>8223.7588417518691</v>
      </c>
      <c r="H124" s="7">
        <f>I124</f>
        <v>8223.7588417518691</v>
      </c>
      <c r="I124" s="7">
        <f>'Escenario 1'!C169</f>
        <v>8223.7588417518691</v>
      </c>
      <c r="J124" s="60" t="s">
        <v>15</v>
      </c>
    </row>
    <row r="125" spans="2:19" ht="17.25">
      <c r="B125" s="94" t="s">
        <v>11</v>
      </c>
      <c r="C125" s="7" t="s">
        <v>12</v>
      </c>
      <c r="D125" s="5" t="s">
        <v>33</v>
      </c>
    </row>
    <row r="126" spans="2:19">
      <c r="B126" s="94" t="s">
        <v>16</v>
      </c>
      <c r="C126" s="5">
        <v>5</v>
      </c>
      <c r="D126" s="5" t="s">
        <v>17</v>
      </c>
    </row>
    <row r="127" spans="2:19">
      <c r="B127" s="94" t="s">
        <v>18</v>
      </c>
      <c r="C127" s="5">
        <v>2</v>
      </c>
      <c r="D127" s="5" t="s">
        <v>19</v>
      </c>
      <c r="Q127" s="74" t="s">
        <v>2</v>
      </c>
      <c r="R127" s="74" t="s">
        <v>3</v>
      </c>
      <c r="S127" s="74" t="s">
        <v>1</v>
      </c>
    </row>
    <row r="128" spans="2:19" ht="17.25">
      <c r="B128" s="94" t="s">
        <v>20</v>
      </c>
      <c r="C128" s="5">
        <v>5</v>
      </c>
      <c r="D128" s="5" t="s">
        <v>21</v>
      </c>
      <c r="P128" s="73" t="s">
        <v>22</v>
      </c>
      <c r="Q128" s="9">
        <f>H204</f>
        <v>9040.9828244526761</v>
      </c>
      <c r="R128" s="9">
        <f>I204</f>
        <v>8223.7588417518691</v>
      </c>
      <c r="S128" s="9">
        <f>G204</f>
        <v>7403.9190744526813</v>
      </c>
    </row>
    <row r="129" spans="2:19">
      <c r="B129" s="94" t="s">
        <v>36</v>
      </c>
      <c r="C129" s="5">
        <v>4</v>
      </c>
      <c r="D129" s="5" t="s">
        <v>34</v>
      </c>
      <c r="P129" s="73" t="s">
        <v>8</v>
      </c>
      <c r="Q129" s="9">
        <f>H124</f>
        <v>8223.7588417518691</v>
      </c>
      <c r="R129" s="9">
        <f>I124</f>
        <v>8223.7588417518691</v>
      </c>
      <c r="S129" s="9">
        <f>G124</f>
        <v>8223.7588417518691</v>
      </c>
    </row>
    <row r="130" spans="2:19">
      <c r="B130" s="94" t="s">
        <v>24</v>
      </c>
      <c r="C130" s="5">
        <v>50</v>
      </c>
      <c r="D130" s="5" t="s">
        <v>17</v>
      </c>
      <c r="P130" s="73" t="s">
        <v>46</v>
      </c>
      <c r="Q130" s="9">
        <f t="shared" ref="Q130" si="10">Q129</f>
        <v>8223.7588417518691</v>
      </c>
      <c r="R130" s="9">
        <f t="shared" ref="R130:S133" si="11">R129</f>
        <v>8223.7588417518691</v>
      </c>
      <c r="S130" s="9">
        <f t="shared" si="11"/>
        <v>8223.7588417518691</v>
      </c>
    </row>
    <row r="131" spans="2:19">
      <c r="B131" s="94" t="s">
        <v>25</v>
      </c>
      <c r="C131" s="5">
        <v>3</v>
      </c>
      <c r="D131" s="5" t="s">
        <v>26</v>
      </c>
      <c r="P131" s="73" t="s">
        <v>47</v>
      </c>
      <c r="Q131" s="9">
        <f t="shared" ref="Q131" si="12">Q130</f>
        <v>8223.7588417518691</v>
      </c>
      <c r="R131" s="9">
        <f t="shared" si="11"/>
        <v>8223.7588417518691</v>
      </c>
      <c r="S131" s="9">
        <f t="shared" si="11"/>
        <v>8223.7588417518691</v>
      </c>
    </row>
    <row r="132" spans="2:19">
      <c r="P132" s="73" t="s">
        <v>48</v>
      </c>
      <c r="Q132" s="9">
        <f t="shared" ref="Q132" si="13">Q131</f>
        <v>8223.7588417518691</v>
      </c>
      <c r="R132" s="9">
        <f t="shared" si="11"/>
        <v>8223.7588417518691</v>
      </c>
      <c r="S132" s="9">
        <f t="shared" si="11"/>
        <v>8223.7588417518691</v>
      </c>
    </row>
    <row r="133" spans="2:19" ht="18">
      <c r="B133" s="250" t="s">
        <v>51</v>
      </c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P133" s="73" t="s">
        <v>49</v>
      </c>
      <c r="Q133" s="9">
        <f t="shared" ref="Q133" si="14">Q132</f>
        <v>8223.7588417518691</v>
      </c>
      <c r="R133" s="9">
        <f t="shared" si="11"/>
        <v>8223.7588417518691</v>
      </c>
      <c r="S133" s="9">
        <f t="shared" si="11"/>
        <v>8223.7588417518691</v>
      </c>
    </row>
    <row r="135" spans="2:19">
      <c r="B135" s="153" t="s">
        <v>1</v>
      </c>
      <c r="C135" s="153" t="s">
        <v>2</v>
      </c>
      <c r="D135" s="153" t="s">
        <v>3</v>
      </c>
      <c r="G135" s="152" t="s">
        <v>1</v>
      </c>
      <c r="H135" s="152" t="s">
        <v>2</v>
      </c>
      <c r="I135" s="152" t="s">
        <v>3</v>
      </c>
    </row>
    <row r="136" spans="2:19">
      <c r="B136" s="9">
        <v>0.1</v>
      </c>
      <c r="C136" s="9">
        <v>0.18</v>
      </c>
      <c r="D136" s="9">
        <v>0.14000000000000001</v>
      </c>
      <c r="F136" s="73" t="s">
        <v>30</v>
      </c>
      <c r="G136" s="21">
        <v>1063996.4699984812</v>
      </c>
      <c r="H136" s="21">
        <v>1063996.4699984812</v>
      </c>
      <c r="I136" s="21">
        <f>I120</f>
        <v>1063996.4699984812</v>
      </c>
    </row>
    <row r="137" spans="2:19">
      <c r="F137" s="73" t="s">
        <v>5</v>
      </c>
      <c r="G137" s="21">
        <v>384479.60960743809</v>
      </c>
      <c r="H137" s="21">
        <v>417066.45445589535</v>
      </c>
      <c r="I137" s="21">
        <f t="shared" ref="I137:I140" si="15">I121</f>
        <v>400773.03203166672</v>
      </c>
    </row>
    <row r="138" spans="2:19">
      <c r="F138" s="73" t="s">
        <v>7</v>
      </c>
      <c r="G138" s="21">
        <v>522272.02021933766</v>
      </c>
      <c r="H138" s="21">
        <v>554858.86506779492</v>
      </c>
      <c r="I138" s="21">
        <f t="shared" si="15"/>
        <v>538565.44264356629</v>
      </c>
    </row>
    <row r="139" spans="2:19" ht="17.25">
      <c r="B139" s="251" t="s">
        <v>6</v>
      </c>
      <c r="C139" s="252"/>
      <c r="D139" s="252"/>
      <c r="F139" s="73" t="s">
        <v>10</v>
      </c>
      <c r="G139" s="21">
        <v>63.507701316309571</v>
      </c>
      <c r="H139" s="21">
        <v>67.470225689351068</v>
      </c>
      <c r="I139" s="21">
        <f t="shared" si="15"/>
        <v>65.488963502830316</v>
      </c>
    </row>
    <row r="140" spans="2:19" ht="17.25">
      <c r="B140" s="94" t="s">
        <v>22</v>
      </c>
      <c r="C140" s="5">
        <v>37.770000000000003</v>
      </c>
      <c r="D140" s="5" t="s">
        <v>23</v>
      </c>
      <c r="F140" s="73" t="s">
        <v>14</v>
      </c>
      <c r="G140" s="7">
        <f>I124</f>
        <v>8223.7588417518691</v>
      </c>
      <c r="H140" s="7">
        <f>I124</f>
        <v>8223.7588417518691</v>
      </c>
      <c r="I140" s="7">
        <f t="shared" si="15"/>
        <v>8223.7588417518691</v>
      </c>
      <c r="J140" s="60" t="s">
        <v>15</v>
      </c>
    </row>
    <row r="141" spans="2:19" ht="17.25">
      <c r="B141" s="94" t="s">
        <v>11</v>
      </c>
      <c r="C141" s="7" t="s">
        <v>12</v>
      </c>
      <c r="D141" s="5" t="s">
        <v>33</v>
      </c>
    </row>
    <row r="142" spans="2:19">
      <c r="B142" s="94" t="s">
        <v>16</v>
      </c>
      <c r="C142" s="5">
        <v>5</v>
      </c>
      <c r="D142" s="5" t="s">
        <v>17</v>
      </c>
    </row>
    <row r="143" spans="2:19">
      <c r="B143" s="94" t="s">
        <v>18</v>
      </c>
      <c r="C143" s="5">
        <v>2</v>
      </c>
      <c r="D143" s="5" t="s">
        <v>19</v>
      </c>
    </row>
    <row r="144" spans="2:19" ht="17.25">
      <c r="B144" s="94" t="s">
        <v>20</v>
      </c>
      <c r="C144" s="5">
        <v>5</v>
      </c>
      <c r="D144" s="5" t="s">
        <v>21</v>
      </c>
    </row>
    <row r="145" spans="2:12">
      <c r="B145" s="94" t="s">
        <v>36</v>
      </c>
      <c r="C145" s="5">
        <v>4</v>
      </c>
      <c r="D145" s="5" t="s">
        <v>34</v>
      </c>
    </row>
    <row r="146" spans="2:12">
      <c r="B146" s="94" t="s">
        <v>24</v>
      </c>
      <c r="C146" s="5">
        <v>50</v>
      </c>
      <c r="D146" s="5" t="s">
        <v>17</v>
      </c>
    </row>
    <row r="147" spans="2:12">
      <c r="B147" s="94" t="s">
        <v>25</v>
      </c>
      <c r="C147" s="5">
        <v>3</v>
      </c>
      <c r="D147" s="5" t="s">
        <v>26</v>
      </c>
    </row>
    <row r="149" spans="2:12">
      <c r="B149" s="250" t="s">
        <v>52</v>
      </c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</row>
    <row r="151" spans="2:12">
      <c r="B151" s="153" t="s">
        <v>1</v>
      </c>
      <c r="C151" s="153" t="s">
        <v>2</v>
      </c>
      <c r="D151" s="153" t="s">
        <v>3</v>
      </c>
      <c r="G151" s="152" t="s">
        <v>1</v>
      </c>
      <c r="H151" s="152" t="s">
        <v>2</v>
      </c>
      <c r="I151" s="152" t="s">
        <v>3</v>
      </c>
    </row>
    <row r="152" spans="2:12">
      <c r="B152" s="9">
        <v>0.25</v>
      </c>
      <c r="C152" s="9">
        <v>0.75</v>
      </c>
      <c r="D152" s="9">
        <v>0.5</v>
      </c>
      <c r="F152" s="73" t="s">
        <v>30</v>
      </c>
      <c r="G152" s="21">
        <v>1063996.4699984812</v>
      </c>
      <c r="H152" s="21">
        <v>1063996.4699984812</v>
      </c>
      <c r="I152" s="21">
        <f>I136</f>
        <v>1063996.4699984812</v>
      </c>
    </row>
    <row r="153" spans="2:12">
      <c r="F153" s="73" t="s">
        <v>5</v>
      </c>
      <c r="G153" s="21">
        <v>388135.467467318</v>
      </c>
      <c r="H153" s="21">
        <v>413410.5965960155</v>
      </c>
      <c r="I153" s="21">
        <f t="shared" ref="I153:I156" si="16">I137</f>
        <v>400773.03203166672</v>
      </c>
    </row>
    <row r="154" spans="2:12">
      <c r="F154" s="73" t="s">
        <v>7</v>
      </c>
      <c r="G154" s="21">
        <v>525927.87807921763</v>
      </c>
      <c r="H154" s="21">
        <v>551203.00720791507</v>
      </c>
      <c r="I154" s="21">
        <f t="shared" si="16"/>
        <v>538565.44264356629</v>
      </c>
    </row>
    <row r="155" spans="2:12" ht="17.25">
      <c r="B155" s="251" t="s">
        <v>6</v>
      </c>
      <c r="C155" s="252"/>
      <c r="D155" s="252"/>
      <c r="F155" s="73" t="s">
        <v>10</v>
      </c>
      <c r="G155" s="21">
        <v>63.952249597725519</v>
      </c>
      <c r="H155" s="21">
        <v>67.025677407935135</v>
      </c>
      <c r="I155" s="21">
        <f t="shared" si="16"/>
        <v>65.488963502830316</v>
      </c>
    </row>
    <row r="156" spans="2:12" ht="17.25">
      <c r="B156" s="94" t="s">
        <v>22</v>
      </c>
      <c r="C156" s="5">
        <v>37.770000000000003</v>
      </c>
      <c r="D156" s="5" t="s">
        <v>23</v>
      </c>
      <c r="F156" s="73" t="s">
        <v>14</v>
      </c>
      <c r="G156" s="7">
        <f>I140</f>
        <v>8223.7588417518691</v>
      </c>
      <c r="H156" s="7">
        <f>I140</f>
        <v>8223.7588417518691</v>
      </c>
      <c r="I156" s="7">
        <f t="shared" si="16"/>
        <v>8223.7588417518691</v>
      </c>
      <c r="J156" s="60" t="s">
        <v>15</v>
      </c>
    </row>
    <row r="157" spans="2:12" ht="17.25">
      <c r="B157" s="94" t="s">
        <v>11</v>
      </c>
      <c r="C157" s="7" t="s">
        <v>12</v>
      </c>
      <c r="D157" s="5" t="s">
        <v>33</v>
      </c>
    </row>
    <row r="158" spans="2:12">
      <c r="B158" s="94" t="s">
        <v>16</v>
      </c>
      <c r="C158" s="5">
        <v>5</v>
      </c>
      <c r="D158" s="5" t="s">
        <v>17</v>
      </c>
    </row>
    <row r="159" spans="2:12">
      <c r="B159" s="94" t="s">
        <v>18</v>
      </c>
      <c r="C159" s="5">
        <v>2</v>
      </c>
      <c r="D159" s="5" t="s">
        <v>19</v>
      </c>
    </row>
    <row r="160" spans="2:12" ht="17.25">
      <c r="B160" s="94" t="s">
        <v>20</v>
      </c>
      <c r="C160" s="5">
        <v>5</v>
      </c>
      <c r="D160" s="5" t="s">
        <v>21</v>
      </c>
    </row>
    <row r="161" spans="2:12">
      <c r="B161" s="94" t="s">
        <v>36</v>
      </c>
      <c r="C161" s="5">
        <v>4</v>
      </c>
      <c r="D161" s="5" t="s">
        <v>34</v>
      </c>
    </row>
    <row r="162" spans="2:12">
      <c r="B162" s="94" t="s">
        <v>24</v>
      </c>
      <c r="C162" s="5">
        <v>50</v>
      </c>
      <c r="D162" s="5" t="s">
        <v>17</v>
      </c>
    </row>
    <row r="163" spans="2:12">
      <c r="B163" s="94" t="s">
        <v>25</v>
      </c>
      <c r="C163" s="5">
        <v>3</v>
      </c>
      <c r="D163" s="5" t="s">
        <v>26</v>
      </c>
    </row>
    <row r="165" spans="2:12">
      <c r="B165" s="250" t="s">
        <v>53</v>
      </c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</row>
    <row r="167" spans="2:12">
      <c r="B167" s="153" t="s">
        <v>1</v>
      </c>
      <c r="C167" s="153" t="s">
        <v>2</v>
      </c>
      <c r="D167" s="153" t="s">
        <v>3</v>
      </c>
      <c r="G167" s="152" t="s">
        <v>1</v>
      </c>
      <c r="H167" s="152" t="s">
        <v>2</v>
      </c>
      <c r="I167" s="152" t="s">
        <v>3</v>
      </c>
    </row>
    <row r="168" spans="2:12">
      <c r="B168" s="9">
        <v>5</v>
      </c>
      <c r="C168" s="9">
        <v>15</v>
      </c>
      <c r="D168" s="9">
        <v>10</v>
      </c>
      <c r="F168" s="73" t="s">
        <v>30</v>
      </c>
      <c r="G168" s="21">
        <v>1063996.4699984812</v>
      </c>
      <c r="H168" s="21">
        <v>1063996.4699984812</v>
      </c>
      <c r="I168" s="21">
        <f>I152</f>
        <v>1063996.4699984812</v>
      </c>
    </row>
    <row r="169" spans="2:12">
      <c r="F169" s="73" t="s">
        <v>5</v>
      </c>
      <c r="G169" s="21">
        <v>379244.98889366677</v>
      </c>
      <c r="H169" s="21">
        <v>422301.07516966667</v>
      </c>
      <c r="I169" s="21">
        <f t="shared" ref="I169:I172" si="17">I153</f>
        <v>400773.03203166672</v>
      </c>
    </row>
    <row r="170" spans="2:12">
      <c r="F170" s="73" t="s">
        <v>7</v>
      </c>
      <c r="G170" s="21">
        <v>517037.39950556634</v>
      </c>
      <c r="H170" s="21">
        <v>560093.48578156624</v>
      </c>
      <c r="I170" s="21">
        <f t="shared" si="17"/>
        <v>538565.44264356629</v>
      </c>
    </row>
    <row r="171" spans="2:12" ht="17.25">
      <c r="B171" s="251" t="s">
        <v>6</v>
      </c>
      <c r="C171" s="252"/>
      <c r="D171" s="252"/>
      <c r="F171" s="73" t="s">
        <v>10</v>
      </c>
      <c r="G171" s="21">
        <v>62.87117721407116</v>
      </c>
      <c r="H171" s="21">
        <v>68.106749791589479</v>
      </c>
      <c r="I171" s="21">
        <f t="shared" si="17"/>
        <v>65.488963502830316</v>
      </c>
    </row>
    <row r="172" spans="2:12" ht="17.25">
      <c r="B172" s="94" t="s">
        <v>22</v>
      </c>
      <c r="C172" s="5">
        <v>37.770000000000003</v>
      </c>
      <c r="D172" s="5" t="s">
        <v>23</v>
      </c>
      <c r="F172" s="73" t="s">
        <v>14</v>
      </c>
      <c r="G172" s="7">
        <f>I156</f>
        <v>8223.7588417518691</v>
      </c>
      <c r="H172" s="7">
        <f>I156</f>
        <v>8223.7588417518691</v>
      </c>
      <c r="I172" s="7">
        <f t="shared" si="17"/>
        <v>8223.7588417518691</v>
      </c>
      <c r="J172" s="60" t="s">
        <v>15</v>
      </c>
    </row>
    <row r="173" spans="2:12" ht="17.25">
      <c r="B173" s="94" t="s">
        <v>11</v>
      </c>
      <c r="C173" s="7" t="s">
        <v>12</v>
      </c>
      <c r="D173" s="5" t="s">
        <v>33</v>
      </c>
    </row>
    <row r="174" spans="2:12">
      <c r="B174" s="94" t="s">
        <v>16</v>
      </c>
      <c r="C174" s="5">
        <v>5</v>
      </c>
      <c r="D174" s="5" t="s">
        <v>17</v>
      </c>
    </row>
    <row r="175" spans="2:12">
      <c r="B175" s="94" t="s">
        <v>18</v>
      </c>
      <c r="C175" s="5">
        <v>2</v>
      </c>
      <c r="D175" s="5" t="s">
        <v>19</v>
      </c>
    </row>
    <row r="176" spans="2:12" ht="17.25">
      <c r="B176" s="94" t="s">
        <v>20</v>
      </c>
      <c r="C176" s="5">
        <v>5</v>
      </c>
      <c r="D176" s="5" t="s">
        <v>21</v>
      </c>
    </row>
    <row r="177" spans="2:12">
      <c r="B177" s="94" t="s">
        <v>36</v>
      </c>
      <c r="C177" s="5">
        <v>4</v>
      </c>
      <c r="D177" s="5" t="s">
        <v>34</v>
      </c>
    </row>
    <row r="178" spans="2:12">
      <c r="B178" s="94" t="s">
        <v>24</v>
      </c>
      <c r="C178" s="5">
        <v>50</v>
      </c>
      <c r="D178" s="5" t="s">
        <v>17</v>
      </c>
    </row>
    <row r="179" spans="2:12">
      <c r="B179" s="94" t="s">
        <v>25</v>
      </c>
      <c r="C179" s="5">
        <v>3</v>
      </c>
      <c r="D179" s="5" t="s">
        <v>26</v>
      </c>
    </row>
    <row r="181" spans="2:12" ht="18">
      <c r="B181" s="250" t="s">
        <v>54</v>
      </c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</row>
    <row r="183" spans="2:12">
      <c r="B183" s="153" t="s">
        <v>1</v>
      </c>
      <c r="C183" s="153" t="s">
        <v>2</v>
      </c>
      <c r="D183" s="153" t="s">
        <v>3</v>
      </c>
      <c r="G183" s="152" t="s">
        <v>1</v>
      </c>
      <c r="H183" s="152" t="s">
        <v>2</v>
      </c>
      <c r="I183" s="152" t="s">
        <v>3</v>
      </c>
    </row>
    <row r="184" spans="2:12">
      <c r="B184" s="9">
        <v>0.05</v>
      </c>
      <c r="C184" s="9">
        <v>0.15</v>
      </c>
      <c r="D184" s="9">
        <v>0.1</v>
      </c>
      <c r="F184" s="73" t="s">
        <v>30</v>
      </c>
      <c r="G184" s="21">
        <v>1063996.4699984812</v>
      </c>
      <c r="H184" s="21">
        <v>1063996.4699984812</v>
      </c>
      <c r="I184" s="21">
        <f>I168</f>
        <v>1063996.4699984812</v>
      </c>
    </row>
    <row r="185" spans="2:12">
      <c r="F185" s="73" t="s">
        <v>5</v>
      </c>
      <c r="G185" s="21">
        <v>383777.20850166678</v>
      </c>
      <c r="H185" s="21">
        <v>417768.85556166666</v>
      </c>
      <c r="I185" s="21">
        <f t="shared" ref="I185:I188" si="18">I169</f>
        <v>400773.03203166672</v>
      </c>
    </row>
    <row r="186" spans="2:12">
      <c r="F186" s="73" t="s">
        <v>7</v>
      </c>
      <c r="G186" s="21">
        <v>521569.61911356635</v>
      </c>
      <c r="H186" s="21">
        <v>555561.26617356623</v>
      </c>
      <c r="I186" s="21">
        <f t="shared" si="18"/>
        <v>538565.44264356629</v>
      </c>
    </row>
    <row r="187" spans="2:12" ht="17.25">
      <c r="B187" s="251" t="s">
        <v>6</v>
      </c>
      <c r="C187" s="252"/>
      <c r="D187" s="252"/>
      <c r="F187" s="73" t="s">
        <v>10</v>
      </c>
      <c r="G187" s="21">
        <v>63.422290116967829</v>
      </c>
      <c r="H187" s="21">
        <v>67.555636888692817</v>
      </c>
      <c r="I187" s="21">
        <f t="shared" si="18"/>
        <v>65.488963502830316</v>
      </c>
    </row>
    <row r="188" spans="2:12" ht="17.25">
      <c r="B188" s="94" t="s">
        <v>22</v>
      </c>
      <c r="C188" s="5">
        <v>37.770000000000003</v>
      </c>
      <c r="D188" s="5" t="s">
        <v>23</v>
      </c>
      <c r="F188" s="73" t="s">
        <v>14</v>
      </c>
      <c r="G188" s="7">
        <f>I172</f>
        <v>8223.7588417518691</v>
      </c>
      <c r="H188" s="7">
        <f>I172</f>
        <v>8223.7588417518691</v>
      </c>
      <c r="I188" s="7">
        <f t="shared" si="18"/>
        <v>8223.7588417518691</v>
      </c>
      <c r="J188" s="60" t="s">
        <v>15</v>
      </c>
    </row>
    <row r="189" spans="2:12" ht="17.25">
      <c r="B189" s="94" t="s">
        <v>11</v>
      </c>
      <c r="C189" s="7" t="s">
        <v>12</v>
      </c>
      <c r="D189" s="5" t="s">
        <v>33</v>
      </c>
    </row>
    <row r="190" spans="2:12">
      <c r="B190" s="94" t="s">
        <v>16</v>
      </c>
      <c r="C190" s="5">
        <v>5</v>
      </c>
      <c r="D190" s="5" t="s">
        <v>17</v>
      </c>
    </row>
    <row r="191" spans="2:12">
      <c r="B191" s="94" t="s">
        <v>18</v>
      </c>
      <c r="C191" s="5">
        <v>2</v>
      </c>
      <c r="D191" s="5" t="s">
        <v>19</v>
      </c>
    </row>
    <row r="192" spans="2:12" ht="17.25">
      <c r="B192" s="94" t="s">
        <v>20</v>
      </c>
      <c r="C192" s="5">
        <v>5</v>
      </c>
      <c r="D192" s="5" t="s">
        <v>21</v>
      </c>
    </row>
    <row r="193" spans="2:12">
      <c r="B193" s="94" t="s">
        <v>36</v>
      </c>
      <c r="C193" s="5">
        <v>4</v>
      </c>
      <c r="D193" s="5" t="s">
        <v>34</v>
      </c>
    </row>
    <row r="194" spans="2:12">
      <c r="B194" s="94" t="s">
        <v>24</v>
      </c>
      <c r="C194" s="5">
        <v>50</v>
      </c>
      <c r="D194" s="5" t="s">
        <v>17</v>
      </c>
    </row>
    <row r="195" spans="2:12">
      <c r="B195" s="94" t="s">
        <v>25</v>
      </c>
      <c r="C195" s="5">
        <v>3</v>
      </c>
      <c r="D195" s="5" t="s">
        <v>26</v>
      </c>
    </row>
    <row r="197" spans="2:12" ht="17.25">
      <c r="B197" s="250" t="s">
        <v>27</v>
      </c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</row>
    <row r="199" spans="2:12">
      <c r="B199" s="153" t="s">
        <v>1</v>
      </c>
      <c r="C199" s="153" t="s">
        <v>2</v>
      </c>
      <c r="D199" s="153" t="s">
        <v>3</v>
      </c>
      <c r="G199" s="152" t="s">
        <v>1</v>
      </c>
      <c r="H199" s="152" t="s">
        <v>2</v>
      </c>
      <c r="I199" s="152" t="s">
        <v>3</v>
      </c>
    </row>
    <row r="200" spans="2:12">
      <c r="B200" s="9">
        <f>D200*0.9</f>
        <v>33.992383561643834</v>
      </c>
      <c r="C200" s="9">
        <f>D200*1.1</f>
        <v>41.546246575342465</v>
      </c>
      <c r="D200" s="9">
        <v>37.76931506849315</v>
      </c>
      <c r="F200" s="94" t="s">
        <v>30</v>
      </c>
      <c r="G200" s="189">
        <v>1063996.4699984812</v>
      </c>
      <c r="H200" s="189">
        <v>1063996.4699984812</v>
      </c>
      <c r="I200" s="189">
        <f>I184</f>
        <v>1063996.4699984812</v>
      </c>
    </row>
    <row r="201" spans="2:12">
      <c r="B201" s="2"/>
      <c r="C201" s="2"/>
      <c r="D201" s="2"/>
      <c r="F201" s="94" t="s">
        <v>5</v>
      </c>
      <c r="G201" s="189">
        <v>377737.29521361273</v>
      </c>
      <c r="H201" s="189">
        <v>424656.96497759136</v>
      </c>
      <c r="I201" s="189">
        <f t="shared" ref="I201:I204" si="19">I185</f>
        <v>400773.03203166672</v>
      </c>
    </row>
    <row r="202" spans="2:12">
      <c r="F202" s="94" t="s">
        <v>7</v>
      </c>
      <c r="G202" s="189">
        <v>515529.7058255123</v>
      </c>
      <c r="H202" s="189">
        <v>562449.37558949098</v>
      </c>
      <c r="I202" s="189">
        <f t="shared" si="19"/>
        <v>538565.44264356629</v>
      </c>
    </row>
    <row r="203" spans="2:12" ht="17.25">
      <c r="F203" s="94" t="s">
        <v>10</v>
      </c>
      <c r="G203" s="189">
        <v>69.617002711753102</v>
      </c>
      <c r="H203" s="189">
        <v>62.202089405009914</v>
      </c>
      <c r="I203" s="189">
        <f t="shared" si="19"/>
        <v>65.488963502830316</v>
      </c>
    </row>
    <row r="204" spans="2:12" ht="17.25">
      <c r="F204" s="94" t="s">
        <v>14</v>
      </c>
      <c r="G204" s="7">
        <v>7403.9190744526813</v>
      </c>
      <c r="H204" s="7">
        <v>9040.9828244526761</v>
      </c>
      <c r="I204" s="7">
        <f t="shared" si="19"/>
        <v>8223.7588417518691</v>
      </c>
      <c r="J204" s="60" t="s">
        <v>15</v>
      </c>
    </row>
  </sheetData>
  <mergeCells count="26">
    <mergeCell ref="O28:T28"/>
    <mergeCell ref="O38:T38"/>
    <mergeCell ref="B87:D87"/>
    <mergeCell ref="B62:L62"/>
    <mergeCell ref="B47:D47"/>
    <mergeCell ref="B67:D67"/>
    <mergeCell ref="B82:L82"/>
    <mergeCell ref="B2:L2"/>
    <mergeCell ref="B22:L22"/>
    <mergeCell ref="B42:L42"/>
    <mergeCell ref="B7:D7"/>
    <mergeCell ref="B28:D28"/>
    <mergeCell ref="B101:L101"/>
    <mergeCell ref="B107:D107"/>
    <mergeCell ref="A97:XFD98"/>
    <mergeCell ref="B117:L117"/>
    <mergeCell ref="B123:D123"/>
    <mergeCell ref="B197:L197"/>
    <mergeCell ref="B171:D171"/>
    <mergeCell ref="B181:L181"/>
    <mergeCell ref="B187:D187"/>
    <mergeCell ref="B133:L133"/>
    <mergeCell ref="B139:D139"/>
    <mergeCell ref="B149:L149"/>
    <mergeCell ref="B155:D155"/>
    <mergeCell ref="B165:L165"/>
  </mergeCell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927C-B405-4C92-8C77-056206CA84D9}">
  <sheetPr codeName="Hoja10"/>
  <dimension ref="A3:AG248"/>
  <sheetViews>
    <sheetView topLeftCell="A126" zoomScale="70" zoomScaleNormal="70" workbookViewId="0">
      <selection activeCell="M147" sqref="M147"/>
    </sheetView>
  </sheetViews>
  <sheetFormatPr defaultColWidth="11.42578125" defaultRowHeight="15"/>
  <cols>
    <col min="2" max="2" width="25.42578125" customWidth="1"/>
    <col min="3" max="3" width="15.5703125" bestFit="1" customWidth="1"/>
    <col min="4" max="6" width="14.5703125" customWidth="1"/>
    <col min="7" max="7" width="14.42578125" customWidth="1"/>
    <col min="8" max="8" width="22.85546875" customWidth="1"/>
    <col min="9" max="9" width="18.5703125" customWidth="1"/>
    <col min="10" max="10" width="50.85546875" customWidth="1"/>
    <col min="11" max="11" width="15.42578125" customWidth="1"/>
    <col min="12" max="12" width="18.5703125" customWidth="1"/>
    <col min="13" max="13" width="16.5703125" bestFit="1" customWidth="1"/>
    <col min="14" max="14" width="18.7109375" bestFit="1" customWidth="1"/>
    <col min="15" max="15" width="18" bestFit="1" customWidth="1"/>
    <col min="16" max="16" width="17" customWidth="1"/>
    <col min="17" max="17" width="15" bestFit="1" customWidth="1"/>
    <col min="18" max="18" width="15" customWidth="1"/>
    <col min="19" max="19" width="16" bestFit="1" customWidth="1"/>
    <col min="20" max="20" width="20.5703125" bestFit="1" customWidth="1"/>
    <col min="21" max="21" width="20.85546875" bestFit="1" customWidth="1"/>
    <col min="22" max="22" width="15.5703125" bestFit="1" customWidth="1"/>
    <col min="24" max="24" width="18.5703125" bestFit="1" customWidth="1"/>
    <col min="29" max="29" width="16.7109375" bestFit="1" customWidth="1"/>
    <col min="30" max="30" width="25.85546875" bestFit="1" customWidth="1"/>
  </cols>
  <sheetData>
    <row r="3" spans="11:33" ht="20.25" thickBot="1">
      <c r="U3" s="317" t="s">
        <v>585</v>
      </c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</row>
    <row r="4" spans="11:33" ht="15.75" thickTop="1"/>
    <row r="5" spans="11:33">
      <c r="N5" s="298" t="s">
        <v>240</v>
      </c>
      <c r="O5" s="298"/>
      <c r="V5" s="314" t="s">
        <v>586</v>
      </c>
      <c r="W5" s="314"/>
      <c r="X5" s="314"/>
      <c r="Y5" s="314" t="s">
        <v>587</v>
      </c>
      <c r="Z5" s="314"/>
      <c r="AA5" s="314"/>
      <c r="AB5" s="314" t="s">
        <v>588</v>
      </c>
      <c r="AC5" s="314"/>
      <c r="AD5" s="314"/>
      <c r="AF5" s="161">
        <f>(Y8/V8)</f>
        <v>0.94078866880974465</v>
      </c>
    </row>
    <row r="6" spans="11:33">
      <c r="K6" s="75"/>
      <c r="N6" s="55" t="s">
        <v>241</v>
      </c>
      <c r="O6" s="2">
        <v>71.7</v>
      </c>
      <c r="V6" s="120" t="s">
        <v>274</v>
      </c>
      <c r="W6" s="120" t="s">
        <v>589</v>
      </c>
      <c r="X6" s="120" t="s">
        <v>590</v>
      </c>
      <c r="Y6" s="120" t="s">
        <v>274</v>
      </c>
      <c r="Z6" s="120" t="s">
        <v>589</v>
      </c>
      <c r="AA6" s="120" t="s">
        <v>591</v>
      </c>
      <c r="AB6" s="120" t="s">
        <v>274</v>
      </c>
      <c r="AC6" s="120" t="s">
        <v>589</v>
      </c>
      <c r="AD6" s="120" t="s">
        <v>592</v>
      </c>
    </row>
    <row r="7" spans="11:33">
      <c r="N7" s="55" t="s">
        <v>242</v>
      </c>
      <c r="O7" s="2">
        <v>42.3</v>
      </c>
      <c r="T7" s="161">
        <f>(Y7/V7)</f>
        <v>0.80702719369853249</v>
      </c>
      <c r="U7" s="119" t="s">
        <v>277</v>
      </c>
      <c r="V7" s="9">
        <f>P30</f>
        <v>9636.5962065620279</v>
      </c>
      <c r="W7" s="9">
        <f>V7/18</f>
        <v>535.36645592011268</v>
      </c>
      <c r="X7" s="9">
        <f>W7/W9</f>
        <v>0.85819793205317574</v>
      </c>
      <c r="Y7" s="9">
        <f>Z7*18</f>
        <v>7776.9951933876773</v>
      </c>
      <c r="Z7" s="9">
        <f>$Z$9*AA7</f>
        <v>432.05528852153765</v>
      </c>
      <c r="AA7" s="9">
        <f>AD7*AD18</f>
        <v>0.83849077973704578</v>
      </c>
      <c r="AB7" s="9">
        <f>AC7*18</f>
        <v>1859.6010131743501</v>
      </c>
      <c r="AC7" s="9">
        <f>$AC$9*AD7</f>
        <v>103.31116739857501</v>
      </c>
      <c r="AD7" s="9">
        <f>X7/(1+$Y$17*(AD18-1))</f>
        <v>0.95174692594218169</v>
      </c>
    </row>
    <row r="8" spans="11:33">
      <c r="N8" s="55" t="s">
        <v>243</v>
      </c>
      <c r="O8" s="2">
        <v>33.4</v>
      </c>
      <c r="S8" s="114"/>
      <c r="T8" s="161">
        <f t="shared" ref="T8:T9" si="0">(Y8/V8)</f>
        <v>0.94078866880974465</v>
      </c>
      <c r="U8" s="119" t="s">
        <v>593</v>
      </c>
      <c r="V8" s="9">
        <f>P31</f>
        <v>5139.5179768330809</v>
      </c>
      <c r="W8" s="9">
        <f>V8/58.1</f>
        <v>88.459861907626177</v>
      </c>
      <c r="X8" s="9">
        <f>W8/W9</f>
        <v>0.14180206794682421</v>
      </c>
      <c r="Y8" s="9">
        <f>Z8*58.1</f>
        <v>4835.2002757485461</v>
      </c>
      <c r="Z8" s="9">
        <f>$Z$9*AA8</f>
        <v>83.22203572716947</v>
      </c>
      <c r="AA8" s="9">
        <f>AD8*AD19</f>
        <v>0.16150921301522289</v>
      </c>
      <c r="AB8" s="9">
        <f>AC8*58.1</f>
        <v>304.31770108453622</v>
      </c>
      <c r="AC8" s="9">
        <f>$AC$9*AD8</f>
        <v>5.2378261804567332</v>
      </c>
      <c r="AD8" s="9">
        <f>X8/(1+$Y$17*(AD19-1))</f>
        <v>4.8253108462482978E-2</v>
      </c>
    </row>
    <row r="9" spans="11:33">
      <c r="S9" s="114"/>
      <c r="T9" s="161">
        <f t="shared" si="0"/>
        <v>0.8423416335742917</v>
      </c>
      <c r="U9" s="119" t="s">
        <v>125</v>
      </c>
      <c r="V9" s="9">
        <f>P29</f>
        <v>14972.779412100457</v>
      </c>
      <c r="W9" s="9">
        <f>W7+W8</f>
        <v>623.82631782773888</v>
      </c>
      <c r="X9" s="9">
        <f>X7+X8</f>
        <v>1</v>
      </c>
      <c r="Y9" s="9">
        <f>Y7+Y8</f>
        <v>12612.195469136223</v>
      </c>
      <c r="Z9" s="9">
        <f>W9*Y17</f>
        <v>515.27732798329873</v>
      </c>
      <c r="AA9" s="9">
        <f>SUM(AA7:AA8)</f>
        <v>0.9999999927522687</v>
      </c>
      <c r="AB9" s="9">
        <f>AB7+AB8</f>
        <v>2163.9187142588862</v>
      </c>
      <c r="AC9" s="9">
        <f>W9-Z9</f>
        <v>108.54898984444014</v>
      </c>
      <c r="AD9" s="9">
        <f>AD7+AD8</f>
        <v>1.0000000344046647</v>
      </c>
    </row>
    <row r="10" spans="11:33">
      <c r="N10" s="298" t="s">
        <v>594</v>
      </c>
      <c r="O10" s="298"/>
      <c r="S10" s="114"/>
      <c r="T10" s="115"/>
    </row>
    <row r="11" spans="11:33">
      <c r="N11" s="55" t="s">
        <v>241</v>
      </c>
      <c r="O11" s="2">
        <v>50</v>
      </c>
      <c r="Y11" s="8"/>
      <c r="AB11" s="314" t="s">
        <v>595</v>
      </c>
      <c r="AC11" s="314"/>
      <c r="AD11" s="314"/>
      <c r="AG11" s="113" t="s">
        <v>596</v>
      </c>
    </row>
    <row r="12" spans="11:33">
      <c r="N12" s="55" t="s">
        <v>242</v>
      </c>
      <c r="O12" s="2">
        <v>50</v>
      </c>
      <c r="AB12" s="120" t="s">
        <v>597</v>
      </c>
      <c r="AC12" s="120" t="s">
        <v>469</v>
      </c>
      <c r="AD12" s="120" t="s">
        <v>270</v>
      </c>
      <c r="AG12" s="2" t="s">
        <v>598</v>
      </c>
    </row>
    <row r="13" spans="11:33">
      <c r="N13" s="55" t="s">
        <v>243</v>
      </c>
      <c r="O13" s="2">
        <v>50</v>
      </c>
      <c r="AA13" s="121" t="s">
        <v>277</v>
      </c>
      <c r="AB13" s="2">
        <v>8.0713000000000008</v>
      </c>
      <c r="AC13" s="2">
        <v>1730.63</v>
      </c>
      <c r="AD13" s="2">
        <v>233.42599999999999</v>
      </c>
      <c r="AF13" s="121" t="s">
        <v>277</v>
      </c>
      <c r="AG13" s="117">
        <f>X7*(1-AD18)/(1+$Y$17*(AD18-1))</f>
        <v>0.11325614620513588</v>
      </c>
    </row>
    <row r="14" spans="11:33">
      <c r="N14" s="55" t="s">
        <v>599</v>
      </c>
      <c r="O14" s="2">
        <v>10</v>
      </c>
      <c r="P14" s="60" t="s">
        <v>600</v>
      </c>
      <c r="S14" s="8"/>
      <c r="X14" s="122" t="s">
        <v>548</v>
      </c>
      <c r="Y14" s="122" t="s">
        <v>601</v>
      </c>
      <c r="AA14" s="121" t="s">
        <v>593</v>
      </c>
      <c r="AB14" s="2">
        <v>7.1170999999999998</v>
      </c>
      <c r="AC14" s="2">
        <v>1210.595</v>
      </c>
      <c r="AD14" s="2">
        <v>229.66399999999999</v>
      </c>
      <c r="AF14" s="121" t="s">
        <v>593</v>
      </c>
      <c r="AG14" s="117">
        <f>X8*(1-AD19)/(1+$Y$17*(AD19-1))</f>
        <v>-0.11325610455273989</v>
      </c>
    </row>
    <row r="15" spans="11:33">
      <c r="X15" s="2">
        <v>96.5</v>
      </c>
      <c r="Y15" s="2">
        <v>1</v>
      </c>
      <c r="AG15" s="118">
        <f>SUM(AG13:AG14)</f>
        <v>4.1652395990632307E-8</v>
      </c>
    </row>
    <row r="16" spans="11:33">
      <c r="AB16" s="314" t="s">
        <v>602</v>
      </c>
      <c r="AC16" s="314"/>
      <c r="AD16" s="314"/>
    </row>
    <row r="17" spans="2:30">
      <c r="X17" s="73" t="s">
        <v>603</v>
      </c>
      <c r="Y17" s="9">
        <v>0.82599485346750878</v>
      </c>
      <c r="AB17" s="120" t="s">
        <v>604</v>
      </c>
      <c r="AC17" s="120" t="s">
        <v>605</v>
      </c>
      <c r="AD17" s="120" t="s">
        <v>30</v>
      </c>
    </row>
    <row r="18" spans="2:30">
      <c r="AA18" s="121" t="s">
        <v>606</v>
      </c>
      <c r="AB18" s="9">
        <f>10^(AB13-(AC13/($X$15+AD13)))</f>
        <v>669.56138783354231</v>
      </c>
      <c r="AC18" s="116" t="s">
        <v>12</v>
      </c>
      <c r="AD18" s="116">
        <f>AB18/($Y$15*760)</f>
        <v>0.88100182609676625</v>
      </c>
    </row>
    <row r="19" spans="2:30">
      <c r="AA19" s="121" t="s">
        <v>593</v>
      </c>
      <c r="AB19" s="9">
        <f>10^(AB14-(AC14/($X$15+AD14)))</f>
        <v>2543.8154308132453</v>
      </c>
      <c r="AC19" s="116" t="s">
        <v>12</v>
      </c>
      <c r="AD19" s="116">
        <f>AB19/($Y$15*760)</f>
        <v>3.3471255668595332</v>
      </c>
    </row>
    <row r="21" spans="2:30">
      <c r="B21" s="61"/>
      <c r="S21" s="8"/>
    </row>
    <row r="22" spans="2:30">
      <c r="B22" s="61"/>
      <c r="O22" s="9" t="s">
        <v>607</v>
      </c>
      <c r="S22" s="8"/>
      <c r="T22" s="2" t="s">
        <v>67</v>
      </c>
      <c r="AA22" s="111" t="s">
        <v>608</v>
      </c>
    </row>
    <row r="23" spans="2:30">
      <c r="B23" s="61"/>
      <c r="O23" s="199">
        <f>O29/O30</f>
        <v>1.5537414965986396</v>
      </c>
      <c r="P23" s="8"/>
      <c r="Q23" s="8"/>
      <c r="T23" s="228">
        <f>(T38/T29)</f>
        <v>4.7390789268818559E-3</v>
      </c>
      <c r="AA23" t="s">
        <v>609</v>
      </c>
    </row>
    <row r="24" spans="2:30">
      <c r="B24" s="8"/>
      <c r="M24" s="8"/>
      <c r="N24" s="8"/>
      <c r="O24" s="199">
        <f>O29/O31</f>
        <v>2.9132653061224492</v>
      </c>
      <c r="P24" s="8"/>
      <c r="Q24" s="8"/>
      <c r="T24" s="178">
        <f>(T31/T29)</f>
        <v>0.14063268600584244</v>
      </c>
    </row>
    <row r="26" spans="2:30">
      <c r="D26" s="3" t="s">
        <v>245</v>
      </c>
      <c r="E26" s="3" t="s">
        <v>246</v>
      </c>
      <c r="F26" s="3" t="s">
        <v>247</v>
      </c>
      <c r="G26" s="3" t="s">
        <v>248</v>
      </c>
      <c r="H26" s="3" t="s">
        <v>249</v>
      </c>
      <c r="I26" s="3" t="s">
        <v>250</v>
      </c>
      <c r="J26" s="3" t="s">
        <v>251</v>
      </c>
      <c r="K26" s="3" t="s">
        <v>252</v>
      </c>
      <c r="L26" s="3" t="s">
        <v>253</v>
      </c>
      <c r="M26" s="3" t="s">
        <v>254</v>
      </c>
      <c r="N26" s="3" t="s">
        <v>255</v>
      </c>
      <c r="O26" s="3" t="s">
        <v>610</v>
      </c>
      <c r="P26" s="3" t="s">
        <v>586</v>
      </c>
      <c r="Q26" s="3" t="s">
        <v>611</v>
      </c>
      <c r="R26" s="3" t="s">
        <v>612</v>
      </c>
      <c r="S26" s="3" t="s">
        <v>613</v>
      </c>
      <c r="T26" s="3" t="s">
        <v>614</v>
      </c>
      <c r="X26" s="328" t="s">
        <v>256</v>
      </c>
      <c r="Y26" s="329"/>
      <c r="Z26" s="330"/>
      <c r="AB26" s="328" t="s">
        <v>257</v>
      </c>
      <c r="AC26" s="329"/>
      <c r="AD26" s="330"/>
    </row>
    <row r="27" spans="2:30">
      <c r="D27" s="4" t="s">
        <v>258</v>
      </c>
      <c r="E27" s="4" t="s">
        <v>259</v>
      </c>
      <c r="F27" s="4" t="s">
        <v>260</v>
      </c>
      <c r="G27" s="4" t="s">
        <v>261</v>
      </c>
      <c r="H27" s="4" t="s">
        <v>262</v>
      </c>
      <c r="I27" s="4" t="s">
        <v>263</v>
      </c>
      <c r="J27" s="11" t="s">
        <v>264</v>
      </c>
      <c r="K27" s="4" t="s">
        <v>265</v>
      </c>
      <c r="L27" s="4" t="s">
        <v>266</v>
      </c>
      <c r="M27" s="4" t="s">
        <v>267</v>
      </c>
      <c r="N27" s="4" t="s">
        <v>593</v>
      </c>
      <c r="O27" s="11" t="s">
        <v>615</v>
      </c>
      <c r="P27" s="11" t="s">
        <v>61</v>
      </c>
      <c r="Q27" s="11" t="s">
        <v>616</v>
      </c>
      <c r="R27" s="11" t="s">
        <v>63</v>
      </c>
      <c r="S27" s="11" t="s">
        <v>617</v>
      </c>
      <c r="T27" s="11" t="s">
        <v>618</v>
      </c>
      <c r="X27" s="6" t="s">
        <v>268</v>
      </c>
      <c r="Y27" s="5">
        <v>8400</v>
      </c>
      <c r="Z27" s="5" t="s">
        <v>269</v>
      </c>
      <c r="AB27" s="6" t="s">
        <v>270</v>
      </c>
      <c r="AC27" s="5">
        <v>37.86</v>
      </c>
      <c r="AD27" s="5" t="s">
        <v>17</v>
      </c>
    </row>
    <row r="28" spans="2:30" ht="17.25">
      <c r="B28" s="327" t="s">
        <v>271</v>
      </c>
      <c r="C28" s="229" t="s">
        <v>619</v>
      </c>
      <c r="D28" s="18">
        <f>Y32</f>
        <v>37.76931506849315</v>
      </c>
      <c r="E28" s="18">
        <f>G28-(F28+D28)</f>
        <v>221.89472602739724</v>
      </c>
      <c r="F28" s="18">
        <f>I28*(Y36/100)</f>
        <v>118.02910958904108</v>
      </c>
      <c r="G28" s="18">
        <f>D28*Y35</f>
        <v>377.69315068493148</v>
      </c>
      <c r="H28" s="18">
        <f>(AC35*Y39)/1000</f>
        <v>141.63493150684931</v>
      </c>
      <c r="I28" s="18">
        <f>G28-H28</f>
        <v>236.05821917808217</v>
      </c>
      <c r="J28" s="18">
        <f>I28-L28</f>
        <v>213.63268835616435</v>
      </c>
      <c r="K28" s="18">
        <f>J28-F28</f>
        <v>95.603578767123267</v>
      </c>
      <c r="L28" s="18">
        <f>(I28*I33*((AC31-AC32)/100))/(AC45*1000)</f>
        <v>22.425530821917803</v>
      </c>
      <c r="M28" s="18">
        <f>L28</f>
        <v>22.425530821917803</v>
      </c>
      <c r="N28" s="18">
        <f>AC50</f>
        <v>14.950353881278538</v>
      </c>
      <c r="O28" s="18">
        <f>O29/1000</f>
        <v>34.146608264840182</v>
      </c>
      <c r="P28" s="18">
        <f>O28-Q28</f>
        <v>14.972779412100458</v>
      </c>
      <c r="Q28" s="18">
        <f>(O28*O33*((AC31-AC32)/100))/(AC45*1000)</f>
        <v>19.173828852739724</v>
      </c>
      <c r="R28" s="18">
        <f>R29/1000</f>
        <v>19.242799122904692</v>
      </c>
      <c r="S28" s="18">
        <f>S29/1000</f>
        <v>12.612195469136223</v>
      </c>
      <c r="T28" s="18">
        <f>T29/1000</f>
        <v>2.163918714258886</v>
      </c>
      <c r="X28" s="6" t="s">
        <v>272</v>
      </c>
      <c r="Y28" s="5">
        <v>14260</v>
      </c>
      <c r="Z28" s="5" t="s">
        <v>269</v>
      </c>
      <c r="AB28" s="6" t="s">
        <v>273</v>
      </c>
      <c r="AC28" s="5">
        <v>4.99</v>
      </c>
      <c r="AD28" s="5" t="s">
        <v>17</v>
      </c>
    </row>
    <row r="29" spans="2:30" s="237" customFormat="1">
      <c r="B29" s="327"/>
      <c r="C29" s="235" t="s">
        <v>274</v>
      </c>
      <c r="D29" s="236">
        <f t="shared" ref="D29:M29" si="1">D28*1000</f>
        <v>37769.315068493146</v>
      </c>
      <c r="E29" s="236">
        <f t="shared" si="1"/>
        <v>221894.72602739724</v>
      </c>
      <c r="F29" s="236">
        <f t="shared" si="1"/>
        <v>118029.10958904108</v>
      </c>
      <c r="G29" s="236">
        <f t="shared" si="1"/>
        <v>377693.15068493149</v>
      </c>
      <c r="H29" s="236">
        <f t="shared" si="1"/>
        <v>141634.9315068493</v>
      </c>
      <c r="I29" s="236">
        <f t="shared" si="1"/>
        <v>236058.21917808216</v>
      </c>
      <c r="J29" s="236">
        <f t="shared" si="1"/>
        <v>213632.68835616435</v>
      </c>
      <c r="K29" s="236">
        <f t="shared" si="1"/>
        <v>95603.578767123268</v>
      </c>
      <c r="L29" s="236">
        <f t="shared" si="1"/>
        <v>22425.530821917804</v>
      </c>
      <c r="M29" s="236">
        <f t="shared" si="1"/>
        <v>22425.530821917804</v>
      </c>
      <c r="N29" s="236">
        <f>N28*AC55</f>
        <v>11721.077442922373</v>
      </c>
      <c r="O29" s="236">
        <f>M29+N29</f>
        <v>34146.608264840179</v>
      </c>
      <c r="P29" s="236">
        <f>P28*1000</f>
        <v>14972.779412100457</v>
      </c>
      <c r="Q29" s="236">
        <f>Q28*1000</f>
        <v>19173.828852739724</v>
      </c>
      <c r="R29" s="236">
        <f>Q29+O69</f>
        <v>19242.799122904693</v>
      </c>
      <c r="S29" s="236">
        <f>Y9</f>
        <v>12612.195469136223</v>
      </c>
      <c r="T29" s="236">
        <f>AB9</f>
        <v>2163.9187142588862</v>
      </c>
      <c r="V29" s="241">
        <f>P38-V38</f>
        <v>2.5602795104754152</v>
      </c>
      <c r="X29" s="238" t="s">
        <v>275</v>
      </c>
      <c r="Y29" s="235">
        <v>5120</v>
      </c>
      <c r="Z29" s="235" t="s">
        <v>269</v>
      </c>
      <c r="AB29" s="238" t="s">
        <v>276</v>
      </c>
      <c r="AC29" s="235">
        <v>1.03</v>
      </c>
      <c r="AD29" s="235" t="s">
        <v>17</v>
      </c>
    </row>
    <row r="30" spans="2:30" s="237" customFormat="1">
      <c r="B30" s="238" t="s">
        <v>277</v>
      </c>
      <c r="C30" s="239" t="s">
        <v>274</v>
      </c>
      <c r="D30" s="240">
        <f>D29-D34</f>
        <v>37452.052821917801</v>
      </c>
      <c r="E30" s="240">
        <f>E29</f>
        <v>221894.72602739724</v>
      </c>
      <c r="F30" s="240">
        <f>F29-F32</f>
        <v>118029.10958904108</v>
      </c>
      <c r="G30" s="240">
        <f>D30+E30+F30</f>
        <v>377375.88843835611</v>
      </c>
      <c r="H30" s="240">
        <f>H29</f>
        <v>141634.9315068493</v>
      </c>
      <c r="I30" s="240">
        <f>I29-I32</f>
        <v>235586.10273972599</v>
      </c>
      <c r="J30" s="240">
        <f>J29-J32</f>
        <v>213632.68835616435</v>
      </c>
      <c r="K30" s="240">
        <f>K29-K32</f>
        <v>95603.578767123268</v>
      </c>
      <c r="L30" s="240">
        <f>L29-L32</f>
        <v>21977.020205479446</v>
      </c>
      <c r="M30" s="240">
        <f>M29-M32</f>
        <v>21977.020205479446</v>
      </c>
      <c r="N30" s="240">
        <v>0</v>
      </c>
      <c r="O30" s="240">
        <f>M30+N30</f>
        <v>21977.020205479446</v>
      </c>
      <c r="P30" s="240">
        <f>P29/O23</f>
        <v>9636.5962065620279</v>
      </c>
      <c r="Q30" s="240">
        <f>O30-P30</f>
        <v>12340.423998917418</v>
      </c>
      <c r="R30" s="240">
        <f>Q30</f>
        <v>12340.423998917418</v>
      </c>
      <c r="S30" s="240">
        <f>Y7</f>
        <v>7776.9951933876773</v>
      </c>
      <c r="T30" s="240">
        <f>AB7</f>
        <v>1859.6010131743501</v>
      </c>
      <c r="X30" s="238" t="s">
        <v>278</v>
      </c>
      <c r="Y30" s="235">
        <v>3328</v>
      </c>
      <c r="Z30" s="235" t="s">
        <v>269</v>
      </c>
    </row>
    <row r="31" spans="2:30" s="237" customFormat="1">
      <c r="B31" s="238" t="s">
        <v>593</v>
      </c>
      <c r="C31" s="235" t="s">
        <v>274</v>
      </c>
      <c r="D31" s="236">
        <v>0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f>N29</f>
        <v>11721.077442922373</v>
      </c>
      <c r="O31" s="236">
        <f>N31+M31</f>
        <v>11721.077442922373</v>
      </c>
      <c r="P31" s="236">
        <f>P29/O24</f>
        <v>5139.5179768330809</v>
      </c>
      <c r="Q31" s="236">
        <f>O31-P31</f>
        <v>6581.5594660892921</v>
      </c>
      <c r="R31" s="236">
        <f>Q31</f>
        <v>6581.5594660892921</v>
      </c>
      <c r="S31" s="236">
        <f>Y8</f>
        <v>4835.2002757485461</v>
      </c>
      <c r="T31" s="236">
        <f>AB8</f>
        <v>304.31770108453622</v>
      </c>
      <c r="V31" s="241">
        <f>Q30/P30</f>
        <v>1.2805791313030448</v>
      </c>
      <c r="X31" s="238" t="s">
        <v>279</v>
      </c>
      <c r="Y31" s="235">
        <v>76</v>
      </c>
      <c r="Z31" s="235" t="s">
        <v>269</v>
      </c>
      <c r="AB31" s="238" t="s">
        <v>280</v>
      </c>
      <c r="AC31" s="235">
        <v>100</v>
      </c>
      <c r="AD31" s="235" t="s">
        <v>17</v>
      </c>
    </row>
    <row r="32" spans="2:30" ht="17.25">
      <c r="B32" s="327" t="s">
        <v>281</v>
      </c>
      <c r="C32" s="229" t="s">
        <v>274</v>
      </c>
      <c r="D32" s="18">
        <v>0</v>
      </c>
      <c r="E32" s="18">
        <v>0</v>
      </c>
      <c r="F32" s="18">
        <f>(F28*F33)/1000</f>
        <v>0</v>
      </c>
      <c r="G32" s="18">
        <f>((D28*D32)+(F28*F32)+(E28*E32))/G28</f>
        <v>0</v>
      </c>
      <c r="H32" s="18">
        <v>0</v>
      </c>
      <c r="I32" s="18">
        <f>(I28*I33)/1000</f>
        <v>472.11643835616434</v>
      </c>
      <c r="J32" s="18">
        <f>Y41*AC35*(1-(AC31/100))</f>
        <v>0</v>
      </c>
      <c r="K32" s="18">
        <f>(K33*K28)/1000</f>
        <v>0</v>
      </c>
      <c r="L32" s="18">
        <f>(Y41*AC35*((AC31-AC32)/100))/1000</f>
        <v>448.51061643835607</v>
      </c>
      <c r="M32" s="18">
        <f>L32</f>
        <v>448.51061643835607</v>
      </c>
      <c r="N32" s="18">
        <v>0</v>
      </c>
      <c r="O32" s="18">
        <f>M32*(1-(O14/100))</f>
        <v>403.65955479452049</v>
      </c>
      <c r="P32" s="18">
        <v>0</v>
      </c>
      <c r="Q32" s="18">
        <f>O32*((AC31-AC32)/100)</f>
        <v>383.47657705479446</v>
      </c>
      <c r="R32" s="18">
        <f>Q32</f>
        <v>383.47657705479446</v>
      </c>
      <c r="S32" s="18">
        <v>0</v>
      </c>
      <c r="T32" s="18">
        <f>P32</f>
        <v>0</v>
      </c>
      <c r="X32" s="6" t="s">
        <v>271</v>
      </c>
      <c r="Y32" s="103">
        <v>37.76931506849315</v>
      </c>
      <c r="Z32" s="5" t="s">
        <v>23</v>
      </c>
      <c r="AB32" s="6" t="s">
        <v>282</v>
      </c>
      <c r="AC32" s="5">
        <v>5</v>
      </c>
      <c r="AD32" s="5" t="s">
        <v>17</v>
      </c>
    </row>
    <row r="33" spans="2:30">
      <c r="B33" s="327"/>
      <c r="C33" s="230" t="s">
        <v>269</v>
      </c>
      <c r="D33" s="95">
        <v>0</v>
      </c>
      <c r="E33" s="95">
        <v>0</v>
      </c>
      <c r="F33" s="95">
        <f>J33</f>
        <v>0</v>
      </c>
      <c r="G33" s="95">
        <f>(G32/G28)*1000</f>
        <v>0</v>
      </c>
      <c r="H33" s="95">
        <v>0</v>
      </c>
      <c r="I33" s="95">
        <f>Y40*1000</f>
        <v>2000</v>
      </c>
      <c r="J33" s="95">
        <f>(J32/J28)*1000</f>
        <v>0</v>
      </c>
      <c r="K33" s="95">
        <f>J33</f>
        <v>0</v>
      </c>
      <c r="L33" s="95">
        <f>(L32/L28)*1000</f>
        <v>20000</v>
      </c>
      <c r="M33" s="95">
        <f>(M32/M28)*1000</f>
        <v>20000</v>
      </c>
      <c r="N33" s="95">
        <v>0</v>
      </c>
      <c r="O33" s="95">
        <f>(O32/O28)*1000</f>
        <v>11821.366024518387</v>
      </c>
      <c r="P33" s="95">
        <f>(P32/$P$28)*1000</f>
        <v>0</v>
      </c>
      <c r="Q33" s="95">
        <f>(Q32/$Q$28)*1000</f>
        <v>20000</v>
      </c>
      <c r="R33" s="95">
        <f>(R32/$R$28)*1000</f>
        <v>19928.315761418646</v>
      </c>
      <c r="S33" s="95">
        <f>(S32/$S$28)*1000</f>
        <v>0</v>
      </c>
      <c r="T33" s="95">
        <f>(T32/$T$28)*1000</f>
        <v>0</v>
      </c>
    </row>
    <row r="34" spans="2:30" s="237" customFormat="1">
      <c r="B34" s="327" t="s">
        <v>268</v>
      </c>
      <c r="C34" s="239" t="s">
        <v>274</v>
      </c>
      <c r="D34" s="240">
        <f>(D28*D35)/1000</f>
        <v>317.26224657534243</v>
      </c>
      <c r="E34" s="240">
        <v>0</v>
      </c>
      <c r="F34" s="240">
        <f>F32</f>
        <v>0</v>
      </c>
      <c r="G34" s="240">
        <f>D34+E34+F34</f>
        <v>317.26224657534243</v>
      </c>
      <c r="H34" s="240">
        <v>0</v>
      </c>
      <c r="I34" s="240">
        <f>I32</f>
        <v>472.11643835616434</v>
      </c>
      <c r="J34" s="240">
        <f>J32</f>
        <v>0</v>
      </c>
      <c r="K34" s="240">
        <f>K32</f>
        <v>0</v>
      </c>
      <c r="L34" s="240">
        <f>L32</f>
        <v>448.51061643835607</v>
      </c>
      <c r="M34" s="240">
        <f>M32</f>
        <v>448.51061643835607</v>
      </c>
      <c r="N34" s="240">
        <v>0</v>
      </c>
      <c r="O34" s="240">
        <f>O32</f>
        <v>403.65955479452049</v>
      </c>
      <c r="P34" s="240">
        <f>P32</f>
        <v>0</v>
      </c>
      <c r="Q34" s="240">
        <f>Q32</f>
        <v>383.47657705479446</v>
      </c>
      <c r="R34" s="240">
        <f>Q34</f>
        <v>383.47657705479446</v>
      </c>
      <c r="S34" s="240">
        <v>0</v>
      </c>
      <c r="T34" s="240">
        <f>P34</f>
        <v>0</v>
      </c>
      <c r="V34" s="237">
        <f>M34*0.08</f>
        <v>35.880849315068488</v>
      </c>
      <c r="X34" s="336" t="s">
        <v>283</v>
      </c>
      <c r="Y34" s="337"/>
      <c r="Z34" s="338"/>
      <c r="AB34" s="336" t="s">
        <v>284</v>
      </c>
      <c r="AC34" s="337"/>
      <c r="AD34" s="338"/>
    </row>
    <row r="35" spans="2:30" ht="17.25">
      <c r="B35" s="327"/>
      <c r="C35" s="230" t="s">
        <v>269</v>
      </c>
      <c r="D35" s="95">
        <f>Y27</f>
        <v>8400</v>
      </c>
      <c r="E35" s="95">
        <v>0</v>
      </c>
      <c r="F35" s="95">
        <f>F33</f>
        <v>0</v>
      </c>
      <c r="G35" s="95">
        <f>(G34/G28)*1000</f>
        <v>840</v>
      </c>
      <c r="H35" s="95">
        <v>0</v>
      </c>
      <c r="I35" s="95">
        <f>(I34/I28)*1000</f>
        <v>2000</v>
      </c>
      <c r="J35" s="95">
        <f>(J34/J28)*1000</f>
        <v>0</v>
      </c>
      <c r="K35" s="95">
        <f>K33</f>
        <v>0</v>
      </c>
      <c r="L35" s="95">
        <f>(L34/L28)*1000</f>
        <v>20000</v>
      </c>
      <c r="M35" s="95">
        <f>(M34/M28)*1000</f>
        <v>20000</v>
      </c>
      <c r="N35" s="95">
        <v>0</v>
      </c>
      <c r="O35" s="95">
        <f>(O34/O28)*1000</f>
        <v>11821.366024518387</v>
      </c>
      <c r="P35" s="95">
        <f>(P34/$P$28)*1000</f>
        <v>0</v>
      </c>
      <c r="Q35" s="95">
        <f>(Q34/$Q$28)*1000</f>
        <v>20000</v>
      </c>
      <c r="R35" s="95">
        <f>(R34/$R$28)*1000</f>
        <v>19928.315761418646</v>
      </c>
      <c r="S35" s="95">
        <f>(S34/$S$28)*1000</f>
        <v>0</v>
      </c>
      <c r="T35" s="95">
        <f>(T34/$T$28)*1000</f>
        <v>0</v>
      </c>
      <c r="V35" s="8">
        <f>M38-V34</f>
        <v>17.54837695731451</v>
      </c>
      <c r="X35" s="6" t="s">
        <v>285</v>
      </c>
      <c r="Y35" s="5">
        <v>10</v>
      </c>
      <c r="Z35" s="5" t="s">
        <v>17</v>
      </c>
      <c r="AB35" s="6" t="s">
        <v>286</v>
      </c>
      <c r="AC35" s="9">
        <f>AC36/(Y38/100)</f>
        <v>28326.986301369863</v>
      </c>
      <c r="AD35" s="2" t="s">
        <v>287</v>
      </c>
    </row>
    <row r="36" spans="2:30" s="237" customFormat="1" ht="17.25">
      <c r="B36" s="327" t="s">
        <v>272</v>
      </c>
      <c r="C36" s="239" t="s">
        <v>274</v>
      </c>
      <c r="D36" s="240">
        <f>(D28*D37)/1000</f>
        <v>538.59043287671227</v>
      </c>
      <c r="E36" s="240">
        <v>0</v>
      </c>
      <c r="F36" s="240">
        <f>(F37*F28)/1000</f>
        <v>54.064488343376048</v>
      </c>
      <c r="G36" s="240">
        <f>D36+E36+F36</f>
        <v>592.65492122008834</v>
      </c>
      <c r="H36" s="240">
        <f>G36-I36</f>
        <v>254.42118804794524</v>
      </c>
      <c r="I36" s="240">
        <f>J36+L36</f>
        <v>338.2337331721431</v>
      </c>
      <c r="J36" s="240">
        <f>(J28*J37)/1000</f>
        <v>97.856723901510634</v>
      </c>
      <c r="K36" s="240">
        <f>(K32*(Y47/100))+D36*(1-(AC39/100))*(K30/(L30+K30))</f>
        <v>43.792235558134593</v>
      </c>
      <c r="L36" s="240">
        <f>(L32*(Y47/100))+D36*(1-(AC39/100))*(L30/(L30+K30))</f>
        <v>240.37700927063247</v>
      </c>
      <c r="M36" s="240">
        <f>L36</f>
        <v>240.37700927063247</v>
      </c>
      <c r="N36" s="240">
        <f>N31*((3*12)/58.1)</f>
        <v>7262.6297408813325</v>
      </c>
      <c r="O36" s="240">
        <f>M36+((O31*((3*12))/58.1))</f>
        <v>7503.0067501519652</v>
      </c>
      <c r="P36" s="240">
        <f>$P$32*(Y47/100)+(($M$32-$O$32)*(Y47/100))+D36*(1-(AC39/100))*($L$30/($K$30+$L$30))+((P31*((3*12))/58.1))</f>
        <v>3217.652856558188</v>
      </c>
      <c r="Q36" s="240">
        <f>O36-P36</f>
        <v>4285.3538935937777</v>
      </c>
      <c r="R36" s="240">
        <f>Q36</f>
        <v>4285.3538935937777</v>
      </c>
      <c r="S36" s="240">
        <f>S31*((3*12)/58.1)</f>
        <v>2995.9932861781008</v>
      </c>
      <c r="T36" s="240">
        <f>T31*((3*12)/58.1)+D36*(1-(AC39/100))*($L$30/($K$30+$L$30))+(($M$32-$O$32)*(Y47/100))</f>
        <v>221.65957038008858</v>
      </c>
      <c r="V36" s="246">
        <f>V35/M30</f>
        <v>7.9848754713977279E-4</v>
      </c>
      <c r="X36" s="238" t="s">
        <v>260</v>
      </c>
      <c r="Y36" s="242">
        <v>50</v>
      </c>
      <c r="Z36" s="235" t="s">
        <v>17</v>
      </c>
      <c r="AB36" s="238" t="s">
        <v>288</v>
      </c>
      <c r="AC36" s="243">
        <f>G28*Y37</f>
        <v>1133.0794520547945</v>
      </c>
      <c r="AD36" s="244" t="s">
        <v>623</v>
      </c>
    </row>
    <row r="37" spans="2:30">
      <c r="B37" s="327"/>
      <c r="C37" s="230" t="s">
        <v>269</v>
      </c>
      <c r="D37" s="95">
        <f>Y28</f>
        <v>14260</v>
      </c>
      <c r="E37" s="95">
        <v>0</v>
      </c>
      <c r="F37" s="95">
        <f>J37</f>
        <v>458.06063039550281</v>
      </c>
      <c r="G37" s="95">
        <f>(G36/G28)*1000</f>
        <v>1569.1439469985946</v>
      </c>
      <c r="H37" s="95">
        <f>(H36/H28)*1000</f>
        <v>1796.3166666666671</v>
      </c>
      <c r="I37" s="95">
        <f>(I36/I28)*1000</f>
        <v>1432.8403151977514</v>
      </c>
      <c r="J37" s="95">
        <f>K37</f>
        <v>458.06063039550281</v>
      </c>
      <c r="K37" s="95">
        <f t="shared" ref="K37:N37" si="2">(K36/K28)*1000</f>
        <v>458.06063039550281</v>
      </c>
      <c r="L37" s="95">
        <f t="shared" si="2"/>
        <v>10718.899417787594</v>
      </c>
      <c r="M37" s="95">
        <f t="shared" si="2"/>
        <v>10718.899417787594</v>
      </c>
      <c r="N37" s="95">
        <f t="shared" si="2"/>
        <v>485783.13253012043</v>
      </c>
      <c r="O37" s="95">
        <f>(O36/O28)*1000</f>
        <v>219729.19512119167</v>
      </c>
      <c r="P37" s="95">
        <f>(P36/$P$28)*1000</f>
        <v>214900.17103690165</v>
      </c>
      <c r="Q37" s="95">
        <f>(Q36/$Q$28)*1000</f>
        <v>223500.16402599987</v>
      </c>
      <c r="R37" s="95">
        <f>(R36/$R$28)*1000</f>
        <v>222699.0920719493</v>
      </c>
      <c r="S37" s="95">
        <f>(S36/$S$28)*1000</f>
        <v>237547.32421565367</v>
      </c>
      <c r="T37" s="95">
        <f>(T36/$S$28)*1000</f>
        <v>17575.018633553533</v>
      </c>
      <c r="V37" s="8"/>
      <c r="X37" s="6" t="s">
        <v>65</v>
      </c>
      <c r="Y37" s="69">
        <v>3</v>
      </c>
      <c r="Z37" s="5" t="s">
        <v>26</v>
      </c>
    </row>
    <row r="38" spans="2:30" s="237" customFormat="1">
      <c r="B38" s="327" t="s">
        <v>275</v>
      </c>
      <c r="C38" s="239" t="s">
        <v>274</v>
      </c>
      <c r="D38" s="240">
        <f>(D28*D39)/1000</f>
        <v>193.37889315068492</v>
      </c>
      <c r="E38" s="240">
        <v>0</v>
      </c>
      <c r="F38" s="240">
        <f>(F39*F28)/1000</f>
        <v>77.646614394974875</v>
      </c>
      <c r="G38" s="240">
        <f>D38+E38+F38</f>
        <v>271.02550754565982</v>
      </c>
      <c r="H38" s="240">
        <f>G38-I38</f>
        <v>77.055909218372278</v>
      </c>
      <c r="I38" s="240">
        <f>J38+L38</f>
        <v>193.96959832728754</v>
      </c>
      <c r="J38" s="240">
        <f>(J39*J28)/1000</f>
        <v>140.54037205490454</v>
      </c>
      <c r="K38" s="240">
        <f>(K32*(Y48/100))+D38*(1-(AC40/100))*(K30/(K30+L30))</f>
        <v>62.893757659929655</v>
      </c>
      <c r="L38" s="240">
        <f>(L32*(Y48/100))+D38*(1-(AC40/100))*(L30/(K30+L30))</f>
        <v>53.429226272382998</v>
      </c>
      <c r="M38" s="245">
        <f>L38</f>
        <v>53.429226272382998</v>
      </c>
      <c r="N38" s="240">
        <v>0</v>
      </c>
      <c r="O38" s="245">
        <f>M38</f>
        <v>53.429226272382998</v>
      </c>
      <c r="P38" s="245">
        <f>O38-Q38</f>
        <v>10.254981578229568</v>
      </c>
      <c r="Q38" s="240">
        <f>Q34*(Y48/100)+V39</f>
        <v>43.17424469415343</v>
      </c>
      <c r="R38" s="240">
        <f>Q38</f>
        <v>43.17424469415343</v>
      </c>
      <c r="S38" s="240">
        <f>P38-T38</f>
        <v>0</v>
      </c>
      <c r="T38" s="240">
        <f>P38</f>
        <v>10.254981578229568</v>
      </c>
      <c r="V38" s="237">
        <f>V36*P30</f>
        <v>7.6947020677541529</v>
      </c>
      <c r="X38" s="238" t="s">
        <v>70</v>
      </c>
      <c r="Y38" s="242">
        <v>4</v>
      </c>
      <c r="Z38" s="235" t="s">
        <v>34</v>
      </c>
      <c r="AB38" s="336" t="s">
        <v>290</v>
      </c>
      <c r="AC38" s="337"/>
      <c r="AD38" s="338"/>
    </row>
    <row r="39" spans="2:30" ht="17.25">
      <c r="B39" s="327"/>
      <c r="C39" s="230" t="s">
        <v>269</v>
      </c>
      <c r="D39" s="95">
        <f>Y29</f>
        <v>5120</v>
      </c>
      <c r="E39" s="95">
        <v>0</v>
      </c>
      <c r="F39" s="95">
        <f>J39</f>
        <v>657.8598674964868</v>
      </c>
      <c r="G39" s="95">
        <f>(G38/G28)*1000</f>
        <v>717.58120859265216</v>
      </c>
      <c r="H39" s="95">
        <f>(H38/H28)*1000</f>
        <v>544.04593837535015</v>
      </c>
      <c r="I39" s="95">
        <f>(I38/I28)*1000</f>
        <v>821.70237072303348</v>
      </c>
      <c r="J39" s="95">
        <f>K39</f>
        <v>657.8598674964868</v>
      </c>
      <c r="K39" s="95">
        <f>(K38/K28)*1000</f>
        <v>657.8598674964868</v>
      </c>
      <c r="L39" s="95">
        <f>(L38/L28)*1000</f>
        <v>2382.5177961969775</v>
      </c>
      <c r="M39" s="95">
        <f>(M38/M28)*1000</f>
        <v>2382.5177961969775</v>
      </c>
      <c r="N39" s="95">
        <v>0</v>
      </c>
      <c r="O39" s="95">
        <f>(O38/O28)*1000</f>
        <v>1564.7008293762983</v>
      </c>
      <c r="P39" s="95">
        <f>(P38/$P$28)*1000</f>
        <v>684.90834573718917</v>
      </c>
      <c r="Q39" s="95">
        <f>(Q38/$Q$28)*1000</f>
        <v>2251.7278643584177</v>
      </c>
      <c r="R39" s="95">
        <f>(R38/$R$28)*1000</f>
        <v>2243.6571944859702</v>
      </c>
      <c r="S39" s="95">
        <f>(S38/$S$28)*1000</f>
        <v>0</v>
      </c>
      <c r="T39" s="95">
        <f>(T38/$S$28)*1000</f>
        <v>813.10043150892477</v>
      </c>
      <c r="V39">
        <f>V36*Q30</f>
        <v>9.8536748895603559</v>
      </c>
      <c r="X39" s="6" t="s">
        <v>262</v>
      </c>
      <c r="Y39" s="68">
        <v>5</v>
      </c>
      <c r="Z39" s="5" t="s">
        <v>21</v>
      </c>
      <c r="AB39" s="6" t="s">
        <v>272</v>
      </c>
      <c r="AC39" s="2">
        <v>90</v>
      </c>
      <c r="AD39" s="5" t="s">
        <v>17</v>
      </c>
    </row>
    <row r="40" spans="2:30">
      <c r="B40" s="327" t="s">
        <v>278</v>
      </c>
      <c r="C40" s="229" t="s">
        <v>274</v>
      </c>
      <c r="D40" s="18">
        <f>(D28*D41)/1000</f>
        <v>125.69628054794521</v>
      </c>
      <c r="E40" s="18">
        <v>0</v>
      </c>
      <c r="F40" s="18">
        <f>(F41*F28)/1000</f>
        <v>2.2425530821917805</v>
      </c>
      <c r="G40" s="18">
        <f>D40+E40+F40</f>
        <v>127.93883363013698</v>
      </c>
      <c r="H40" s="18">
        <f>G40*0.1</f>
        <v>12.793883363013698</v>
      </c>
      <c r="I40" s="18">
        <f>G40-H40</f>
        <v>115.14495026712328</v>
      </c>
      <c r="J40" s="18">
        <f>(J41*J28)/1000</f>
        <v>4.059021078767123</v>
      </c>
      <c r="K40" s="18">
        <f>(K28*K41)/1000</f>
        <v>1.8164679965753421</v>
      </c>
      <c r="L40" s="18">
        <f>I40-J40</f>
        <v>111.08592918835616</v>
      </c>
      <c r="M40" s="18">
        <f>L40</f>
        <v>111.08592918835616</v>
      </c>
      <c r="N40" s="18">
        <v>0</v>
      </c>
      <c r="O40" s="18">
        <f>M40</f>
        <v>111.08592918835616</v>
      </c>
      <c r="P40" s="18" t="s">
        <v>12</v>
      </c>
      <c r="Q40" s="18" t="s">
        <v>12</v>
      </c>
      <c r="R40" s="18" t="s">
        <v>12</v>
      </c>
      <c r="S40" s="18" t="s">
        <v>12</v>
      </c>
      <c r="T40" s="18" t="s">
        <v>12</v>
      </c>
      <c r="V40" s="161">
        <f>S38/P38</f>
        <v>0</v>
      </c>
      <c r="X40" s="6" t="s">
        <v>291</v>
      </c>
      <c r="Y40" s="5">
        <v>2</v>
      </c>
      <c r="Z40" s="5" t="s">
        <v>19</v>
      </c>
      <c r="AB40" s="6" t="s">
        <v>273</v>
      </c>
      <c r="AC40" s="2">
        <v>60</v>
      </c>
      <c r="AD40" s="5" t="s">
        <v>17</v>
      </c>
    </row>
    <row r="41" spans="2:30" ht="17.25">
      <c r="B41" s="327"/>
      <c r="C41" s="230" t="s">
        <v>269</v>
      </c>
      <c r="D41" s="95">
        <f>Y30</f>
        <v>3328</v>
      </c>
      <c r="E41" s="95">
        <v>0</v>
      </c>
      <c r="F41" s="95">
        <f>J41</f>
        <v>19</v>
      </c>
      <c r="G41" s="95">
        <f>(G39/G28)*1000</f>
        <v>1899.9052730804019</v>
      </c>
      <c r="H41" s="95">
        <f>(H40/H28)*1000</f>
        <v>90.33</v>
      </c>
      <c r="I41" s="95">
        <f>(I40/I28)*1000</f>
        <v>487.78199999999998</v>
      </c>
      <c r="J41" s="95">
        <v>19</v>
      </c>
      <c r="K41" s="95">
        <v>19</v>
      </c>
      <c r="L41" s="95">
        <f>(L40/L28)*1000</f>
        <v>4953.5473684210529</v>
      </c>
      <c r="M41" s="95">
        <f>(M40/M28)*1000</f>
        <v>4953.5473684210529</v>
      </c>
      <c r="N41" s="95">
        <v>0</v>
      </c>
      <c r="O41" s="95">
        <f>(O40/O28)*1000</f>
        <v>3253.2053645497281</v>
      </c>
      <c r="P41" s="95" t="s">
        <v>12</v>
      </c>
      <c r="Q41" s="95" t="s">
        <v>12</v>
      </c>
      <c r="R41" s="95" t="s">
        <v>12</v>
      </c>
      <c r="S41" s="95" t="s">
        <v>12</v>
      </c>
      <c r="T41" s="95" t="s">
        <v>12</v>
      </c>
      <c r="X41" s="6" t="s">
        <v>292</v>
      </c>
      <c r="Y41" s="7">
        <f>(I32*1000)/AC35</f>
        <v>16.666666666666664</v>
      </c>
      <c r="Z41" s="5" t="s">
        <v>40</v>
      </c>
      <c r="AB41" s="6" t="s">
        <v>276</v>
      </c>
      <c r="AC41" s="2">
        <v>60</v>
      </c>
      <c r="AD41" s="5" t="s">
        <v>17</v>
      </c>
    </row>
    <row r="42" spans="2:30" s="237" customFormat="1">
      <c r="B42" s="327" t="s">
        <v>279</v>
      </c>
      <c r="C42" s="239" t="s">
        <v>274</v>
      </c>
      <c r="D42" s="240">
        <f>(D28*D43)/1000</f>
        <v>2.8704679452054793</v>
      </c>
      <c r="E42" s="240">
        <v>0</v>
      </c>
      <c r="F42" s="240">
        <f>(F43*F28)/1000</f>
        <v>1.1525669324254084</v>
      </c>
      <c r="G42" s="240">
        <f>D42+E42+F42</f>
        <v>4.023034877630888</v>
      </c>
      <c r="H42" s="240">
        <f>G42-I42</f>
        <v>0.37674891780821973</v>
      </c>
      <c r="I42" s="240">
        <f>J42+L42</f>
        <v>3.6462859598226682</v>
      </c>
      <c r="J42" s="240">
        <f>(J43*J28)/1000</f>
        <v>2.086146147689989</v>
      </c>
      <c r="K42" s="240">
        <f>(K32*(Y49/100))+D42*(1-(AC41/100))*(K30/(K30+L30))</f>
        <v>0.93357921526458076</v>
      </c>
      <c r="L42" s="240">
        <f>(L32*(Y49/100))+D42*(1-(AC41/100))*(L30/(K30+L30))</f>
        <v>1.5601398121326793</v>
      </c>
      <c r="M42" s="240">
        <f>L42</f>
        <v>1.5601398121326793</v>
      </c>
      <c r="N42" s="240">
        <v>0</v>
      </c>
      <c r="O42" s="240">
        <f>M42</f>
        <v>1.5601398121326793</v>
      </c>
      <c r="P42" s="240">
        <f>$P$32*(Y49/100)+(($M$32-$O$32)*(Y49/100))+D42*(1-(AC41/100))*($L$30/($K$30+$L$30))</f>
        <v>0.34916114774911772</v>
      </c>
      <c r="Q42" s="240">
        <f>O42-P42</f>
        <v>1.2109786643835616</v>
      </c>
      <c r="R42" s="240">
        <f>Q42+O69</f>
        <v>70.181248829353152</v>
      </c>
      <c r="S42" s="240">
        <f>P42-T42</f>
        <v>0.13455318493150673</v>
      </c>
      <c r="T42" s="240">
        <f>D42*(1-(AC41/100))*($L$30/($K$30+$L$30))</f>
        <v>0.21460796281761099</v>
      </c>
      <c r="V42" s="241">
        <f>T29*T38</f>
        <v>22190.94655151109</v>
      </c>
    </row>
    <row r="43" spans="2:30" ht="15.75" thickBot="1">
      <c r="B43" s="334"/>
      <c r="C43" s="231" t="s">
        <v>269</v>
      </c>
      <c r="D43" s="232">
        <f>Y31</f>
        <v>76</v>
      </c>
      <c r="E43" s="232">
        <v>0</v>
      </c>
      <c r="F43" s="232">
        <f>J43</f>
        <v>9.7651074081509748</v>
      </c>
      <c r="G43" s="232">
        <f>(G42/G28)*1000</f>
        <v>10.65159606504718</v>
      </c>
      <c r="H43" s="232">
        <f>(H42/H28)*1000</f>
        <v>2.6600000000000041</v>
      </c>
      <c r="I43" s="232">
        <f>(I42/I28)*1000</f>
        <v>15.446553704075487</v>
      </c>
      <c r="J43" s="232">
        <f>K43</f>
        <v>9.7651074081509748</v>
      </c>
      <c r="K43" s="232">
        <f>(K42/K28)*1000</f>
        <v>9.7651074081509748</v>
      </c>
      <c r="L43" s="232">
        <f>(L42/L28)*1000</f>
        <v>69.569805259987959</v>
      </c>
      <c r="M43" s="232">
        <f>(M42/M28)*1000</f>
        <v>69.569805259987959</v>
      </c>
      <c r="N43" s="232">
        <v>0</v>
      </c>
      <c r="O43" s="232">
        <f>(O42/O28)*1000</f>
        <v>45.689451790710123</v>
      </c>
      <c r="P43" s="232">
        <f>(P42/$P$28)*1000</f>
        <v>23.319728297535615</v>
      </c>
      <c r="Q43" s="232">
        <f>(Q42/$Q$28)*1000</f>
        <v>63.15789473684211</v>
      </c>
      <c r="R43" s="232">
        <f>(R42/$R$28)*1000</f>
        <v>3647.1434525248692</v>
      </c>
      <c r="S43" s="232">
        <f>(S42/$S$28)*1000</f>
        <v>10.668498221485457</v>
      </c>
      <c r="T43" s="232">
        <f>(T42/$T$28)*1000</f>
        <v>99.175612005884162</v>
      </c>
      <c r="X43" s="328" t="s">
        <v>293</v>
      </c>
      <c r="Y43" s="329"/>
      <c r="Z43" s="330"/>
      <c r="AB43" s="328" t="s">
        <v>280</v>
      </c>
      <c r="AC43" s="329"/>
      <c r="AD43" s="330"/>
    </row>
    <row r="44" spans="2:30" ht="18" thickTop="1">
      <c r="B44" s="335" t="s">
        <v>294</v>
      </c>
      <c r="C44" s="233" t="s">
        <v>274</v>
      </c>
      <c r="D44" s="234">
        <v>0</v>
      </c>
      <c r="E44" s="234">
        <v>0</v>
      </c>
      <c r="F44" s="234">
        <f>(F45*F28)/1000</f>
        <v>0</v>
      </c>
      <c r="G44" s="234">
        <f>D44+E44+F44</f>
        <v>0</v>
      </c>
      <c r="H44" s="234">
        <v>0</v>
      </c>
      <c r="I44" s="234">
        <f>J44+L44</f>
        <v>231.87998869863009</v>
      </c>
      <c r="J44" s="234">
        <f>J32*(Y44/100)</f>
        <v>0</v>
      </c>
      <c r="K44" s="234">
        <f>K32*(Y44/100)</f>
        <v>0</v>
      </c>
      <c r="L44" s="234">
        <f>L32*(Y44/100)</f>
        <v>231.87998869863009</v>
      </c>
      <c r="M44" s="234">
        <f>L44</f>
        <v>231.87998869863009</v>
      </c>
      <c r="N44" s="234">
        <v>0</v>
      </c>
      <c r="O44" s="234">
        <f>M44</f>
        <v>231.87998869863009</v>
      </c>
      <c r="P44" s="234">
        <f>O44-Q44</f>
        <v>33.622598361301357</v>
      </c>
      <c r="Q44" s="234">
        <f>Q32*(Y44/100)</f>
        <v>198.25739033732873</v>
      </c>
      <c r="R44" s="234">
        <f>Q44</f>
        <v>198.25739033732873</v>
      </c>
      <c r="S44" s="234" t="s">
        <v>12</v>
      </c>
      <c r="T44" s="234" t="s">
        <v>12</v>
      </c>
      <c r="X44" s="6" t="s">
        <v>294</v>
      </c>
      <c r="Y44" s="2">
        <v>51.7</v>
      </c>
      <c r="Z44" s="5" t="s">
        <v>17</v>
      </c>
      <c r="AB44" s="6" t="s">
        <v>295</v>
      </c>
      <c r="AC44" s="2">
        <v>40</v>
      </c>
      <c r="AD44" s="5" t="s">
        <v>296</v>
      </c>
    </row>
    <row r="45" spans="2:30">
      <c r="B45" s="327"/>
      <c r="C45" s="230" t="s">
        <v>269</v>
      </c>
      <c r="D45" s="95">
        <v>0</v>
      </c>
      <c r="E45" s="95">
        <v>0</v>
      </c>
      <c r="F45" s="95">
        <f>J45</f>
        <v>0</v>
      </c>
      <c r="G45" s="95">
        <f>(G44/G28)*1000</f>
        <v>0</v>
      </c>
      <c r="H45" s="95">
        <v>0</v>
      </c>
      <c r="I45" s="95">
        <f>(I44/I28)*1000</f>
        <v>982.29999999999984</v>
      </c>
      <c r="J45" s="95">
        <f>(J44/J28)*1000</f>
        <v>0</v>
      </c>
      <c r="K45" s="95">
        <f>(K44/K28)*1000</f>
        <v>0</v>
      </c>
      <c r="L45" s="95">
        <f>(L44/L28)*1000</f>
        <v>10340</v>
      </c>
      <c r="M45" s="95">
        <f>(M44/M28)*1000</f>
        <v>10340</v>
      </c>
      <c r="N45" s="95">
        <v>0</v>
      </c>
      <c r="O45" s="95">
        <f>(O44/O28)*1000</f>
        <v>6790.7180385288957</v>
      </c>
      <c r="P45" s="95">
        <f>(P44/$P$28)*1000</f>
        <v>2245.5816275586612</v>
      </c>
      <c r="Q45" s="95">
        <f>(Q44/$Q$28)*1000</f>
        <v>10339.999999999998</v>
      </c>
      <c r="R45" s="95">
        <f>(R44/$R$28)*1000</f>
        <v>10302.93924865344</v>
      </c>
      <c r="S45" s="95" t="s">
        <v>12</v>
      </c>
      <c r="T45" s="95" t="s">
        <v>12</v>
      </c>
      <c r="X45" s="6" t="s">
        <v>297</v>
      </c>
      <c r="Y45" s="2">
        <v>22.3</v>
      </c>
      <c r="Z45" s="5" t="s">
        <v>17</v>
      </c>
      <c r="AB45" s="12" t="s">
        <v>298</v>
      </c>
      <c r="AC45" s="2">
        <v>20</v>
      </c>
      <c r="AD45" s="2" t="s">
        <v>19</v>
      </c>
    </row>
    <row r="46" spans="2:30">
      <c r="B46" s="327" t="s">
        <v>297</v>
      </c>
      <c r="C46" s="229" t="s">
        <v>274</v>
      </c>
      <c r="D46" s="18">
        <v>0</v>
      </c>
      <c r="E46" s="18">
        <v>0</v>
      </c>
      <c r="F46" s="18">
        <f>(F47*F28)/1000</f>
        <v>0</v>
      </c>
      <c r="G46" s="18">
        <f>D46+E46+F46</f>
        <v>0</v>
      </c>
      <c r="H46" s="18">
        <v>0</v>
      </c>
      <c r="I46" s="18">
        <f>J46+L46</f>
        <v>100.0178674657534</v>
      </c>
      <c r="J46" s="18">
        <f>J32*(Y45/100)</f>
        <v>0</v>
      </c>
      <c r="K46" s="18">
        <f>K32*(Y45/100)</f>
        <v>0</v>
      </c>
      <c r="L46" s="18">
        <f>L32*(Y45/100)</f>
        <v>100.0178674657534</v>
      </c>
      <c r="M46" s="18">
        <f>L46</f>
        <v>100.0178674657534</v>
      </c>
      <c r="N46" s="18">
        <v>0</v>
      </c>
      <c r="O46" s="18">
        <f>M46</f>
        <v>100.0178674657534</v>
      </c>
      <c r="P46" s="18">
        <f>O46-Q46</f>
        <v>14.502590782534227</v>
      </c>
      <c r="Q46" s="18">
        <f>Q32*(Y45/100)</f>
        <v>85.51527668321917</v>
      </c>
      <c r="R46" s="18">
        <f>Q46</f>
        <v>85.51527668321917</v>
      </c>
      <c r="S46" s="18" t="s">
        <v>12</v>
      </c>
      <c r="T46" s="18" t="s">
        <v>12</v>
      </c>
      <c r="X46" s="6" t="s">
        <v>299</v>
      </c>
      <c r="Y46" s="2">
        <v>13.4</v>
      </c>
      <c r="Z46" s="5" t="s">
        <v>17</v>
      </c>
      <c r="AB46" s="12" t="s">
        <v>300</v>
      </c>
      <c r="AC46" s="63">
        <f>AC45/Y40</f>
        <v>10</v>
      </c>
      <c r="AD46" s="64"/>
    </row>
    <row r="47" spans="2:30">
      <c r="B47" s="327"/>
      <c r="C47" s="230" t="s">
        <v>269</v>
      </c>
      <c r="D47" s="95">
        <v>0</v>
      </c>
      <c r="E47" s="95">
        <v>0</v>
      </c>
      <c r="F47" s="95">
        <f>J47</f>
        <v>0</v>
      </c>
      <c r="G47" s="95">
        <f>(G46/G28)*1000</f>
        <v>0</v>
      </c>
      <c r="H47" s="95">
        <v>0</v>
      </c>
      <c r="I47" s="95">
        <f>(I46/I28)*1000</f>
        <v>423.69999999999993</v>
      </c>
      <c r="J47" s="95">
        <f>(J46*J28)/1000</f>
        <v>0</v>
      </c>
      <c r="K47" s="95">
        <f>(K46/K28)*1000</f>
        <v>0</v>
      </c>
      <c r="L47" s="95">
        <f>(L46/L28)*1000</f>
        <v>4460</v>
      </c>
      <c r="M47" s="95">
        <f>(M46/M28)*1000</f>
        <v>4460</v>
      </c>
      <c r="N47" s="95">
        <v>0</v>
      </c>
      <c r="O47" s="95">
        <f>(O46/O28)*1000</f>
        <v>2929.0718038528889</v>
      </c>
      <c r="P47" s="95">
        <f>(P46/$P$28)*1000</f>
        <v>968.59710434348347</v>
      </c>
      <c r="Q47" s="95">
        <f>(Q46/$Q$28)*1000</f>
        <v>4460</v>
      </c>
      <c r="R47" s="95">
        <f>(R46/$R$28)*1000</f>
        <v>4444.0144147963583</v>
      </c>
      <c r="S47" s="95" t="s">
        <v>12</v>
      </c>
      <c r="T47" s="95" t="s">
        <v>12</v>
      </c>
      <c r="X47" s="6" t="s">
        <v>270</v>
      </c>
      <c r="Y47" s="2">
        <v>51.35</v>
      </c>
      <c r="Z47" s="5" t="s">
        <v>17</v>
      </c>
    </row>
    <row r="48" spans="2:30">
      <c r="B48" s="327" t="s">
        <v>299</v>
      </c>
      <c r="C48" s="229" t="s">
        <v>274</v>
      </c>
      <c r="D48" s="18">
        <v>0</v>
      </c>
      <c r="E48" s="18">
        <v>0</v>
      </c>
      <c r="F48" s="18">
        <f>(F49*F28)/1000</f>
        <v>0</v>
      </c>
      <c r="G48" s="18">
        <f>D48+E48+F48</f>
        <v>0</v>
      </c>
      <c r="H48" s="18">
        <v>0</v>
      </c>
      <c r="I48" s="18">
        <f>J48+L48</f>
        <v>60.100422602739719</v>
      </c>
      <c r="J48" s="18">
        <f>J32*(Y46/100)</f>
        <v>0</v>
      </c>
      <c r="K48" s="18">
        <f>K32*(Y46/100)</f>
        <v>0</v>
      </c>
      <c r="L48" s="18">
        <f>L32*(Y46/100)</f>
        <v>60.100422602739719</v>
      </c>
      <c r="M48" s="18">
        <f>L48</f>
        <v>60.100422602739719</v>
      </c>
      <c r="N48" s="18">
        <v>0</v>
      </c>
      <c r="O48" s="18">
        <f>M48</f>
        <v>60.100422602739719</v>
      </c>
      <c r="P48" s="18">
        <f>O48-Q48</f>
        <v>8.7145612773972587</v>
      </c>
      <c r="Q48" s="18">
        <f>Q32*(Y46/100)</f>
        <v>51.385861325342461</v>
      </c>
      <c r="R48" s="18">
        <f>Q48</f>
        <v>51.385861325342461</v>
      </c>
      <c r="S48" s="18" t="s">
        <v>12</v>
      </c>
      <c r="T48" s="18" t="s">
        <v>12</v>
      </c>
      <c r="X48" s="6" t="s">
        <v>273</v>
      </c>
      <c r="Y48" s="9">
        <f>Y44/5.95</f>
        <v>8.6890756302521019</v>
      </c>
      <c r="Z48" s="5" t="s">
        <v>17</v>
      </c>
      <c r="AB48" s="328" t="s">
        <v>626</v>
      </c>
      <c r="AC48" s="329"/>
      <c r="AD48" s="330"/>
    </row>
    <row r="49" spans="2:30">
      <c r="B49" s="327"/>
      <c r="C49" s="230" t="s">
        <v>269</v>
      </c>
      <c r="D49" s="95">
        <v>0</v>
      </c>
      <c r="E49" s="95">
        <v>0</v>
      </c>
      <c r="F49" s="95">
        <f>J49</f>
        <v>0</v>
      </c>
      <c r="G49" s="95">
        <f>(G48/G28)*1000</f>
        <v>0</v>
      </c>
      <c r="H49" s="95">
        <v>0</v>
      </c>
      <c r="I49" s="95">
        <f>(I48/I28)*1000</f>
        <v>254.6</v>
      </c>
      <c r="J49" s="95">
        <f>(J48*J28)/1000</f>
        <v>0</v>
      </c>
      <c r="K49" s="95">
        <f>(K48/K28)*1000</f>
        <v>0</v>
      </c>
      <c r="L49" s="95">
        <f>(L48/L28)*1000</f>
        <v>2680</v>
      </c>
      <c r="M49" s="95">
        <f>(M48/M28)*1000</f>
        <v>2680</v>
      </c>
      <c r="N49" s="95">
        <v>0</v>
      </c>
      <c r="O49" s="95">
        <f>(O48/O28)*1000</f>
        <v>1760.0700525394045</v>
      </c>
      <c r="P49" s="95">
        <f>(P48/$P$28)*1000</f>
        <v>582.02695956065884</v>
      </c>
      <c r="Q49" s="95">
        <f>(Q48/$Q$28)*1000</f>
        <v>2680</v>
      </c>
      <c r="R49" s="95">
        <f>(R48/$R$28)*1000</f>
        <v>2670.3943120300987</v>
      </c>
      <c r="S49" s="95" t="s">
        <v>12</v>
      </c>
      <c r="T49" s="95" t="s">
        <v>12</v>
      </c>
      <c r="X49" s="6" t="s">
        <v>276</v>
      </c>
      <c r="Y49" s="2">
        <v>0.3</v>
      </c>
      <c r="Z49" s="5" t="s">
        <v>17</v>
      </c>
      <c r="AB49" s="331" t="s">
        <v>627</v>
      </c>
      <c r="AC49" s="2">
        <v>40</v>
      </c>
      <c r="AD49" s="2" t="s">
        <v>17</v>
      </c>
    </row>
    <row r="50" spans="2:30" ht="17.25">
      <c r="J50" s="67"/>
      <c r="K50" s="67"/>
      <c r="AB50" s="332"/>
      <c r="AC50" s="9">
        <f>(M28*(AC49/100))/(1-(AC49/100))</f>
        <v>14.950353881278538</v>
      </c>
      <c r="AD50" s="5" t="s">
        <v>23</v>
      </c>
    </row>
    <row r="51" spans="2:30">
      <c r="R51">
        <f>(R34/R29)*100</f>
        <v>1.9928315761418645</v>
      </c>
      <c r="X51" s="328" t="s">
        <v>565</v>
      </c>
      <c r="Y51" s="329"/>
      <c r="Z51" s="330"/>
      <c r="AB51" s="12" t="s">
        <v>566</v>
      </c>
      <c r="AC51" s="2">
        <v>95</v>
      </c>
      <c r="AD51" s="2" t="s">
        <v>17</v>
      </c>
    </row>
    <row r="52" spans="2:30" ht="15" customHeight="1">
      <c r="B52" s="292" t="s">
        <v>301</v>
      </c>
      <c r="C52" s="292"/>
      <c r="D52" s="292"/>
      <c r="E52" s="9">
        <f>(((G40-H40)-I40)/(G40-H40))*100</f>
        <v>0</v>
      </c>
      <c r="F52" s="75" t="s">
        <v>302</v>
      </c>
      <c r="X52" s="6" t="s">
        <v>628</v>
      </c>
      <c r="Y52" s="2">
        <v>95</v>
      </c>
      <c r="Z52" s="5" t="s">
        <v>17</v>
      </c>
      <c r="AB52" s="331" t="s">
        <v>629</v>
      </c>
      <c r="AC52" s="2">
        <v>9</v>
      </c>
      <c r="AD52" s="2" t="s">
        <v>17</v>
      </c>
    </row>
    <row r="53" spans="2:30">
      <c r="R53" s="8"/>
      <c r="X53" s="6" t="s">
        <v>630</v>
      </c>
      <c r="Y53" s="2">
        <f>AC53</f>
        <v>90</v>
      </c>
      <c r="Z53" s="5" t="s">
        <v>19</v>
      </c>
      <c r="AB53" s="333"/>
      <c r="AC53" s="2">
        <f>AC52*10</f>
        <v>90</v>
      </c>
      <c r="AD53" s="2" t="s">
        <v>631</v>
      </c>
    </row>
    <row r="54" spans="2:30">
      <c r="B54" s="292" t="s">
        <v>303</v>
      </c>
      <c r="C54" s="292"/>
      <c r="D54" s="292"/>
      <c r="E54" s="292"/>
      <c r="H54" s="8"/>
      <c r="AB54" s="332"/>
      <c r="AC54" s="2">
        <f>AC53*1000</f>
        <v>90000</v>
      </c>
      <c r="AD54" s="2" t="s">
        <v>269</v>
      </c>
    </row>
    <row r="55" spans="2:30">
      <c r="B55" s="2"/>
      <c r="C55" s="14" t="s">
        <v>304</v>
      </c>
      <c r="D55" s="14" t="s">
        <v>305</v>
      </c>
      <c r="E55" s="14" t="s">
        <v>306</v>
      </c>
      <c r="X55" s="6" t="s">
        <v>632</v>
      </c>
      <c r="Y55" s="191">
        <v>20</v>
      </c>
      <c r="Z55" s="2" t="s">
        <v>19</v>
      </c>
      <c r="AB55" s="12" t="s">
        <v>633</v>
      </c>
      <c r="AC55" s="2">
        <v>784</v>
      </c>
      <c r="AD55" s="2" t="s">
        <v>634</v>
      </c>
    </row>
    <row r="56" spans="2:30">
      <c r="B56" s="14" t="s">
        <v>275</v>
      </c>
      <c r="C56" s="9">
        <f>D38</f>
        <v>193.37889315068492</v>
      </c>
      <c r="D56" s="9">
        <f>H38+K38+O38</f>
        <v>193.37889315068495</v>
      </c>
      <c r="E56" s="9">
        <f>O32*(Y48/100)</f>
        <v>35.074284004834809</v>
      </c>
    </row>
    <row r="57" spans="2:30">
      <c r="B57" s="14" t="s">
        <v>279</v>
      </c>
      <c r="C57" s="9">
        <f>D42</f>
        <v>2.8704679452054793</v>
      </c>
      <c r="D57" s="9">
        <f>H42+K42+O42</f>
        <v>2.8704679452054798</v>
      </c>
      <c r="E57" s="9">
        <f>O32*(Y49/100)</f>
        <v>1.2109786643835614</v>
      </c>
    </row>
    <row r="58" spans="2:30">
      <c r="B58" s="14" t="s">
        <v>278</v>
      </c>
      <c r="C58" s="9">
        <f>D40</f>
        <v>125.69628054794521</v>
      </c>
      <c r="D58" s="9">
        <f>H40+K40+O40</f>
        <v>125.69628054794521</v>
      </c>
      <c r="E58" s="9">
        <f>D40*(E52/100)</f>
        <v>0</v>
      </c>
      <c r="F58" s="72"/>
    </row>
    <row r="59" spans="2:30">
      <c r="B59" s="14" t="s">
        <v>271</v>
      </c>
      <c r="C59" s="9">
        <f>D28+E28</f>
        <v>259.66404109589041</v>
      </c>
      <c r="D59" s="9">
        <f>H28+O28+K28</f>
        <v>271.38511853881278</v>
      </c>
      <c r="E59" s="9" t="s">
        <v>12</v>
      </c>
    </row>
    <row r="62" spans="2:30" ht="20.25" thickBot="1">
      <c r="B62" s="291" t="s">
        <v>307</v>
      </c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X62" s="317" t="s">
        <v>635</v>
      </c>
      <c r="Y62" s="317"/>
      <c r="Z62" s="317"/>
      <c r="AA62" s="317"/>
      <c r="AB62" s="317"/>
      <c r="AC62" s="317"/>
      <c r="AD62" s="317"/>
    </row>
    <row r="63" spans="2:30" ht="15.75" thickTop="1"/>
    <row r="64" spans="2:30" ht="17.25">
      <c r="B64" s="314" t="s">
        <v>308</v>
      </c>
      <c r="C64" s="314"/>
      <c r="D64" s="314"/>
      <c r="F64" s="314" t="s">
        <v>280</v>
      </c>
      <c r="G64" s="314"/>
      <c r="H64" s="314"/>
      <c r="J64" s="314" t="s">
        <v>309</v>
      </c>
      <c r="K64" s="314"/>
      <c r="L64" s="314"/>
      <c r="N64" s="314" t="s">
        <v>636</v>
      </c>
      <c r="O64" s="314"/>
      <c r="P64" s="314"/>
      <c r="S64" s="314" t="s">
        <v>637</v>
      </c>
      <c r="T64" s="314"/>
      <c r="U64" s="314"/>
      <c r="X64" s="285" t="s">
        <v>335</v>
      </c>
      <c r="Y64" s="7">
        <f>P28</f>
        <v>14.972779412100458</v>
      </c>
      <c r="Z64" s="5" t="s">
        <v>23</v>
      </c>
      <c r="AB64" s="285" t="s">
        <v>336</v>
      </c>
      <c r="AC64" s="285"/>
      <c r="AD64" s="285"/>
    </row>
    <row r="65" spans="2:30" ht="17.25">
      <c r="B65" s="16" t="s">
        <v>286</v>
      </c>
      <c r="C65" s="9">
        <f>AC35</f>
        <v>28326.986301369863</v>
      </c>
      <c r="D65" s="2" t="s">
        <v>287</v>
      </c>
      <c r="F65" s="17" t="s">
        <v>286</v>
      </c>
      <c r="G65" s="7">
        <f>(I28*1000)/(AC44*G66)</f>
        <v>245.89397831050226</v>
      </c>
      <c r="H65" s="5" t="s">
        <v>287</v>
      </c>
      <c r="J65" s="17" t="s">
        <v>312</v>
      </c>
      <c r="K65" s="5">
        <v>400</v>
      </c>
      <c r="L65" s="5" t="s">
        <v>313</v>
      </c>
      <c r="N65" s="17" t="s">
        <v>314</v>
      </c>
      <c r="O65" s="5">
        <v>2</v>
      </c>
      <c r="P65" s="5" t="s">
        <v>17</v>
      </c>
      <c r="S65" s="17" t="s">
        <v>315</v>
      </c>
      <c r="T65" s="9">
        <f>T28</f>
        <v>2.163918714258886</v>
      </c>
      <c r="U65" s="2" t="s">
        <v>23</v>
      </c>
      <c r="X65" s="285"/>
      <c r="Y65" s="9">
        <f>P29</f>
        <v>14972.779412100457</v>
      </c>
      <c r="Z65" s="2" t="s">
        <v>274</v>
      </c>
      <c r="AB65" s="309" t="s">
        <v>271</v>
      </c>
      <c r="AC65" s="2">
        <f>AC67*AC68*(AC69-AC70)/1000</f>
        <v>4161983.4931815639</v>
      </c>
      <c r="AD65" s="2" t="s">
        <v>344</v>
      </c>
    </row>
    <row r="66" spans="2:30" ht="17.25">
      <c r="B66" s="16" t="s">
        <v>288</v>
      </c>
      <c r="C66" s="9">
        <f>AC36</f>
        <v>1133.0794520547945</v>
      </c>
      <c r="D66" s="2" t="s">
        <v>289</v>
      </c>
      <c r="F66" s="17" t="s">
        <v>316</v>
      </c>
      <c r="G66" s="5">
        <v>24</v>
      </c>
      <c r="H66" s="5" t="s">
        <v>317</v>
      </c>
      <c r="J66" s="17" t="s">
        <v>316</v>
      </c>
      <c r="K66" s="97">
        <f>10/60</f>
        <v>0.16666666666666666</v>
      </c>
      <c r="L66" s="5" t="s">
        <v>317</v>
      </c>
      <c r="N66" s="17" t="s">
        <v>318</v>
      </c>
      <c r="O66" s="7">
        <f>(O65/100)*Q32</f>
        <v>7.6695315410958891</v>
      </c>
      <c r="P66" s="5" t="s">
        <v>274</v>
      </c>
      <c r="S66" s="17" t="s">
        <v>65</v>
      </c>
      <c r="T66" s="2">
        <v>24</v>
      </c>
      <c r="U66" s="2" t="s">
        <v>317</v>
      </c>
      <c r="X66" s="132" t="s">
        <v>347</v>
      </c>
      <c r="Y66" s="5">
        <v>30</v>
      </c>
      <c r="Z66" s="5" t="s">
        <v>348</v>
      </c>
      <c r="AB66" s="309"/>
      <c r="AC66" s="9">
        <f>AC65/(24*60*60)</f>
        <v>48.171105245156987</v>
      </c>
      <c r="AD66" s="2" t="s">
        <v>349</v>
      </c>
    </row>
    <row r="67" spans="2:30" ht="17.25">
      <c r="B67" s="16" t="s">
        <v>70</v>
      </c>
      <c r="C67" s="2">
        <f>Y38/100</f>
        <v>0.04</v>
      </c>
      <c r="D67" s="2" t="s">
        <v>319</v>
      </c>
      <c r="F67" s="17" t="s">
        <v>320</v>
      </c>
      <c r="G67" s="2">
        <v>43.5</v>
      </c>
      <c r="H67" s="5" t="s">
        <v>287</v>
      </c>
      <c r="J67" s="17" t="s">
        <v>321</v>
      </c>
      <c r="K67" s="5">
        <v>50</v>
      </c>
      <c r="L67" s="5" t="s">
        <v>322</v>
      </c>
      <c r="N67" s="17" t="s">
        <v>65</v>
      </c>
      <c r="O67" s="2">
        <v>4</v>
      </c>
      <c r="P67" s="5" t="s">
        <v>317</v>
      </c>
      <c r="S67" s="17" t="s">
        <v>288</v>
      </c>
      <c r="T67" s="9">
        <f>T65*(T66/24)</f>
        <v>2.163918714258886</v>
      </c>
      <c r="U67" s="2" t="s">
        <v>289</v>
      </c>
      <c r="X67" s="132" t="s">
        <v>351</v>
      </c>
      <c r="Y67" s="5">
        <f>X15</f>
        <v>96.5</v>
      </c>
      <c r="Z67" s="5" t="s">
        <v>348</v>
      </c>
      <c r="AB67" s="29" t="s">
        <v>335</v>
      </c>
      <c r="AC67" s="9">
        <f>Y65</f>
        <v>14972.779412100457</v>
      </c>
      <c r="AD67" s="2" t="s">
        <v>274</v>
      </c>
    </row>
    <row r="68" spans="2:30" ht="17.25">
      <c r="B68" s="16" t="s">
        <v>323</v>
      </c>
      <c r="C68" s="5">
        <v>50</v>
      </c>
      <c r="D68" s="2" t="s">
        <v>33</v>
      </c>
      <c r="F68" s="17" t="s">
        <v>567</v>
      </c>
      <c r="G68" s="71">
        <f>ROUND(G65/G67,0)</f>
        <v>6</v>
      </c>
      <c r="H68" s="2"/>
      <c r="J68" s="76" t="s">
        <v>326</v>
      </c>
      <c r="K68" s="7">
        <f>K67*M32</f>
        <v>22425.530821917804</v>
      </c>
      <c r="L68" s="5" t="s">
        <v>322</v>
      </c>
      <c r="N68" s="17" t="s">
        <v>288</v>
      </c>
      <c r="O68" s="7">
        <f>(R28/24)*O67</f>
        <v>3.2071331871507822</v>
      </c>
      <c r="P68" s="2" t="s">
        <v>289</v>
      </c>
      <c r="AB68" s="29" t="s">
        <v>354</v>
      </c>
      <c r="AC68" s="2">
        <v>4180</v>
      </c>
      <c r="AD68" s="2" t="s">
        <v>355</v>
      </c>
    </row>
    <row r="69" spans="2:30" ht="17.25">
      <c r="B69" s="16" t="s">
        <v>328</v>
      </c>
      <c r="C69" s="9">
        <f>C66*C68</f>
        <v>56653.972602739726</v>
      </c>
      <c r="D69" s="2" t="s">
        <v>228</v>
      </c>
      <c r="J69" s="314" t="s">
        <v>638</v>
      </c>
      <c r="K69" s="314"/>
      <c r="L69" s="314"/>
      <c r="N69" s="17" t="s">
        <v>331</v>
      </c>
      <c r="O69" s="9">
        <v>68.970270164969591</v>
      </c>
      <c r="P69" s="5" t="s">
        <v>274</v>
      </c>
      <c r="S69" s="314" t="s">
        <v>639</v>
      </c>
      <c r="T69" s="314"/>
      <c r="U69" s="314"/>
      <c r="X69" s="132" t="s">
        <v>286</v>
      </c>
      <c r="Y69" s="9">
        <f>0.575168003325301/2</f>
        <v>0.28758400166265052</v>
      </c>
      <c r="Z69" s="5" t="s">
        <v>287</v>
      </c>
      <c r="AB69" s="29" t="s">
        <v>356</v>
      </c>
      <c r="AC69" s="2">
        <f>Y67</f>
        <v>96.5</v>
      </c>
      <c r="AD69" s="2" t="s">
        <v>348</v>
      </c>
    </row>
    <row r="70" spans="2:30" ht="17.25">
      <c r="B70" s="16" t="s">
        <v>65</v>
      </c>
      <c r="C70" s="2">
        <v>24</v>
      </c>
      <c r="D70" s="2" t="s">
        <v>317</v>
      </c>
      <c r="F70" s="314" t="s">
        <v>640</v>
      </c>
      <c r="G70" s="314"/>
      <c r="H70" s="314"/>
      <c r="J70" s="17" t="s">
        <v>65</v>
      </c>
      <c r="K70" s="2">
        <v>15</v>
      </c>
      <c r="L70" s="5" t="s">
        <v>641</v>
      </c>
      <c r="N70" s="314" t="s">
        <v>642</v>
      </c>
      <c r="O70" s="314"/>
      <c r="P70" s="314"/>
      <c r="S70" s="17" t="s">
        <v>315</v>
      </c>
      <c r="T70" s="9">
        <f>R28</f>
        <v>19.242799122904692</v>
      </c>
      <c r="U70" s="2" t="s">
        <v>23</v>
      </c>
      <c r="AB70" s="29" t="s">
        <v>358</v>
      </c>
      <c r="AC70" s="2">
        <f>Y66</f>
        <v>30</v>
      </c>
      <c r="AD70" s="2" t="s">
        <v>348</v>
      </c>
    </row>
    <row r="71" spans="2:30" ht="17.25">
      <c r="F71" s="17" t="s">
        <v>286</v>
      </c>
      <c r="G71" s="9">
        <f>Y69</f>
        <v>0.28758400166265052</v>
      </c>
      <c r="H71" s="5" t="s">
        <v>287</v>
      </c>
      <c r="J71" s="17" t="s">
        <v>288</v>
      </c>
      <c r="K71" s="9">
        <f>(P28*K70)/(24*60)</f>
        <v>0.15596645220937977</v>
      </c>
      <c r="L71" s="2" t="s">
        <v>289</v>
      </c>
      <c r="N71" s="17" t="s">
        <v>593</v>
      </c>
      <c r="O71" s="2">
        <v>40</v>
      </c>
      <c r="P71" s="5" t="s">
        <v>17</v>
      </c>
      <c r="S71" s="17" t="s">
        <v>65</v>
      </c>
      <c r="T71" s="2">
        <v>24</v>
      </c>
      <c r="U71" s="2" t="s">
        <v>317</v>
      </c>
    </row>
    <row r="72" spans="2:30" ht="17.25">
      <c r="B72" s="314" t="s">
        <v>643</v>
      </c>
      <c r="C72" s="314"/>
      <c r="D72" s="314"/>
      <c r="N72" s="76" t="s">
        <v>65</v>
      </c>
      <c r="O72" s="2">
        <v>1</v>
      </c>
      <c r="P72" s="5" t="s">
        <v>317</v>
      </c>
      <c r="S72" s="17" t="s">
        <v>288</v>
      </c>
      <c r="T72" s="9">
        <f>T70*(T71/24)</f>
        <v>19.242799122904692</v>
      </c>
      <c r="U72" s="2" t="s">
        <v>289</v>
      </c>
      <c r="AB72" s="256" t="s">
        <v>361</v>
      </c>
      <c r="AC72" s="256"/>
      <c r="AD72" s="256"/>
    </row>
    <row r="73" spans="2:30" ht="17.25">
      <c r="B73" s="17" t="s">
        <v>286</v>
      </c>
      <c r="C73" s="7">
        <f>(O28*1000)/(AC44*G66)</f>
        <v>35.569383609208522</v>
      </c>
      <c r="D73" s="5" t="s">
        <v>287</v>
      </c>
      <c r="N73" s="76" t="s">
        <v>288</v>
      </c>
      <c r="O73" s="9">
        <f>O28*(O72/24)</f>
        <v>1.4227753443683409</v>
      </c>
      <c r="P73" s="2" t="s">
        <v>289</v>
      </c>
      <c r="AB73" s="29" t="s">
        <v>271</v>
      </c>
      <c r="AC73" s="127">
        <f>AC66</f>
        <v>48.171105245156987</v>
      </c>
      <c r="AD73" s="2" t="s">
        <v>349</v>
      </c>
    </row>
    <row r="74" spans="2:30">
      <c r="AB74" s="29" t="s">
        <v>364</v>
      </c>
      <c r="AC74" s="2">
        <v>2200.6999999999998</v>
      </c>
      <c r="AD74" s="2" t="s">
        <v>365</v>
      </c>
    </row>
    <row r="75" spans="2:30" ht="20.25" thickBot="1">
      <c r="B75" s="291" t="s">
        <v>332</v>
      </c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AB75" s="309" t="s">
        <v>367</v>
      </c>
      <c r="AC75" s="9">
        <f>AC73/AC74</f>
        <v>2.1888992250264458E-2</v>
      </c>
      <c r="AD75" s="2" t="s">
        <v>368</v>
      </c>
    </row>
    <row r="76" spans="2:30" ht="15.75" thickTop="1">
      <c r="AB76" s="309"/>
      <c r="AC76" s="9">
        <f>AC75*24*60*60</f>
        <v>1891.2089304228491</v>
      </c>
      <c r="AD76" s="2" t="s">
        <v>370</v>
      </c>
    </row>
    <row r="77" spans="2:30">
      <c r="B77" s="303" t="s">
        <v>334</v>
      </c>
      <c r="C77" s="303"/>
      <c r="D77" s="303"/>
      <c r="E77" s="303"/>
      <c r="F77" s="303"/>
      <c r="G77" s="303"/>
      <c r="I77" s="303" t="s">
        <v>334</v>
      </c>
      <c r="J77" s="303"/>
      <c r="K77" s="303"/>
      <c r="L77" s="303"/>
      <c r="M77" s="303"/>
      <c r="N77" s="303"/>
      <c r="O77" s="303"/>
      <c r="P77" s="303"/>
      <c r="AB77" s="29" t="s">
        <v>227</v>
      </c>
      <c r="AC77" s="2">
        <v>120</v>
      </c>
      <c r="AD77" s="2" t="s">
        <v>348</v>
      </c>
    </row>
    <row r="78" spans="2:30">
      <c r="B78" s="31" t="s">
        <v>337</v>
      </c>
      <c r="C78" s="308" t="s">
        <v>338</v>
      </c>
      <c r="D78" s="308"/>
      <c r="E78" s="31" t="s">
        <v>339</v>
      </c>
      <c r="F78" s="308" t="s">
        <v>340</v>
      </c>
      <c r="G78" s="308"/>
      <c r="I78" s="31" t="s">
        <v>341</v>
      </c>
      <c r="J78" s="31" t="s">
        <v>342</v>
      </c>
      <c r="K78" s="308" t="s">
        <v>340</v>
      </c>
      <c r="L78" s="308"/>
      <c r="M78" s="31" t="s">
        <v>339</v>
      </c>
      <c r="N78" s="31" t="s">
        <v>343</v>
      </c>
      <c r="O78" s="31" t="s">
        <v>214</v>
      </c>
      <c r="P78" s="31" t="s">
        <v>17</v>
      </c>
    </row>
    <row r="79" spans="2:30" ht="20.25" thickBot="1">
      <c r="B79" s="2">
        <v>1</v>
      </c>
      <c r="C79" s="2">
        <v>4</v>
      </c>
      <c r="D79" s="2" t="s">
        <v>345</v>
      </c>
      <c r="E79" s="20">
        <f>'Escenario 1'!E69</f>
        <v>6774</v>
      </c>
      <c r="F79" s="9">
        <f>(C148*C147)/C146</f>
        <v>15.737214611872146</v>
      </c>
      <c r="G79" s="2" t="s">
        <v>345</v>
      </c>
      <c r="I79" s="1">
        <v>1</v>
      </c>
      <c r="J79" s="1" t="s">
        <v>346</v>
      </c>
      <c r="K79" s="9">
        <f>+IF(F79/C79&lt;1,C79,IF(F79/C79&lt;10,F79,F79/(1+INT(F79/(C79*10)))))</f>
        <v>15.737214611872146</v>
      </c>
      <c r="L79" s="2" t="s">
        <v>345</v>
      </c>
      <c r="M79" s="20">
        <f t="shared" ref="M79:M103" si="3">E79*(K79/C79)^$D$105</f>
        <v>21701.156903190953</v>
      </c>
      <c r="N79" s="2">
        <f>+IF(B79=1,ROUNDUP(F79/K79,0),0)</f>
        <v>1</v>
      </c>
      <c r="O79" s="20">
        <f>M79*N79</f>
        <v>21701.156903190953</v>
      </c>
      <c r="P79" s="35">
        <f t="shared" ref="P79:P103" si="4">(O79/$O$104)</f>
        <v>5.5121401678205888E-2</v>
      </c>
      <c r="X79" s="317" t="s">
        <v>644</v>
      </c>
      <c r="Y79" s="317"/>
      <c r="Z79" s="317"/>
      <c r="AA79" s="317"/>
      <c r="AB79" s="317"/>
      <c r="AC79" s="317"/>
      <c r="AD79" s="317"/>
    </row>
    <row r="80" spans="2:30" ht="18" thickTop="1">
      <c r="B80" s="2">
        <v>1</v>
      </c>
      <c r="C80" s="2">
        <v>200</v>
      </c>
      <c r="D80" s="2" t="s">
        <v>345</v>
      </c>
      <c r="E80" s="20">
        <f>'Escenario 1'!E70</f>
        <v>2822.5</v>
      </c>
      <c r="F80" s="9">
        <f>C149*C148*60</f>
        <v>679.84767123287668</v>
      </c>
      <c r="G80" s="2" t="s">
        <v>345</v>
      </c>
      <c r="I80" s="1">
        <v>2</v>
      </c>
      <c r="J80" s="1" t="s">
        <v>350</v>
      </c>
      <c r="K80" s="9">
        <f>+IF(F80/C80&lt;1,C80,IF(F80/C80&lt;10,F80,F80/(1+INT(F80/(C80*10)))))</f>
        <v>679.84767123287668</v>
      </c>
      <c r="L80" s="2" t="s">
        <v>345</v>
      </c>
      <c r="M80" s="20">
        <f t="shared" si="3"/>
        <v>7985.6142295367554</v>
      </c>
      <c r="N80" s="2">
        <f>+IF(B80=1,ROUNDUP(F80/K80,0),0)</f>
        <v>1</v>
      </c>
      <c r="O80" s="20">
        <f>M80*N80</f>
        <v>7985.6142295367554</v>
      </c>
      <c r="P80" s="35">
        <f t="shared" si="4"/>
        <v>2.0283630571270053E-2</v>
      </c>
    </row>
    <row r="81" spans="2:30" ht="18">
      <c r="B81" s="2">
        <v>1</v>
      </c>
      <c r="C81" s="2">
        <v>4</v>
      </c>
      <c r="D81" s="2" t="s">
        <v>352</v>
      </c>
      <c r="E81" s="20">
        <f>'Escenario 1'!E71</f>
        <v>564.5</v>
      </c>
      <c r="F81" s="9">
        <f>(C151*C148*C150)/C146</f>
        <v>29.507277397260271</v>
      </c>
      <c r="G81" s="2" t="s">
        <v>352</v>
      </c>
      <c r="I81" s="1">
        <v>3</v>
      </c>
      <c r="J81" s="1" t="s">
        <v>353</v>
      </c>
      <c r="K81" s="9">
        <f t="shared" ref="K81:K103" si="5">+IF(F81/C81&lt;1,C81,IF(F81/C81&lt;10,F81,F81/(1+INT(F81/(C81*10)))))</f>
        <v>29.507277397260271</v>
      </c>
      <c r="L81" s="2" t="s">
        <v>352</v>
      </c>
      <c r="M81" s="20">
        <f t="shared" si="3"/>
        <v>3085.6930490457175</v>
      </c>
      <c r="N81" s="2">
        <f t="shared" ref="N81:N103" si="6">+IF(B81=1,ROUNDUP(F81/K81,0),0)</f>
        <v>1</v>
      </c>
      <c r="O81" s="20">
        <f t="shared" ref="O81:O103" si="7">M81*N81</f>
        <v>3085.6930490457175</v>
      </c>
      <c r="P81" s="35">
        <f t="shared" si="4"/>
        <v>7.8377261991542501E-3</v>
      </c>
      <c r="X81" s="285" t="s">
        <v>335</v>
      </c>
      <c r="Y81" s="7">
        <f>R28</f>
        <v>19.242799122904692</v>
      </c>
      <c r="Z81" s="5" t="s">
        <v>23</v>
      </c>
      <c r="AB81" s="285" t="s">
        <v>336</v>
      </c>
      <c r="AC81" s="285"/>
      <c r="AD81" s="285"/>
    </row>
    <row r="82" spans="2:30" ht="17.25">
      <c r="B82" s="2">
        <v>1</v>
      </c>
      <c r="C82" s="2">
        <v>200</v>
      </c>
      <c r="D82" s="2" t="s">
        <v>289</v>
      </c>
      <c r="E82" s="20">
        <f>'Escenario 1'!E72</f>
        <v>10000</v>
      </c>
      <c r="F82" s="9">
        <f>C148</f>
        <v>1133.0794520547945</v>
      </c>
      <c r="G82" s="2" t="s">
        <v>289</v>
      </c>
      <c r="I82" s="1">
        <v>4</v>
      </c>
      <c r="J82" s="1" t="s">
        <v>308</v>
      </c>
      <c r="K82" s="9">
        <f t="shared" si="5"/>
        <v>1133.0794520547945</v>
      </c>
      <c r="L82" s="2" t="s">
        <v>289</v>
      </c>
      <c r="M82" s="20">
        <f t="shared" si="3"/>
        <v>43676.297243828398</v>
      </c>
      <c r="N82" s="2">
        <f t="shared" si="6"/>
        <v>1</v>
      </c>
      <c r="O82" s="20">
        <f t="shared" si="7"/>
        <v>43676.297243828398</v>
      </c>
      <c r="P82" s="35">
        <f t="shared" si="4"/>
        <v>0.11093872713485527</v>
      </c>
      <c r="X82" s="285"/>
      <c r="Y82" s="7">
        <f>R29</f>
        <v>19242.799122904693</v>
      </c>
      <c r="Z82" s="2" t="s">
        <v>274</v>
      </c>
      <c r="AB82" s="309" t="s">
        <v>271</v>
      </c>
      <c r="AC82" s="2">
        <f>AC84*AC85*(AC86-AC87)/1000</f>
        <v>1608698.0066748324</v>
      </c>
      <c r="AD82" s="2" t="s">
        <v>344</v>
      </c>
    </row>
    <row r="83" spans="2:30" ht="17.25">
      <c r="B83" s="2">
        <v>1</v>
      </c>
      <c r="C83" s="2">
        <v>1</v>
      </c>
      <c r="D83" s="2" t="s">
        <v>289</v>
      </c>
      <c r="E83" s="20">
        <f>'Escenario 1'!E73</f>
        <v>564.5</v>
      </c>
      <c r="F83" s="9">
        <f>F79</f>
        <v>15.737214611872146</v>
      </c>
      <c r="G83" s="2" t="s">
        <v>289</v>
      </c>
      <c r="I83" s="1">
        <v>5</v>
      </c>
      <c r="J83" s="1" t="s">
        <v>568</v>
      </c>
      <c r="K83" s="9">
        <f t="shared" si="5"/>
        <v>7.8686073059360728</v>
      </c>
      <c r="L83" s="2" t="s">
        <v>289</v>
      </c>
      <c r="M83" s="20">
        <f t="shared" si="3"/>
        <v>3259.6962830318425</v>
      </c>
      <c r="N83" s="2">
        <f t="shared" si="6"/>
        <v>2</v>
      </c>
      <c r="O83" s="20">
        <f t="shared" si="7"/>
        <v>6519.3925660636851</v>
      </c>
      <c r="P83" s="35">
        <f t="shared" si="4"/>
        <v>1.6559396254080146E-2</v>
      </c>
      <c r="X83" s="132" t="s">
        <v>347</v>
      </c>
      <c r="Y83" s="5">
        <v>30</v>
      </c>
      <c r="Z83" s="5" t="s">
        <v>348</v>
      </c>
      <c r="AB83" s="309"/>
      <c r="AC83" s="9">
        <f>AC82/(24*60*60)</f>
        <v>18.619189892069819</v>
      </c>
      <c r="AD83" s="2" t="s">
        <v>349</v>
      </c>
    </row>
    <row r="84" spans="2:30" ht="17.25">
      <c r="B84" s="2">
        <v>1</v>
      </c>
      <c r="C84" s="2">
        <f>G67</f>
        <v>43.5</v>
      </c>
      <c r="D84" s="2" t="s">
        <v>287</v>
      </c>
      <c r="E84" s="20">
        <f>'Escenario 1'!E74</f>
        <v>6000</v>
      </c>
      <c r="F84" s="9">
        <f>G65</f>
        <v>245.89397831050226</v>
      </c>
      <c r="G84" s="2" t="s">
        <v>287</v>
      </c>
      <c r="I84" s="1">
        <v>6</v>
      </c>
      <c r="J84" s="157" t="s">
        <v>359</v>
      </c>
      <c r="K84" s="9">
        <f t="shared" si="5"/>
        <v>245.89397831050226</v>
      </c>
      <c r="L84" s="2" t="s">
        <v>287</v>
      </c>
      <c r="M84" s="20">
        <f t="shared" si="3"/>
        <v>26155.985708899305</v>
      </c>
      <c r="N84" s="2">
        <f t="shared" si="6"/>
        <v>1</v>
      </c>
      <c r="O84" s="20">
        <f t="shared" si="7"/>
        <v>26155.985708899305</v>
      </c>
      <c r="P84" s="35">
        <f t="shared" si="4"/>
        <v>6.6436761919253018E-2</v>
      </c>
      <c r="X84" s="132" t="s">
        <v>351</v>
      </c>
      <c r="Y84" s="5">
        <v>50</v>
      </c>
      <c r="Z84" s="5" t="s">
        <v>348</v>
      </c>
      <c r="AB84" s="29" t="s">
        <v>335</v>
      </c>
      <c r="AC84" s="9">
        <f>Y82</f>
        <v>19242.799122904693</v>
      </c>
      <c r="AD84" s="2" t="s">
        <v>274</v>
      </c>
    </row>
    <row r="85" spans="2:30" ht="17.25">
      <c r="B85" s="2">
        <v>1</v>
      </c>
      <c r="C85" s="9">
        <f>C86</f>
        <v>1.4227753443683409</v>
      </c>
      <c r="D85" s="2" t="s">
        <v>289</v>
      </c>
      <c r="E85" s="20">
        <f>E87*0.25</f>
        <v>16125</v>
      </c>
      <c r="F85" s="9">
        <f>O73</f>
        <v>1.4227753443683409</v>
      </c>
      <c r="G85" s="2" t="s">
        <v>289</v>
      </c>
      <c r="I85" s="1">
        <v>7</v>
      </c>
      <c r="J85" s="157" t="s">
        <v>360</v>
      </c>
      <c r="K85" s="9">
        <f t="shared" si="5"/>
        <v>1.4227753443683409</v>
      </c>
      <c r="L85" s="2" t="s">
        <v>289</v>
      </c>
      <c r="M85" s="20">
        <v>16050</v>
      </c>
      <c r="N85" s="2">
        <f t="shared" si="6"/>
        <v>1</v>
      </c>
      <c r="O85" s="20">
        <v>16050</v>
      </c>
      <c r="P85" s="35">
        <f t="shared" si="4"/>
        <v>4.0767342537628391E-2</v>
      </c>
      <c r="AB85" s="29" t="s">
        <v>354</v>
      </c>
      <c r="AC85" s="2">
        <v>4180</v>
      </c>
      <c r="AD85" s="2" t="s">
        <v>355</v>
      </c>
    </row>
    <row r="86" spans="2:30" ht="17.25">
      <c r="B86" s="2">
        <v>1</v>
      </c>
      <c r="C86" s="9">
        <f>E235</f>
        <v>1.4227753443683409</v>
      </c>
      <c r="D86" s="2" t="s">
        <v>289</v>
      </c>
      <c r="E86" s="20">
        <f>J235</f>
        <v>47000</v>
      </c>
      <c r="F86" s="9">
        <f>O73</f>
        <v>1.4227753443683409</v>
      </c>
      <c r="G86" s="2" t="s">
        <v>289</v>
      </c>
      <c r="I86" s="1">
        <v>8</v>
      </c>
      <c r="J86" s="157" t="s">
        <v>645</v>
      </c>
      <c r="K86" s="9">
        <f t="shared" si="5"/>
        <v>1.4227753443683409</v>
      </c>
      <c r="L86" s="2" t="s">
        <v>289</v>
      </c>
      <c r="M86" s="20">
        <f t="shared" si="3"/>
        <v>47000</v>
      </c>
      <c r="N86" s="2">
        <f>+IF(B86=1,ROUNDUP(F86/K86,0),0)</f>
        <v>1</v>
      </c>
      <c r="O86" s="20">
        <f>M86*N86</f>
        <v>47000</v>
      </c>
      <c r="P86" s="35">
        <f t="shared" si="4"/>
        <v>0.11938100306969061</v>
      </c>
      <c r="AB86" s="29" t="s">
        <v>356</v>
      </c>
      <c r="AC86" s="2">
        <f>Y84</f>
        <v>50</v>
      </c>
      <c r="AD86" s="2" t="s">
        <v>348</v>
      </c>
    </row>
    <row r="87" spans="2:30" ht="17.25">
      <c r="B87" s="2">
        <v>1</v>
      </c>
      <c r="C87" s="9">
        <f>E239</f>
        <v>3.2071331871507822</v>
      </c>
      <c r="D87" s="2" t="s">
        <v>289</v>
      </c>
      <c r="E87" s="20">
        <f>J239</f>
        <v>64500</v>
      </c>
      <c r="F87" s="9">
        <f>O68</f>
        <v>3.2071331871507822</v>
      </c>
      <c r="G87" s="2" t="s">
        <v>289</v>
      </c>
      <c r="I87" s="1">
        <v>9</v>
      </c>
      <c r="J87" s="157" t="s">
        <v>646</v>
      </c>
      <c r="K87" s="9">
        <f t="shared" si="5"/>
        <v>3.2071331871507822</v>
      </c>
      <c r="L87" s="2" t="s">
        <v>289</v>
      </c>
      <c r="M87" s="20">
        <f t="shared" si="3"/>
        <v>64500</v>
      </c>
      <c r="N87" s="2">
        <f t="shared" si="6"/>
        <v>1</v>
      </c>
      <c r="O87" s="213">
        <f t="shared" si="7"/>
        <v>64500</v>
      </c>
      <c r="P87" s="35">
        <f t="shared" si="4"/>
        <v>0.16383137655308605</v>
      </c>
      <c r="AB87" s="29" t="s">
        <v>358</v>
      </c>
      <c r="AC87" s="2">
        <f>Y83</f>
        <v>30</v>
      </c>
      <c r="AD87" s="2" t="s">
        <v>348</v>
      </c>
    </row>
    <row r="88" spans="2:30" ht="17.25">
      <c r="B88" s="2">
        <v>1</v>
      </c>
      <c r="C88" s="9">
        <f>E247</f>
        <v>2.163918714258886</v>
      </c>
      <c r="D88" s="2" t="s">
        <v>289</v>
      </c>
      <c r="E88" s="20">
        <f>J247</f>
        <v>14400</v>
      </c>
      <c r="F88" s="9">
        <f>T65</f>
        <v>2.163918714258886</v>
      </c>
      <c r="G88" s="2" t="s">
        <v>289</v>
      </c>
      <c r="I88" s="1">
        <v>10</v>
      </c>
      <c r="J88" s="157" t="s">
        <v>647</v>
      </c>
      <c r="K88" s="9">
        <f t="shared" si="5"/>
        <v>2.163918714258886</v>
      </c>
      <c r="L88" s="2" t="s">
        <v>289</v>
      </c>
      <c r="M88" s="20">
        <f t="shared" si="3"/>
        <v>14400</v>
      </c>
      <c r="N88" s="2">
        <f t="shared" si="6"/>
        <v>1</v>
      </c>
      <c r="O88" s="32">
        <f t="shared" si="7"/>
        <v>14400</v>
      </c>
      <c r="P88" s="35">
        <f t="shared" si="4"/>
        <v>3.6576307323479676E-2</v>
      </c>
    </row>
    <row r="89" spans="2:30" ht="17.25">
      <c r="B89" s="2">
        <v>1</v>
      </c>
      <c r="C89" s="9">
        <f>E248</f>
        <v>19.242799122904692</v>
      </c>
      <c r="D89" s="2" t="s">
        <v>289</v>
      </c>
      <c r="E89" s="20">
        <f>J248</f>
        <v>29500</v>
      </c>
      <c r="F89" s="9">
        <f>T72</f>
        <v>19.242799122904692</v>
      </c>
      <c r="G89" s="2" t="s">
        <v>289</v>
      </c>
      <c r="I89" s="1">
        <v>11</v>
      </c>
      <c r="J89" s="157" t="s">
        <v>648</v>
      </c>
      <c r="K89" s="9">
        <f t="shared" si="5"/>
        <v>19.242799122904692</v>
      </c>
      <c r="L89" s="2" t="s">
        <v>289</v>
      </c>
      <c r="M89" s="20">
        <f t="shared" si="3"/>
        <v>29500</v>
      </c>
      <c r="N89" s="2">
        <f>+IF(B89=1,ROUNDUP(F89/K89,0),0)</f>
        <v>1</v>
      </c>
      <c r="O89" s="32">
        <f>M89*N89</f>
        <v>29500</v>
      </c>
      <c r="P89" s="35">
        <f t="shared" si="4"/>
        <v>7.4930629586295178E-2</v>
      </c>
      <c r="AB89" s="256" t="s">
        <v>361</v>
      </c>
      <c r="AC89" s="256"/>
      <c r="AD89" s="256"/>
    </row>
    <row r="90" spans="2:30" ht="17.25">
      <c r="B90" s="2">
        <v>1</v>
      </c>
      <c r="C90" s="9">
        <f>C220/1000</f>
        <v>1.5737214611872143</v>
      </c>
      <c r="D90" s="2" t="s">
        <v>345</v>
      </c>
      <c r="E90" s="20">
        <f>J220</f>
        <v>4780</v>
      </c>
      <c r="F90" s="9">
        <f>D28/24</f>
        <v>1.5737214611872146</v>
      </c>
      <c r="G90" s="2" t="s">
        <v>345</v>
      </c>
      <c r="I90" s="1">
        <v>12</v>
      </c>
      <c r="J90" s="157" t="s">
        <v>366</v>
      </c>
      <c r="K90" s="9">
        <f t="shared" si="5"/>
        <v>1.5737214611872146</v>
      </c>
      <c r="L90" s="2" t="s">
        <v>345</v>
      </c>
      <c r="M90" s="20">
        <f t="shared" si="3"/>
        <v>4780.0000000000009</v>
      </c>
      <c r="N90" s="2">
        <f t="shared" si="6"/>
        <v>1</v>
      </c>
      <c r="O90" s="32">
        <f t="shared" si="7"/>
        <v>4780.0000000000009</v>
      </c>
      <c r="P90" s="35">
        <f t="shared" si="4"/>
        <v>1.2141302014321729E-2</v>
      </c>
      <c r="AB90" s="29" t="s">
        <v>271</v>
      </c>
      <c r="AC90" s="127">
        <f>AC83</f>
        <v>18.619189892069819</v>
      </c>
      <c r="AD90" s="2" t="s">
        <v>349</v>
      </c>
    </row>
    <row r="91" spans="2:30" ht="17.25">
      <c r="B91" s="2">
        <v>1</v>
      </c>
      <c r="C91" s="9">
        <f t="shared" ref="C91:C95" si="8">C221/1000</f>
        <v>9.245613584474885</v>
      </c>
      <c r="D91" s="2" t="s">
        <v>345</v>
      </c>
      <c r="E91" s="20">
        <f t="shared" ref="E91:E97" si="9">J221</f>
        <v>5230</v>
      </c>
      <c r="F91" s="9">
        <f>E28/24</f>
        <v>9.245613584474885</v>
      </c>
      <c r="G91" s="2" t="s">
        <v>345</v>
      </c>
      <c r="I91" s="1">
        <v>13</v>
      </c>
      <c r="J91" s="157" t="s">
        <v>369</v>
      </c>
      <c r="K91" s="9">
        <f t="shared" si="5"/>
        <v>9.245613584474885</v>
      </c>
      <c r="L91" s="2" t="s">
        <v>345</v>
      </c>
      <c r="M91" s="20">
        <f t="shared" si="3"/>
        <v>5230</v>
      </c>
      <c r="N91" s="2">
        <f>+IF(B91=1,ROUNDUP(F91/K91,0),0)</f>
        <v>1</v>
      </c>
      <c r="O91" s="32">
        <f>M91*N91</f>
        <v>5230</v>
      </c>
      <c r="P91" s="35">
        <f t="shared" si="4"/>
        <v>1.3284311618180465E-2</v>
      </c>
      <c r="AB91" s="29" t="s">
        <v>364</v>
      </c>
      <c r="AC91" s="2">
        <v>2200.6999999999998</v>
      </c>
      <c r="AD91" s="2" t="s">
        <v>365</v>
      </c>
    </row>
    <row r="92" spans="2:30" ht="17.25">
      <c r="B92" s="2">
        <v>1</v>
      </c>
      <c r="C92" s="9">
        <f t="shared" si="8"/>
        <v>4.9178795662100443</v>
      </c>
      <c r="D92" s="2" t="s">
        <v>345</v>
      </c>
      <c r="E92" s="20">
        <f t="shared" si="9"/>
        <v>5000</v>
      </c>
      <c r="F92" s="9">
        <f>F28/24</f>
        <v>4.9178795662100452</v>
      </c>
      <c r="G92" s="2" t="s">
        <v>345</v>
      </c>
      <c r="I92" s="1">
        <v>14</v>
      </c>
      <c r="J92" s="157" t="s">
        <v>371</v>
      </c>
      <c r="K92" s="9">
        <f t="shared" si="5"/>
        <v>4.9178795662100452</v>
      </c>
      <c r="L92" s="2" t="s">
        <v>345</v>
      </c>
      <c r="M92" s="20">
        <f t="shared" si="3"/>
        <v>5000.0000000000009</v>
      </c>
      <c r="N92" s="2">
        <f t="shared" si="6"/>
        <v>1</v>
      </c>
      <c r="O92" s="32">
        <f t="shared" si="7"/>
        <v>5000.0000000000009</v>
      </c>
      <c r="P92" s="35">
        <f t="shared" si="4"/>
        <v>1.2700106709541557E-2</v>
      </c>
      <c r="AB92" s="309" t="s">
        <v>367</v>
      </c>
      <c r="AC92" s="9">
        <f>AC90/AC91</f>
        <v>8.4605761312626978E-3</v>
      </c>
      <c r="AD92" s="2" t="s">
        <v>368</v>
      </c>
    </row>
    <row r="93" spans="2:30" ht="17.25">
      <c r="B93" s="2">
        <v>1</v>
      </c>
      <c r="C93" s="9">
        <f t="shared" si="8"/>
        <v>9.8357591324200886</v>
      </c>
      <c r="D93" s="2" t="s">
        <v>345</v>
      </c>
      <c r="E93" s="20">
        <f t="shared" si="9"/>
        <v>5340</v>
      </c>
      <c r="F93" s="9">
        <f>I28/24</f>
        <v>9.8357591324200904</v>
      </c>
      <c r="G93" s="2" t="s">
        <v>345</v>
      </c>
      <c r="I93" s="1">
        <v>15</v>
      </c>
      <c r="J93" s="157" t="s">
        <v>372</v>
      </c>
      <c r="K93" s="9">
        <f t="shared" si="5"/>
        <v>9.8357591324200904</v>
      </c>
      <c r="L93" s="2" t="s">
        <v>345</v>
      </c>
      <c r="M93" s="20">
        <f t="shared" si="3"/>
        <v>5340.0000000000009</v>
      </c>
      <c r="N93" s="2">
        <f t="shared" si="6"/>
        <v>1</v>
      </c>
      <c r="O93" s="32">
        <f t="shared" si="7"/>
        <v>5340.0000000000009</v>
      </c>
      <c r="P93" s="35">
        <f t="shared" si="4"/>
        <v>1.3563713965790383E-2</v>
      </c>
      <c r="AB93" s="309"/>
      <c r="AC93" s="9">
        <f>AC92*24*60*60</f>
        <v>730.99377774109701</v>
      </c>
      <c r="AD93" s="2" t="s">
        <v>370</v>
      </c>
    </row>
    <row r="94" spans="2:30" ht="17.25">
      <c r="B94" s="2">
        <v>1</v>
      </c>
      <c r="C94" s="9">
        <f t="shared" si="8"/>
        <v>0.93439711757990851</v>
      </c>
      <c r="D94" s="2" t="s">
        <v>345</v>
      </c>
      <c r="E94" s="20">
        <f t="shared" si="9"/>
        <v>4780</v>
      </c>
      <c r="F94" s="9">
        <f>L28/24</f>
        <v>0.93439711757990851</v>
      </c>
      <c r="G94" s="2" t="s">
        <v>345</v>
      </c>
      <c r="I94" s="1">
        <v>16</v>
      </c>
      <c r="J94" s="157" t="s">
        <v>373</v>
      </c>
      <c r="K94" s="9">
        <f t="shared" si="5"/>
        <v>0.93439711757990851</v>
      </c>
      <c r="L94" s="2" t="s">
        <v>345</v>
      </c>
      <c r="M94" s="20">
        <f t="shared" si="3"/>
        <v>4780</v>
      </c>
      <c r="N94" s="2">
        <f t="shared" si="6"/>
        <v>1</v>
      </c>
      <c r="O94" s="32">
        <f t="shared" si="7"/>
        <v>4780</v>
      </c>
      <c r="P94" s="35">
        <f t="shared" si="4"/>
        <v>1.2141302014321726E-2</v>
      </c>
      <c r="AB94" s="29" t="s">
        <v>227</v>
      </c>
      <c r="AC94" s="2">
        <v>120</v>
      </c>
      <c r="AD94" s="2" t="s">
        <v>348</v>
      </c>
    </row>
    <row r="95" spans="2:30" ht="17.25">
      <c r="B95" s="2">
        <v>1</v>
      </c>
      <c r="C95" s="9">
        <f t="shared" si="8"/>
        <v>0.93439711757990851</v>
      </c>
      <c r="D95" s="2" t="s">
        <v>345</v>
      </c>
      <c r="E95" s="20">
        <f t="shared" si="9"/>
        <v>4780</v>
      </c>
      <c r="F95" s="9">
        <f>M28/24</f>
        <v>0.93439711757990851</v>
      </c>
      <c r="G95" s="2" t="s">
        <v>345</v>
      </c>
      <c r="I95" s="1">
        <v>17</v>
      </c>
      <c r="J95" s="157" t="s">
        <v>374</v>
      </c>
      <c r="K95" s="9">
        <f t="shared" si="5"/>
        <v>0.93439711757990851</v>
      </c>
      <c r="L95" s="2" t="s">
        <v>345</v>
      </c>
      <c r="M95" s="20">
        <f t="shared" si="3"/>
        <v>4780</v>
      </c>
      <c r="N95" s="2">
        <f t="shared" si="6"/>
        <v>1</v>
      </c>
      <c r="O95" s="32">
        <f t="shared" si="7"/>
        <v>4780</v>
      </c>
      <c r="P95" s="35">
        <f t="shared" si="4"/>
        <v>1.2141302014321726E-2</v>
      </c>
    </row>
    <row r="96" spans="2:30" ht="17.25">
      <c r="B96" s="2">
        <v>1</v>
      </c>
      <c r="C96" s="9">
        <v>1.6937801718670722</v>
      </c>
      <c r="D96" s="2" t="s">
        <v>345</v>
      </c>
      <c r="E96" s="20">
        <f t="shared" si="9"/>
        <v>4780</v>
      </c>
      <c r="F96" s="9">
        <f>O28/24</f>
        <v>1.4227753443683409</v>
      </c>
      <c r="G96" s="2" t="s">
        <v>345</v>
      </c>
      <c r="I96" s="1">
        <v>18</v>
      </c>
      <c r="J96" s="157" t="s">
        <v>649</v>
      </c>
      <c r="K96" s="9">
        <f t="shared" si="5"/>
        <v>1.6937801718670722</v>
      </c>
      <c r="L96" s="2" t="s">
        <v>345</v>
      </c>
      <c r="M96" s="20">
        <f t="shared" si="3"/>
        <v>4780</v>
      </c>
      <c r="N96" s="2">
        <f t="shared" si="6"/>
        <v>1</v>
      </c>
      <c r="O96" s="32">
        <f t="shared" si="7"/>
        <v>4780</v>
      </c>
      <c r="P96" s="35">
        <f t="shared" si="4"/>
        <v>1.2141302014321726E-2</v>
      </c>
    </row>
    <row r="97" spans="2:16" ht="17.25">
      <c r="B97" s="2">
        <v>1</v>
      </c>
      <c r="C97" s="9">
        <v>1.5162447195268898</v>
      </c>
      <c r="D97" s="2" t="s">
        <v>345</v>
      </c>
      <c r="E97" s="20">
        <f t="shared" si="9"/>
        <v>4560</v>
      </c>
      <c r="F97" s="9">
        <f>P28/24</f>
        <v>0.62386580883751908</v>
      </c>
      <c r="G97" s="2" t="s">
        <v>345</v>
      </c>
      <c r="I97" s="1">
        <v>19</v>
      </c>
      <c r="J97" s="157" t="s">
        <v>650</v>
      </c>
      <c r="K97" s="9">
        <f t="shared" si="5"/>
        <v>1.5162447195268898</v>
      </c>
      <c r="L97" s="2" t="s">
        <v>345</v>
      </c>
      <c r="M97" s="20">
        <f t="shared" si="3"/>
        <v>4560</v>
      </c>
      <c r="N97" s="2">
        <f t="shared" si="6"/>
        <v>1</v>
      </c>
      <c r="O97" s="32">
        <f t="shared" si="7"/>
        <v>4560</v>
      </c>
      <c r="P97" s="35">
        <f t="shared" si="4"/>
        <v>1.1582497319101898E-2</v>
      </c>
    </row>
    <row r="98" spans="2:16" ht="17.25">
      <c r="B98" s="2">
        <v>1</v>
      </c>
      <c r="C98" s="9">
        <f>C229/1000</f>
        <v>0.80178329678769555</v>
      </c>
      <c r="D98" s="2" t="s">
        <v>345</v>
      </c>
      <c r="E98" s="20">
        <f>J229</f>
        <v>4780</v>
      </c>
      <c r="F98" s="9">
        <f>R28/24</f>
        <v>0.80178329678769555</v>
      </c>
      <c r="G98" s="2" t="s">
        <v>345</v>
      </c>
      <c r="I98" s="1">
        <v>20</v>
      </c>
      <c r="J98" s="157" t="s">
        <v>651</v>
      </c>
      <c r="K98" s="9">
        <f t="shared" si="5"/>
        <v>0.80178329678769555</v>
      </c>
      <c r="L98" s="2" t="s">
        <v>345</v>
      </c>
      <c r="M98" s="20">
        <f t="shared" si="3"/>
        <v>4780</v>
      </c>
      <c r="N98" s="2">
        <f t="shared" si="6"/>
        <v>1</v>
      </c>
      <c r="O98" s="32">
        <f t="shared" si="7"/>
        <v>4780</v>
      </c>
      <c r="P98" s="35">
        <f t="shared" si="4"/>
        <v>1.2141302014321726E-2</v>
      </c>
    </row>
    <row r="99" spans="2:16" ht="17.25">
      <c r="B99" s="2">
        <v>1</v>
      </c>
      <c r="C99" s="9">
        <f>C230/1000</f>
        <v>0.79890953553082178</v>
      </c>
      <c r="D99" s="2" t="s">
        <v>345</v>
      </c>
      <c r="E99" s="20">
        <f t="shared" ref="E99:E100" si="10">J230</f>
        <v>4780</v>
      </c>
      <c r="F99" s="9">
        <f>S28/24</f>
        <v>0.52550814454734263</v>
      </c>
      <c r="G99" s="2" t="s">
        <v>345</v>
      </c>
      <c r="I99" s="1">
        <v>21</v>
      </c>
      <c r="J99" s="157" t="s">
        <v>652</v>
      </c>
      <c r="K99" s="9">
        <f t="shared" si="5"/>
        <v>0.79890953553082178</v>
      </c>
      <c r="L99" s="2" t="s">
        <v>345</v>
      </c>
      <c r="M99" s="20">
        <f t="shared" si="3"/>
        <v>4780</v>
      </c>
      <c r="N99" s="2">
        <f t="shared" si="6"/>
        <v>1</v>
      </c>
      <c r="O99" s="32">
        <f t="shared" si="7"/>
        <v>4780</v>
      </c>
      <c r="P99" s="35">
        <f t="shared" si="4"/>
        <v>1.2141302014321726E-2</v>
      </c>
    </row>
    <row r="100" spans="2:16" ht="17.25">
      <c r="B100" s="2">
        <v>1</v>
      </c>
      <c r="C100" s="9">
        <f>C231/1000</f>
        <v>9.0163279760786919E-2</v>
      </c>
      <c r="D100" s="2" t="s">
        <v>345</v>
      </c>
      <c r="E100" s="20">
        <f t="shared" si="10"/>
        <v>4780</v>
      </c>
      <c r="F100" s="9">
        <f>T28/24</f>
        <v>9.0163279760786919E-2</v>
      </c>
      <c r="G100" s="2" t="s">
        <v>345</v>
      </c>
      <c r="I100" s="1">
        <v>22</v>
      </c>
      <c r="J100" s="158" t="s">
        <v>653</v>
      </c>
      <c r="K100" s="9">
        <f t="shared" si="5"/>
        <v>9.0163279760786919E-2</v>
      </c>
      <c r="L100" s="2" t="s">
        <v>345</v>
      </c>
      <c r="M100" s="20">
        <f t="shared" si="3"/>
        <v>4780</v>
      </c>
      <c r="N100" s="2">
        <f t="shared" si="6"/>
        <v>1</v>
      </c>
      <c r="O100" s="32">
        <f t="shared" si="7"/>
        <v>4780</v>
      </c>
      <c r="P100" s="35">
        <f t="shared" si="4"/>
        <v>1.2141302014321726E-2</v>
      </c>
    </row>
    <row r="101" spans="2:16" ht="17.25">
      <c r="B101" s="2">
        <v>1</v>
      </c>
      <c r="C101" s="9">
        <f>C84</f>
        <v>43.5</v>
      </c>
      <c r="D101" s="2" t="s">
        <v>287</v>
      </c>
      <c r="E101" s="20">
        <f>E84</f>
        <v>6000</v>
      </c>
      <c r="F101" s="9">
        <f>C73</f>
        <v>35.569383609208522</v>
      </c>
      <c r="G101" s="2" t="s">
        <v>287</v>
      </c>
      <c r="I101" s="1">
        <v>23</v>
      </c>
      <c r="J101" s="157" t="s">
        <v>359</v>
      </c>
      <c r="K101" s="123">
        <f t="shared" si="5"/>
        <v>43.5</v>
      </c>
      <c r="L101" s="2" t="s">
        <v>287</v>
      </c>
      <c r="M101" s="32">
        <f t="shared" si="3"/>
        <v>6000</v>
      </c>
      <c r="N101" s="124">
        <f t="shared" si="6"/>
        <v>1</v>
      </c>
      <c r="O101" s="32">
        <f t="shared" si="7"/>
        <v>6000</v>
      </c>
      <c r="P101" s="36">
        <f t="shared" si="4"/>
        <v>1.5240128051449866E-2</v>
      </c>
    </row>
    <row r="102" spans="2:16" ht="17.25">
      <c r="B102" s="2">
        <v>1</v>
      </c>
      <c r="C102" s="9">
        <v>0.2</v>
      </c>
      <c r="D102" s="2" t="s">
        <v>287</v>
      </c>
      <c r="E102" s="20">
        <v>20000</v>
      </c>
      <c r="F102" s="9">
        <f>Y69</f>
        <v>0.28758400166265052</v>
      </c>
      <c r="G102" s="2" t="s">
        <v>287</v>
      </c>
      <c r="I102" s="1">
        <v>24</v>
      </c>
      <c r="J102" s="1" t="s">
        <v>654</v>
      </c>
      <c r="K102" s="9">
        <f t="shared" si="5"/>
        <v>0.28758400166265052</v>
      </c>
      <c r="L102" s="2" t="s">
        <v>287</v>
      </c>
      <c r="M102" s="20">
        <f t="shared" si="3"/>
        <v>27233.566082897614</v>
      </c>
      <c r="N102" s="2">
        <f t="shared" si="6"/>
        <v>1</v>
      </c>
      <c r="O102" s="32">
        <f t="shared" si="7"/>
        <v>27233.566082897614</v>
      </c>
      <c r="P102" s="36">
        <f t="shared" si="4"/>
        <v>6.9173839066830264E-2</v>
      </c>
    </row>
    <row r="103" spans="2:16" ht="18" thickBot="1">
      <c r="B103" s="2">
        <v>1</v>
      </c>
      <c r="C103" s="9">
        <v>0.05</v>
      </c>
      <c r="D103" s="2" t="s">
        <v>289</v>
      </c>
      <c r="E103" s="20">
        <v>10000</v>
      </c>
      <c r="F103" s="9">
        <f>K71</f>
        <v>0.15596645220937977</v>
      </c>
      <c r="G103" s="2" t="s">
        <v>289</v>
      </c>
      <c r="I103" s="1">
        <v>25</v>
      </c>
      <c r="J103" s="1" t="s">
        <v>638</v>
      </c>
      <c r="K103" s="9">
        <f t="shared" si="5"/>
        <v>0.15596645220937977</v>
      </c>
      <c r="L103" s="2" t="s">
        <v>289</v>
      </c>
      <c r="M103" s="20">
        <f t="shared" si="3"/>
        <v>26299.773643502907</v>
      </c>
      <c r="N103" s="2">
        <f t="shared" si="6"/>
        <v>1</v>
      </c>
      <c r="O103" s="32">
        <f t="shared" si="7"/>
        <v>26299.773643502907</v>
      </c>
      <c r="P103" s="36">
        <f t="shared" si="4"/>
        <v>6.680198634185508E-2</v>
      </c>
    </row>
    <row r="104" spans="2:16" ht="15.75" thickBot="1">
      <c r="O104" s="33">
        <f>SUM(O79:O103)</f>
        <v>393697.47942696529</v>
      </c>
      <c r="P104" s="34">
        <f>SUM(P79:P101)</f>
        <v>0.86402417459131486</v>
      </c>
    </row>
    <row r="105" spans="2:16">
      <c r="B105" s="310" t="s">
        <v>376</v>
      </c>
      <c r="C105" s="310"/>
      <c r="D105" s="1">
        <v>0.85</v>
      </c>
      <c r="E105" s="1"/>
    </row>
    <row r="106" spans="2:16">
      <c r="B106" s="252" t="s">
        <v>377</v>
      </c>
      <c r="C106" s="252"/>
      <c r="D106" s="252"/>
      <c r="E106" s="1">
        <f>0.73+2.07+2.11+1.91+2.29+1.36</f>
        <v>10.469999999999999</v>
      </c>
      <c r="I106" s="303" t="s">
        <v>378</v>
      </c>
      <c r="J106" s="303"/>
      <c r="K106" s="303"/>
      <c r="L106" s="303"/>
      <c r="M106" s="303"/>
    </row>
    <row r="107" spans="2:16">
      <c r="I107" s="31" t="s">
        <v>341</v>
      </c>
      <c r="J107" s="31" t="s">
        <v>342</v>
      </c>
      <c r="K107" s="31" t="s">
        <v>380</v>
      </c>
      <c r="L107" s="31" t="s">
        <v>381</v>
      </c>
      <c r="M107" s="31" t="s">
        <v>17</v>
      </c>
    </row>
    <row r="108" spans="2:16">
      <c r="B108" s="310" t="s">
        <v>383</v>
      </c>
      <c r="C108" s="310"/>
      <c r="D108" s="310"/>
      <c r="I108" s="1">
        <v>1</v>
      </c>
      <c r="J108" s="1" t="s">
        <v>382</v>
      </c>
      <c r="K108" s="1">
        <v>1</v>
      </c>
      <c r="L108" s="21">
        <f>O104</f>
        <v>393697.47942696529</v>
      </c>
      <c r="M108" s="35">
        <f>(L108/$L$121)</f>
        <v>0.24390243902439024</v>
      </c>
    </row>
    <row r="109" spans="2:16" ht="17.25">
      <c r="B109" s="52" t="s">
        <v>308</v>
      </c>
      <c r="C109" s="5">
        <f>'Escenario 2'!C90</f>
        <v>50</v>
      </c>
      <c r="D109" s="2" t="s">
        <v>33</v>
      </c>
      <c r="I109" s="1">
        <v>2</v>
      </c>
      <c r="J109" s="1" t="s">
        <v>386</v>
      </c>
      <c r="K109" s="1">
        <v>0.38</v>
      </c>
      <c r="L109" s="21">
        <f>K109*$L$108</f>
        <v>149605.04218224681</v>
      </c>
      <c r="M109" s="35">
        <f t="shared" ref="M109:M120" si="11">(L109/$L$121)</f>
        <v>9.2682926829268292E-2</v>
      </c>
    </row>
    <row r="110" spans="2:16" ht="17.25">
      <c r="B110" s="52" t="s">
        <v>277</v>
      </c>
      <c r="C110" s="5">
        <f>'Escenario 2'!C91</f>
        <v>0.05</v>
      </c>
      <c r="D110" s="2" t="s">
        <v>33</v>
      </c>
      <c r="I110" s="1">
        <v>3</v>
      </c>
      <c r="J110" s="1" t="s">
        <v>387</v>
      </c>
      <c r="K110" s="1">
        <v>0.12</v>
      </c>
      <c r="L110" s="21">
        <f>K110*$L$108</f>
        <v>47243.697531235834</v>
      </c>
      <c r="M110" s="35">
        <f t="shared" si="11"/>
        <v>2.9268292682926828E-2</v>
      </c>
    </row>
    <row r="111" spans="2:16" ht="18">
      <c r="B111" s="53" t="s">
        <v>143</v>
      </c>
      <c r="C111" s="5">
        <f>'Escenario 2'!C92</f>
        <v>0.1</v>
      </c>
      <c r="D111" s="2" t="s">
        <v>324</v>
      </c>
      <c r="I111" s="1">
        <v>4</v>
      </c>
      <c r="J111" s="1" t="s">
        <v>388</v>
      </c>
      <c r="K111" s="1">
        <v>0.31</v>
      </c>
      <c r="L111" s="21">
        <f>K111*$L$108</f>
        <v>122046.21862235924</v>
      </c>
      <c r="M111" s="35">
        <f t="shared" si="11"/>
        <v>7.5609756097560973E-2</v>
      </c>
    </row>
    <row r="112" spans="2:16">
      <c r="B112" s="52" t="s">
        <v>390</v>
      </c>
      <c r="C112" s="5">
        <f>'Escenario 2'!C93</f>
        <v>0.3</v>
      </c>
      <c r="D112" s="2" t="s">
        <v>324</v>
      </c>
      <c r="I112" s="1">
        <v>5</v>
      </c>
      <c r="J112" s="1" t="s">
        <v>389</v>
      </c>
      <c r="K112" s="1">
        <v>0.1</v>
      </c>
      <c r="L112" s="21">
        <f t="shared" ref="L112:L120" si="12">K112*$L$108</f>
        <v>39369.747942696529</v>
      </c>
      <c r="M112" s="35">
        <f t="shared" si="11"/>
        <v>2.4390243902439025E-2</v>
      </c>
    </row>
    <row r="113" spans="2:13">
      <c r="B113" s="52" t="s">
        <v>321</v>
      </c>
      <c r="C113" s="5">
        <f>'Escenario 2'!C94</f>
        <v>0.25</v>
      </c>
      <c r="D113" s="2" t="s">
        <v>9</v>
      </c>
      <c r="I113" s="1">
        <v>6</v>
      </c>
      <c r="J113" s="1" t="s">
        <v>391</v>
      </c>
      <c r="K113" s="1">
        <v>0.28999999999999998</v>
      </c>
      <c r="L113" s="21">
        <f t="shared" si="12"/>
        <v>114172.26903381993</v>
      </c>
      <c r="M113" s="35">
        <f t="shared" si="11"/>
        <v>7.0731707317073164E-2</v>
      </c>
    </row>
    <row r="114" spans="2:13">
      <c r="B114" s="52" t="s">
        <v>393</v>
      </c>
      <c r="C114" s="5">
        <f>'Escenario 2'!C95</f>
        <v>10</v>
      </c>
      <c r="D114" s="2" t="s">
        <v>324</v>
      </c>
      <c r="I114" s="1">
        <v>7</v>
      </c>
      <c r="J114" s="1" t="s">
        <v>392</v>
      </c>
      <c r="K114" s="1">
        <v>0.1</v>
      </c>
      <c r="L114" s="21">
        <f t="shared" si="12"/>
        <v>39369.747942696529</v>
      </c>
      <c r="M114" s="35">
        <f t="shared" si="11"/>
        <v>2.4390243902439025E-2</v>
      </c>
    </row>
    <row r="115" spans="2:13" ht="17.25">
      <c r="B115" s="52" t="s">
        <v>395</v>
      </c>
      <c r="C115" s="5">
        <f>'Escenario 2'!C96</f>
        <v>0.05</v>
      </c>
      <c r="D115" s="2" t="s">
        <v>33</v>
      </c>
      <c r="I115" s="1">
        <v>8</v>
      </c>
      <c r="J115" s="1" t="s">
        <v>394</v>
      </c>
      <c r="K115" s="1">
        <v>0.54</v>
      </c>
      <c r="L115" s="21">
        <f t="shared" si="12"/>
        <v>212596.63889056127</v>
      </c>
      <c r="M115" s="35">
        <f t="shared" si="11"/>
        <v>0.13170731707317074</v>
      </c>
    </row>
    <row r="116" spans="2:13">
      <c r="B116" s="52" t="s">
        <v>331</v>
      </c>
      <c r="C116" s="5">
        <f>'Escenario 2'!C97</f>
        <v>0.5</v>
      </c>
      <c r="D116" s="2" t="s">
        <v>324</v>
      </c>
      <c r="I116" s="1">
        <v>9</v>
      </c>
      <c r="J116" s="1" t="s">
        <v>396</v>
      </c>
      <c r="K116" s="1">
        <v>0.06</v>
      </c>
      <c r="L116" s="21">
        <f t="shared" si="12"/>
        <v>23621.848765617917</v>
      </c>
      <c r="M116" s="35">
        <f t="shared" si="11"/>
        <v>1.4634146341463414E-2</v>
      </c>
    </row>
    <row r="117" spans="2:13" ht="17.25">
      <c r="B117" s="52" t="s">
        <v>593</v>
      </c>
      <c r="C117" s="2">
        <v>0.6</v>
      </c>
      <c r="D117" s="2" t="s">
        <v>33</v>
      </c>
      <c r="E117" s="60"/>
      <c r="F117" s="62" t="s">
        <v>384</v>
      </c>
      <c r="G117" s="62" t="s">
        <v>385</v>
      </c>
      <c r="I117" s="1">
        <v>10</v>
      </c>
      <c r="J117" s="1" t="s">
        <v>397</v>
      </c>
      <c r="K117" s="1">
        <v>0.32</v>
      </c>
      <c r="L117" s="21">
        <f t="shared" si="12"/>
        <v>125983.1934166289</v>
      </c>
      <c r="M117" s="35">
        <f t="shared" si="11"/>
        <v>7.8048780487804878E-2</v>
      </c>
    </row>
    <row r="118" spans="2:13">
      <c r="B118" s="70" t="s">
        <v>655</v>
      </c>
      <c r="C118" s="65">
        <v>0.14000000000000001</v>
      </c>
      <c r="D118" s="65" t="s">
        <v>324</v>
      </c>
      <c r="F118" s="2">
        <v>24</v>
      </c>
      <c r="G118" s="2">
        <v>365</v>
      </c>
      <c r="I118" s="1">
        <v>11</v>
      </c>
      <c r="J118" s="1" t="s">
        <v>399</v>
      </c>
      <c r="K118" s="1">
        <v>0.34</v>
      </c>
      <c r="L118" s="21">
        <f t="shared" si="12"/>
        <v>133857.14300516821</v>
      </c>
      <c r="M118" s="35">
        <f t="shared" si="11"/>
        <v>8.2926829268292687E-2</v>
      </c>
    </row>
    <row r="119" spans="2:13">
      <c r="B119" s="310" t="s">
        <v>400</v>
      </c>
      <c r="C119" s="310"/>
      <c r="D119" s="310"/>
      <c r="E119" s="60"/>
      <c r="I119" s="1">
        <v>12</v>
      </c>
      <c r="J119" s="1" t="s">
        <v>401</v>
      </c>
      <c r="K119" s="1">
        <v>0.18</v>
      </c>
      <c r="L119" s="21">
        <f t="shared" si="12"/>
        <v>70865.546296853747</v>
      </c>
      <c r="M119" s="35">
        <f t="shared" si="11"/>
        <v>4.3902439024390241E-2</v>
      </c>
    </row>
    <row r="120" spans="2:13" ht="18" thickBot="1">
      <c r="B120" s="54" t="s">
        <v>402</v>
      </c>
      <c r="C120" s="2">
        <v>19</v>
      </c>
      <c r="D120" s="2" t="s">
        <v>403</v>
      </c>
      <c r="I120" s="1">
        <v>13</v>
      </c>
      <c r="J120" s="1" t="s">
        <v>404</v>
      </c>
      <c r="K120" s="1">
        <v>0.36</v>
      </c>
      <c r="L120" s="24">
        <f t="shared" si="12"/>
        <v>141731.09259370749</v>
      </c>
      <c r="M120" s="36">
        <f t="shared" si="11"/>
        <v>8.7804878048780483E-2</v>
      </c>
    </row>
    <row r="121" spans="2:13" ht="15.75" thickBot="1">
      <c r="B121" s="304" t="s">
        <v>405</v>
      </c>
      <c r="C121" s="9">
        <f>(C120*C148)/1000</f>
        <v>21.528509589041096</v>
      </c>
      <c r="D121" s="2" t="s">
        <v>349</v>
      </c>
      <c r="E121" s="75"/>
      <c r="L121" s="33">
        <f>SUM(L108:L120)</f>
        <v>1614159.6656505577</v>
      </c>
      <c r="M121" s="37">
        <f>SUM(M108:M120)</f>
        <v>1</v>
      </c>
    </row>
    <row r="122" spans="2:13">
      <c r="B122" s="305"/>
      <c r="C122" s="9">
        <f>(C121*F118)</f>
        <v>516.68423013698634</v>
      </c>
      <c r="D122" s="2" t="s">
        <v>406</v>
      </c>
    </row>
    <row r="123" spans="2:13" ht="17.25">
      <c r="B123" s="54" t="s">
        <v>656</v>
      </c>
      <c r="C123" s="2">
        <v>1</v>
      </c>
      <c r="D123" s="2" t="s">
        <v>446</v>
      </c>
      <c r="I123" s="303" t="s">
        <v>409</v>
      </c>
      <c r="J123" s="303"/>
      <c r="K123" s="303"/>
      <c r="L123" s="303"/>
      <c r="M123" s="303"/>
    </row>
    <row r="124" spans="2:13">
      <c r="B124" s="304" t="s">
        <v>657</v>
      </c>
      <c r="C124" s="9">
        <f>C123*O73</f>
        <v>1.4227753443683409</v>
      </c>
      <c r="D124" s="2" t="s">
        <v>411</v>
      </c>
      <c r="I124" s="38" t="s">
        <v>341</v>
      </c>
      <c r="J124" s="38" t="s">
        <v>342</v>
      </c>
      <c r="K124" s="38" t="s">
        <v>380</v>
      </c>
      <c r="L124" s="38" t="s">
        <v>381</v>
      </c>
      <c r="M124" s="39" t="s">
        <v>17</v>
      </c>
    </row>
    <row r="125" spans="2:13">
      <c r="B125" s="305"/>
      <c r="C125" s="9">
        <f>C124*F118</f>
        <v>34.146608264840182</v>
      </c>
      <c r="D125" s="2" t="s">
        <v>406</v>
      </c>
      <c r="I125" s="1">
        <v>1</v>
      </c>
      <c r="J125" s="1" t="s">
        <v>412</v>
      </c>
      <c r="K125" s="1">
        <v>10</v>
      </c>
      <c r="L125" s="1"/>
      <c r="M125" s="1"/>
    </row>
    <row r="126" spans="2:13" ht="17.25">
      <c r="B126" s="54" t="s">
        <v>658</v>
      </c>
      <c r="C126" s="2">
        <v>1</v>
      </c>
      <c r="D126" s="2" t="s">
        <v>446</v>
      </c>
      <c r="I126" s="1">
        <v>2</v>
      </c>
      <c r="J126" s="1" t="s">
        <v>414</v>
      </c>
      <c r="K126" s="1"/>
      <c r="L126" s="21">
        <f>(L121-L114)/K125</f>
        <v>157478.99177078612</v>
      </c>
      <c r="M126" s="35">
        <f>(L126/$L$130)</f>
        <v>0.82484431063636743</v>
      </c>
    </row>
    <row r="127" spans="2:13">
      <c r="B127" s="304" t="s">
        <v>659</v>
      </c>
      <c r="C127" s="9">
        <f>C126*O68</f>
        <v>3.2071331871507822</v>
      </c>
      <c r="D127" s="2" t="s">
        <v>411</v>
      </c>
      <c r="I127" s="1">
        <v>3</v>
      </c>
      <c r="J127" s="1" t="s">
        <v>416</v>
      </c>
      <c r="K127" s="1">
        <v>0.01</v>
      </c>
      <c r="L127" s="21">
        <f>K127*$L$126</f>
        <v>1574.7899177078612</v>
      </c>
      <c r="M127" s="35">
        <f>(L127/$L$130)</f>
        <v>8.2484431063636742E-3</v>
      </c>
    </row>
    <row r="128" spans="2:13">
      <c r="B128" s="305"/>
      <c r="C128" s="9">
        <f>C127*F118</f>
        <v>76.97119649161877</v>
      </c>
      <c r="D128" s="2" t="s">
        <v>406</v>
      </c>
      <c r="I128" s="1">
        <v>4</v>
      </c>
      <c r="J128" s="1" t="s">
        <v>418</v>
      </c>
      <c r="K128" s="1">
        <v>6.0000000000000001E-3</v>
      </c>
      <c r="L128" s="21">
        <f>K128*$L$126</f>
        <v>944.87395062471671</v>
      </c>
      <c r="M128" s="35">
        <f>(L128/$L$130)</f>
        <v>4.9490658638182044E-3</v>
      </c>
    </row>
    <row r="129" spans="2:31" ht="15.75" thickBot="1">
      <c r="B129" s="54" t="s">
        <v>413</v>
      </c>
      <c r="C129" s="9">
        <f>C125+C122+C128</f>
        <v>627.80203489344535</v>
      </c>
      <c r="D129" s="2" t="s">
        <v>406</v>
      </c>
      <c r="I129" s="1">
        <v>5</v>
      </c>
      <c r="J129" s="1" t="s">
        <v>419</v>
      </c>
      <c r="K129" s="1">
        <v>0.21</v>
      </c>
      <c r="L129" s="24">
        <f>K129*SUM(L108:L119)/K125</f>
        <v>30921.000034193858</v>
      </c>
      <c r="M129" s="36">
        <f>(L129/$L$130)</f>
        <v>0.16195818039345075</v>
      </c>
    </row>
    <row r="130" spans="2:31" ht="17.100000000000001" customHeight="1" thickBot="1">
      <c r="B130" s="54" t="s">
        <v>415</v>
      </c>
      <c r="C130" s="2" t="s">
        <v>12</v>
      </c>
      <c r="D130" s="2" t="s">
        <v>403</v>
      </c>
      <c r="L130" s="33">
        <f>SUM(L126:L129)</f>
        <v>190919.65567331255</v>
      </c>
      <c r="M130" s="37">
        <f>SUM(M126:M129)</f>
        <v>1</v>
      </c>
    </row>
    <row r="131" spans="2:31">
      <c r="B131" s="304" t="s">
        <v>417</v>
      </c>
      <c r="C131" s="7" t="s">
        <v>12</v>
      </c>
      <c r="D131" s="2" t="s">
        <v>349</v>
      </c>
    </row>
    <row r="132" spans="2:31">
      <c r="B132" s="306"/>
      <c r="C132" s="9">
        <f>(C133/3600)*8</f>
        <v>49.834512937595122</v>
      </c>
      <c r="D132" s="2" t="s">
        <v>406</v>
      </c>
      <c r="I132" s="292" t="s">
        <v>424</v>
      </c>
      <c r="J132" s="292"/>
      <c r="K132" s="292"/>
      <c r="L132" s="292"/>
      <c r="M132" s="292"/>
      <c r="N132" s="292"/>
      <c r="Q132" s="300" t="s">
        <v>425</v>
      </c>
      <c r="R132" s="301"/>
      <c r="S132" s="302"/>
      <c r="U132" s="256" t="s">
        <v>426</v>
      </c>
      <c r="V132" s="256"/>
      <c r="W132" s="256"/>
      <c r="Z132" s="298" t="s">
        <v>135</v>
      </c>
      <c r="AA132" s="298"/>
      <c r="AB132" s="298" t="s">
        <v>427</v>
      </c>
      <c r="AC132" s="298"/>
      <c r="AD132" s="298" t="s">
        <v>428</v>
      </c>
      <c r="AE132" s="298"/>
    </row>
    <row r="133" spans="2:31" ht="16.5" customHeight="1" thickBot="1">
      <c r="B133" s="307"/>
      <c r="C133" s="109">
        <f>K68</f>
        <v>22425.530821917804</v>
      </c>
      <c r="D133" s="107" t="s">
        <v>420</v>
      </c>
      <c r="I133" s="31" t="s">
        <v>341</v>
      </c>
      <c r="J133" s="31" t="s">
        <v>429</v>
      </c>
      <c r="K133" s="31" t="s">
        <v>430</v>
      </c>
      <c r="L133" s="31" t="s">
        <v>431</v>
      </c>
      <c r="M133" s="31" t="s">
        <v>381</v>
      </c>
      <c r="N133" s="31" t="s">
        <v>17</v>
      </c>
      <c r="Q133" s="129" t="s">
        <v>135</v>
      </c>
      <c r="R133" s="86">
        <f>M141</f>
        <v>73752.945680106961</v>
      </c>
      <c r="S133" s="128">
        <f>(R133/$R$136)</f>
        <v>0.14118523231847299</v>
      </c>
      <c r="U133" s="29" t="s">
        <v>4</v>
      </c>
      <c r="V133" s="20">
        <f>C176</f>
        <v>1647600.329553084</v>
      </c>
      <c r="W133" s="35">
        <f>V133/$V$135</f>
        <v>0.75926821031388836</v>
      </c>
      <c r="X133" s="60" t="s">
        <v>432</v>
      </c>
      <c r="Z133" s="55" t="s">
        <v>433</v>
      </c>
      <c r="AA133" s="130">
        <f>N134</f>
        <v>0.21028346538548048</v>
      </c>
      <c r="AB133" s="55" t="s">
        <v>434</v>
      </c>
      <c r="AC133" s="130">
        <f>N143+N144+N145+N146</f>
        <v>0.33353616507273176</v>
      </c>
      <c r="AD133" s="55" t="s">
        <v>428</v>
      </c>
      <c r="AE133" s="130">
        <f>N150</f>
        <v>0.24234754793147939</v>
      </c>
    </row>
    <row r="134" spans="2:31" ht="16.5" customHeight="1">
      <c r="B134" s="104" t="s">
        <v>421</v>
      </c>
      <c r="C134" s="105">
        <f>AC83</f>
        <v>18.619189892069819</v>
      </c>
      <c r="D134" s="106" t="s">
        <v>349</v>
      </c>
      <c r="E134" s="60" t="s">
        <v>422</v>
      </c>
      <c r="I134" s="1">
        <v>1</v>
      </c>
      <c r="J134" s="1" t="s">
        <v>390</v>
      </c>
      <c r="K134" s="1">
        <f>I32*C152*G118</f>
        <v>51696.749999999985</v>
      </c>
      <c r="L134" s="1">
        <f>C112</f>
        <v>0.3</v>
      </c>
      <c r="M134" s="21">
        <f t="shared" ref="M134:M140" si="13">K134*L134</f>
        <v>15509.024999999994</v>
      </c>
      <c r="N134" s="35">
        <f t="shared" ref="N134:N140" si="14">(M134/$M$141)</f>
        <v>0.21028346538548048</v>
      </c>
      <c r="Q134" s="29" t="s">
        <v>427</v>
      </c>
      <c r="R134" s="20">
        <f>M148</f>
        <v>201053.00747759343</v>
      </c>
      <c r="S134" s="128">
        <f>(R134/$R$136)</f>
        <v>0.38487568607999428</v>
      </c>
      <c r="U134" s="29" t="s">
        <v>5</v>
      </c>
      <c r="V134" s="20">
        <f>C177</f>
        <v>522384.27822069719</v>
      </c>
      <c r="W134" s="35">
        <f>V134/$V$135</f>
        <v>0.24073178968611156</v>
      </c>
      <c r="X134" s="60" t="s">
        <v>437</v>
      </c>
      <c r="Z134" s="55" t="s">
        <v>127</v>
      </c>
      <c r="AA134" s="130">
        <f>N135</f>
        <v>5.4907349295097704E-2</v>
      </c>
      <c r="AB134" s="55" t="s">
        <v>660</v>
      </c>
      <c r="AC134" s="130">
        <f>N147</f>
        <v>0.66646383492726824</v>
      </c>
      <c r="AD134" s="55" t="s">
        <v>439</v>
      </c>
      <c r="AE134" s="130">
        <f t="shared" ref="AE134:AE141" si="15">N151</f>
        <v>4.8469509586295874E-2</v>
      </c>
    </row>
    <row r="135" spans="2:31" ht="17.25" customHeight="1">
      <c r="B135" s="293" t="s">
        <v>423</v>
      </c>
      <c r="C135" s="7">
        <f>AC93</f>
        <v>730.99377774109701</v>
      </c>
      <c r="D135" s="5" t="s">
        <v>274</v>
      </c>
      <c r="E135" s="60"/>
      <c r="I135" s="1">
        <v>2</v>
      </c>
      <c r="J135" s="1" t="s">
        <v>277</v>
      </c>
      <c r="K135" s="19">
        <f>(E28)*G118</f>
        <v>80991.574999999997</v>
      </c>
      <c r="L135" s="1">
        <f>C110</f>
        <v>0.05</v>
      </c>
      <c r="M135" s="21">
        <f t="shared" si="13"/>
        <v>4049.5787500000001</v>
      </c>
      <c r="N135" s="35">
        <f>(M135/$M$141)</f>
        <v>5.4907349295097704E-2</v>
      </c>
      <c r="Q135" s="29" t="s">
        <v>428</v>
      </c>
      <c r="R135" s="20">
        <f>M159</f>
        <v>247578.3250629968</v>
      </c>
      <c r="S135" s="128">
        <f>(R135/$R$136)</f>
        <v>0.47393908160153275</v>
      </c>
      <c r="U135" s="29" t="s">
        <v>125</v>
      </c>
      <c r="V135" s="299">
        <f>SUM(V133:V134)</f>
        <v>2169984.6077737813</v>
      </c>
      <c r="W135" s="299"/>
      <c r="Z135" s="56" t="s">
        <v>143</v>
      </c>
      <c r="AA135" s="130">
        <f>N136</f>
        <v>0.35047244230913427</v>
      </c>
      <c r="AD135" s="55" t="s">
        <v>443</v>
      </c>
      <c r="AE135" s="130">
        <f t="shared" si="15"/>
        <v>7.2704264379443814E-2</v>
      </c>
    </row>
    <row r="136" spans="2:31" ht="18">
      <c r="B136" s="294"/>
      <c r="C136" s="7">
        <f>C135/24</f>
        <v>30.45807407254571</v>
      </c>
      <c r="D136" s="5" t="s">
        <v>352</v>
      </c>
      <c r="I136" s="1">
        <v>3</v>
      </c>
      <c r="J136" s="23" t="s">
        <v>143</v>
      </c>
      <c r="K136" s="1">
        <f>I32*C150*G118</f>
        <v>258483.74999999997</v>
      </c>
      <c r="L136" s="1">
        <f>C111</f>
        <v>0.1</v>
      </c>
      <c r="M136" s="21">
        <f t="shared" si="13"/>
        <v>25848.375</v>
      </c>
      <c r="N136" s="35">
        <f t="shared" si="14"/>
        <v>0.35047244230913427</v>
      </c>
      <c r="Q136" s="29" t="s">
        <v>125</v>
      </c>
      <c r="R136" s="299">
        <f>SUM(R133:R135)</f>
        <v>522384.27822069719</v>
      </c>
      <c r="S136" s="299"/>
      <c r="Z136" s="55" t="s">
        <v>48</v>
      </c>
      <c r="AA136" s="130">
        <f>N137</f>
        <v>0.37956165502079237</v>
      </c>
      <c r="AD136" s="55" t="s">
        <v>445</v>
      </c>
      <c r="AE136" s="130">
        <f t="shared" si="15"/>
        <v>6.3607745843952734E-2</v>
      </c>
    </row>
    <row r="137" spans="2:31" ht="17.25" customHeight="1">
      <c r="B137" s="57" t="s">
        <v>435</v>
      </c>
      <c r="C137" s="7" t="str">
        <f>C131</f>
        <v>-</v>
      </c>
      <c r="D137" s="5" t="s">
        <v>349</v>
      </c>
      <c r="I137" s="1">
        <v>4</v>
      </c>
      <c r="J137" s="1" t="s">
        <v>393</v>
      </c>
      <c r="K137" s="19">
        <f>O66*G118</f>
        <v>2799.3790124999996</v>
      </c>
      <c r="L137" s="1">
        <f>C114</f>
        <v>10</v>
      </c>
      <c r="M137" s="21">
        <f t="shared" si="13"/>
        <v>27993.790124999996</v>
      </c>
      <c r="N137" s="35">
        <f t="shared" si="14"/>
        <v>0.37956165502079237</v>
      </c>
      <c r="Z137" s="55" t="s">
        <v>47</v>
      </c>
      <c r="AA137" s="130">
        <f>N139</f>
        <v>0.17066537734915183</v>
      </c>
      <c r="AD137" s="55" t="s">
        <v>448</v>
      </c>
      <c r="AE137" s="130">
        <f t="shared" si="15"/>
        <v>1.1915897025531678E-3</v>
      </c>
    </row>
    <row r="138" spans="2:31" ht="17.25">
      <c r="B138" s="293" t="s">
        <v>440</v>
      </c>
      <c r="C138" s="7">
        <f>(C134*0.86)/(200-25)</f>
        <v>9.1500018898171678E-2</v>
      </c>
      <c r="D138" s="5" t="s">
        <v>345</v>
      </c>
      <c r="E138" s="60" t="s">
        <v>570</v>
      </c>
      <c r="I138" s="1">
        <v>5</v>
      </c>
      <c r="J138" s="1" t="s">
        <v>449</v>
      </c>
      <c r="K138" s="125">
        <v>0</v>
      </c>
      <c r="L138" s="1">
        <v>0</v>
      </c>
      <c r="M138" s="21">
        <f t="shared" si="13"/>
        <v>0</v>
      </c>
      <c r="N138" s="35">
        <f t="shared" si="14"/>
        <v>0</v>
      </c>
      <c r="Z138" s="55" t="s">
        <v>152</v>
      </c>
      <c r="AA138" s="130">
        <f>N140</f>
        <v>4.4393176025823676E-2</v>
      </c>
      <c r="AD138" s="55" t="s">
        <v>450</v>
      </c>
      <c r="AE138" s="130">
        <f t="shared" si="15"/>
        <v>0.1949336418489504</v>
      </c>
    </row>
    <row r="139" spans="2:31" ht="17.25">
      <c r="B139" s="294"/>
      <c r="C139" s="9">
        <f>C138*F118</f>
        <v>2.1960004535561204</v>
      </c>
      <c r="D139" s="2" t="s">
        <v>23</v>
      </c>
      <c r="I139" s="22">
        <v>6</v>
      </c>
      <c r="J139" s="22" t="s">
        <v>331</v>
      </c>
      <c r="K139" s="19">
        <f>O69*G118</f>
        <v>25174.148610213902</v>
      </c>
      <c r="L139" s="22">
        <f>C116</f>
        <v>0.5</v>
      </c>
      <c r="M139" s="24">
        <f t="shared" si="13"/>
        <v>12587.074305106951</v>
      </c>
      <c r="N139" s="36">
        <f t="shared" si="14"/>
        <v>0.17066537734915183</v>
      </c>
      <c r="AD139" s="55" t="s">
        <v>452</v>
      </c>
      <c r="AE139" s="130">
        <f t="shared" si="15"/>
        <v>0.24670278163136208</v>
      </c>
    </row>
    <row r="140" spans="2:31" ht="15.75" thickBot="1">
      <c r="B140" s="57" t="s">
        <v>661</v>
      </c>
      <c r="C140" s="9">
        <f>AC66</f>
        <v>48.171105245156987</v>
      </c>
      <c r="D140" s="5" t="s">
        <v>349</v>
      </c>
      <c r="E140" s="60" t="s">
        <v>662</v>
      </c>
      <c r="I140" s="1">
        <v>7</v>
      </c>
      <c r="J140" s="1" t="s">
        <v>593</v>
      </c>
      <c r="K140" s="19">
        <f>C154*G118</f>
        <v>5456.8791666666666</v>
      </c>
      <c r="L140" s="22">
        <f>C117</f>
        <v>0.6</v>
      </c>
      <c r="M140" s="24">
        <f t="shared" si="13"/>
        <v>3274.1275000000001</v>
      </c>
      <c r="N140" s="36">
        <f t="shared" si="14"/>
        <v>4.4393176025823676E-2</v>
      </c>
      <c r="AD140" s="55" t="s">
        <v>455</v>
      </c>
      <c r="AE140" s="130">
        <f t="shared" si="15"/>
        <v>5.5498790753951394E-2</v>
      </c>
    </row>
    <row r="141" spans="2:31" ht="15.75" thickBot="1">
      <c r="B141" s="57" t="s">
        <v>663</v>
      </c>
      <c r="C141" s="9">
        <f>AC76</f>
        <v>1891.2089304228491</v>
      </c>
      <c r="D141" s="5" t="s">
        <v>274</v>
      </c>
      <c r="L141" s="40" t="s">
        <v>454</v>
      </c>
      <c r="M141" s="41">
        <f>SUM(M135:M140)</f>
        <v>73752.945680106961</v>
      </c>
      <c r="N141" s="37">
        <f>SUM(N135:N140)</f>
        <v>0.99999999999999989</v>
      </c>
      <c r="AD141" s="55" t="s">
        <v>457</v>
      </c>
      <c r="AE141" s="130">
        <f t="shared" si="15"/>
        <v>7.4544128322011197E-2</v>
      </c>
    </row>
    <row r="142" spans="2:31" ht="17.25">
      <c r="B142" s="293" t="s">
        <v>449</v>
      </c>
      <c r="C142" s="5">
        <v>0.2</v>
      </c>
      <c r="D142" s="5" t="s">
        <v>446</v>
      </c>
      <c r="I142" s="31" t="s">
        <v>341</v>
      </c>
      <c r="J142" s="31" t="s">
        <v>427</v>
      </c>
      <c r="K142" s="31" t="s">
        <v>430</v>
      </c>
      <c r="L142" s="42" t="s">
        <v>431</v>
      </c>
      <c r="M142" s="42" t="s">
        <v>381</v>
      </c>
      <c r="N142" s="42" t="s">
        <v>17</v>
      </c>
      <c r="O142" s="93">
        <f>M143+M144+M145+M146</f>
        <v>67058.449090415772</v>
      </c>
    </row>
    <row r="143" spans="2:31">
      <c r="B143" s="294"/>
      <c r="C143" s="7">
        <f>(I28+O28)*C142</f>
        <v>54.040965488584476</v>
      </c>
      <c r="D143" s="5" t="s">
        <v>406</v>
      </c>
      <c r="I143" s="1">
        <v>1</v>
      </c>
      <c r="J143" s="1" t="s">
        <v>571</v>
      </c>
      <c r="K143" s="19">
        <f>C129*G118</f>
        <v>229147.74273610755</v>
      </c>
      <c r="L143" s="1">
        <f>C113</f>
        <v>0.25</v>
      </c>
      <c r="M143" s="21">
        <f>K143*L143</f>
        <v>57286.935684026888</v>
      </c>
      <c r="N143" s="35">
        <f>(M143/M148)</f>
        <v>0.28493448768932883</v>
      </c>
      <c r="O143" s="93"/>
    </row>
    <row r="144" spans="2:31">
      <c r="I144" s="1">
        <v>2</v>
      </c>
      <c r="J144" s="1" t="s">
        <v>572</v>
      </c>
      <c r="K144" s="19">
        <f>C132*G118</f>
        <v>18189.597222222219</v>
      </c>
      <c r="L144" s="1">
        <f>L143</f>
        <v>0.25</v>
      </c>
      <c r="M144" s="21">
        <f>K144*L144</f>
        <v>4547.3993055555547</v>
      </c>
      <c r="N144" s="35">
        <f>(M144/M148)</f>
        <v>2.2617912373493566E-2</v>
      </c>
    </row>
    <row r="145" spans="2:16">
      <c r="B145" s="322" t="s">
        <v>664</v>
      </c>
      <c r="C145" s="323"/>
      <c r="D145" s="324"/>
      <c r="I145" s="1">
        <v>3</v>
      </c>
      <c r="J145" s="1" t="s">
        <v>665</v>
      </c>
      <c r="K145" s="19">
        <f>(C170)*G118</f>
        <v>1171.5039999999999</v>
      </c>
      <c r="L145" s="1">
        <f>L143</f>
        <v>0.25</v>
      </c>
      <c r="M145" s="21">
        <f>K145*L145</f>
        <v>292.87599999999998</v>
      </c>
      <c r="N145" s="35">
        <f>(M145/M148)</f>
        <v>1.456710365462401E-3</v>
      </c>
      <c r="O145" s="131">
        <f>(C170)*G118*L145</f>
        <v>292.87599999999998</v>
      </c>
      <c r="P145" t="s">
        <v>469</v>
      </c>
    </row>
    <row r="146" spans="2:16">
      <c r="B146" s="55" t="s">
        <v>456</v>
      </c>
      <c r="C146" s="2">
        <v>24</v>
      </c>
      <c r="D146" s="2" t="s">
        <v>317</v>
      </c>
      <c r="I146" s="1">
        <v>4</v>
      </c>
      <c r="J146" s="1" t="s">
        <v>666</v>
      </c>
      <c r="K146" s="19">
        <f>C143*G118</f>
        <v>19724.952403333333</v>
      </c>
      <c r="L146" s="1">
        <f>C113</f>
        <v>0.25</v>
      </c>
      <c r="M146" s="21">
        <f>K146*L146</f>
        <v>4931.2381008333332</v>
      </c>
      <c r="N146" s="35">
        <f>(M146/M148)</f>
        <v>2.452705464444694E-2</v>
      </c>
      <c r="O146" s="131">
        <f>('Escenario 1'!C119)*G118*L145</f>
        <v>4308.0624999999936</v>
      </c>
      <c r="P146" t="s">
        <v>465</v>
      </c>
    </row>
    <row r="147" spans="2:16" ht="15.75" thickBot="1">
      <c r="B147" s="55" t="s">
        <v>458</v>
      </c>
      <c r="C147" s="9">
        <f>1/Y37</f>
        <v>0.33333333333333331</v>
      </c>
      <c r="D147" s="2" t="s">
        <v>459</v>
      </c>
      <c r="I147" s="1">
        <v>5</v>
      </c>
      <c r="J147" s="1" t="s">
        <v>398</v>
      </c>
      <c r="K147" s="19">
        <f>(C135+C141)*G118</f>
        <v>957103.98847984034</v>
      </c>
      <c r="L147" s="22">
        <f>C118</f>
        <v>0.14000000000000001</v>
      </c>
      <c r="M147" s="24">
        <f>K147*L147</f>
        <v>133994.55838717765</v>
      </c>
      <c r="N147" s="36">
        <f>(M147/M148)</f>
        <v>0.66646383492726824</v>
      </c>
    </row>
    <row r="148" spans="2:16" ht="18" thickBot="1">
      <c r="B148" s="55" t="s">
        <v>288</v>
      </c>
      <c r="C148" s="9">
        <f>C66</f>
        <v>1133.0794520547945</v>
      </c>
      <c r="D148" s="2" t="s">
        <v>289</v>
      </c>
      <c r="L148" s="40" t="s">
        <v>454</v>
      </c>
      <c r="M148" s="41">
        <f>SUM(M143:M147)</f>
        <v>201053.00747759343</v>
      </c>
      <c r="N148" s="37">
        <f>SUM(N143:N147)</f>
        <v>1</v>
      </c>
    </row>
    <row r="149" spans="2:16">
      <c r="B149" s="55" t="s">
        <v>462</v>
      </c>
      <c r="C149" s="2">
        <v>0.01</v>
      </c>
      <c r="D149" s="2" t="s">
        <v>463</v>
      </c>
      <c r="I149" s="31" t="s">
        <v>341</v>
      </c>
      <c r="J149" s="31" t="s">
        <v>472</v>
      </c>
      <c r="K149" s="31" t="s">
        <v>430</v>
      </c>
      <c r="L149" s="42" t="s">
        <v>431</v>
      </c>
      <c r="M149" s="42" t="s">
        <v>381</v>
      </c>
      <c r="N149" s="42" t="s">
        <v>17</v>
      </c>
    </row>
    <row r="150" spans="2:16" ht="18">
      <c r="B150" s="56" t="s">
        <v>466</v>
      </c>
      <c r="C150" s="2">
        <v>1.5</v>
      </c>
      <c r="D150" s="2" t="s">
        <v>467</v>
      </c>
      <c r="I150" s="1">
        <v>1</v>
      </c>
      <c r="J150" s="1" t="s">
        <v>473</v>
      </c>
      <c r="K150" s="1">
        <v>2</v>
      </c>
      <c r="L150" s="21">
        <v>30000</v>
      </c>
      <c r="M150" s="20">
        <f t="shared" ref="M150:M158" si="16">K150*L150</f>
        <v>60000</v>
      </c>
      <c r="N150" s="35">
        <f>(M150/$M$159)</f>
        <v>0.24234754793147939</v>
      </c>
    </row>
    <row r="151" spans="2:16">
      <c r="B151" s="55" t="s">
        <v>292</v>
      </c>
      <c r="C151" s="9">
        <f>I32/AC36</f>
        <v>0.41666666666666663</v>
      </c>
      <c r="D151" s="2" t="s">
        <v>470</v>
      </c>
      <c r="I151" s="1">
        <v>2</v>
      </c>
      <c r="J151" s="1" t="s">
        <v>475</v>
      </c>
      <c r="K151" s="1">
        <v>0.2</v>
      </c>
      <c r="L151" s="21">
        <f>M150</f>
        <v>60000</v>
      </c>
      <c r="M151" s="20">
        <f t="shared" si="16"/>
        <v>12000</v>
      </c>
      <c r="N151" s="35">
        <f t="shared" ref="N151:N158" si="17">(M151/$M$159)</f>
        <v>4.8469509586295874E-2</v>
      </c>
    </row>
    <row r="152" spans="2:16">
      <c r="B152" s="55" t="s">
        <v>390</v>
      </c>
      <c r="C152" s="2">
        <v>0.3</v>
      </c>
      <c r="D152" s="2" t="s">
        <v>467</v>
      </c>
      <c r="I152" s="1">
        <v>3</v>
      </c>
      <c r="J152" s="1" t="s">
        <v>477</v>
      </c>
      <c r="K152" s="1">
        <v>0.25</v>
      </c>
      <c r="L152" s="21">
        <f>M150+M151</f>
        <v>72000</v>
      </c>
      <c r="M152" s="20">
        <f t="shared" si="16"/>
        <v>18000</v>
      </c>
      <c r="N152" s="35">
        <f t="shared" si="17"/>
        <v>7.2704264379443814E-2</v>
      </c>
    </row>
    <row r="153" spans="2:16">
      <c r="B153" s="55" t="s">
        <v>471</v>
      </c>
      <c r="C153" s="2">
        <v>2</v>
      </c>
      <c r="D153" s="2" t="s">
        <v>17</v>
      </c>
      <c r="I153" s="1">
        <v>4</v>
      </c>
      <c r="J153" s="1" t="s">
        <v>479</v>
      </c>
      <c r="K153" s="1">
        <v>0.04</v>
      </c>
      <c r="L153" s="21">
        <f>O104</f>
        <v>393697.47942696529</v>
      </c>
      <c r="M153" s="20">
        <f t="shared" si="16"/>
        <v>15747.899177078612</v>
      </c>
      <c r="N153" s="35">
        <f t="shared" si="17"/>
        <v>6.3607745843952734E-2</v>
      </c>
    </row>
    <row r="154" spans="2:16" ht="17.25">
      <c r="B154" s="55" t="s">
        <v>667</v>
      </c>
      <c r="C154" s="9">
        <f>AC50</f>
        <v>14.950353881278538</v>
      </c>
      <c r="D154" s="2" t="s">
        <v>23</v>
      </c>
      <c r="I154" s="1">
        <v>5</v>
      </c>
      <c r="J154" s="1" t="s">
        <v>481</v>
      </c>
      <c r="K154" s="1">
        <v>4.0000000000000001E-3</v>
      </c>
      <c r="L154" s="21">
        <f>M141</f>
        <v>73752.945680106961</v>
      </c>
      <c r="M154" s="20">
        <f t="shared" si="16"/>
        <v>295.01178272042785</v>
      </c>
      <c r="N154" s="35">
        <f t="shared" si="17"/>
        <v>1.1915897025531678E-3</v>
      </c>
    </row>
    <row r="155" spans="2:16">
      <c r="I155" s="1">
        <v>6</v>
      </c>
      <c r="J155" s="1" t="s">
        <v>483</v>
      </c>
      <c r="K155" s="1">
        <v>0.55000000000000004</v>
      </c>
      <c r="L155" s="21">
        <f>M150+M151+M153</f>
        <v>87747.899177078609</v>
      </c>
      <c r="M155" s="20">
        <f t="shared" si="16"/>
        <v>48261.344547393237</v>
      </c>
      <c r="N155" s="35">
        <f t="shared" si="17"/>
        <v>0.1949336418489504</v>
      </c>
    </row>
    <row r="156" spans="2:16">
      <c r="B156" s="295" t="s">
        <v>574</v>
      </c>
      <c r="C156" s="296"/>
      <c r="D156" s="297"/>
      <c r="I156" s="1">
        <v>7</v>
      </c>
      <c r="J156" s="1" t="s">
        <v>485</v>
      </c>
      <c r="K156" s="1">
        <f>0.21</f>
        <v>0.21</v>
      </c>
      <c r="L156" s="21">
        <f>M141+M148+M153+M154</f>
        <v>290848.86411749944</v>
      </c>
      <c r="M156" s="20">
        <f t="shared" si="16"/>
        <v>61078.261464674877</v>
      </c>
      <c r="N156" s="35">
        <f t="shared" si="17"/>
        <v>0.24670278163136208</v>
      </c>
    </row>
    <row r="157" spans="2:16">
      <c r="B157" s="55" t="s">
        <v>476</v>
      </c>
      <c r="C157" s="9">
        <f>K220</f>
        <v>36.5</v>
      </c>
      <c r="D157" s="2" t="s">
        <v>313</v>
      </c>
      <c r="E157" s="60"/>
      <c r="I157" s="1">
        <v>8</v>
      </c>
      <c r="J157" s="1" t="s">
        <v>487</v>
      </c>
      <c r="K157" s="1">
        <v>0.05</v>
      </c>
      <c r="L157" s="21">
        <f>M141+M148</f>
        <v>274805.95315770037</v>
      </c>
      <c r="M157" s="20">
        <f t="shared" si="16"/>
        <v>13740.297657885019</v>
      </c>
      <c r="N157" s="35">
        <f t="shared" si="17"/>
        <v>5.5498790753951394E-2</v>
      </c>
    </row>
    <row r="158" spans="2:16" ht="15.75" thickBot="1">
      <c r="B158" s="55" t="s">
        <v>478</v>
      </c>
      <c r="C158" s="9">
        <f t="shared" ref="C158:C164" si="18">K221</f>
        <v>36.5</v>
      </c>
      <c r="D158" s="2" t="s">
        <v>313</v>
      </c>
      <c r="E158" s="60"/>
      <c r="I158" s="1">
        <v>9</v>
      </c>
      <c r="J158" s="1" t="s">
        <v>489</v>
      </c>
      <c r="K158" s="1">
        <v>0.05</v>
      </c>
      <c r="L158" s="24">
        <f>M141+M148+M151+M152+M153+M154+M155</f>
        <v>369110.20866489271</v>
      </c>
      <c r="M158" s="32">
        <f t="shared" si="16"/>
        <v>18455.510433244635</v>
      </c>
      <c r="N158" s="36">
        <f t="shared" si="17"/>
        <v>7.4544128322011197E-2</v>
      </c>
    </row>
    <row r="159" spans="2:16" ht="15.75" thickBot="1">
      <c r="B159" s="56" t="s">
        <v>480</v>
      </c>
      <c r="C159" s="9">
        <f t="shared" si="18"/>
        <v>36.57</v>
      </c>
      <c r="D159" s="2" t="s">
        <v>313</v>
      </c>
      <c r="E159" s="60"/>
      <c r="L159" s="40" t="s">
        <v>454</v>
      </c>
      <c r="M159" s="43">
        <f>SUM(M150:M158)</f>
        <v>247578.3250629968</v>
      </c>
      <c r="N159" s="37">
        <f>SUM(N150:N158)</f>
        <v>1</v>
      </c>
    </row>
    <row r="160" spans="2:16">
      <c r="B160" s="56" t="s">
        <v>482</v>
      </c>
      <c r="C160" s="9">
        <f t="shared" si="18"/>
        <v>36.57</v>
      </c>
      <c r="D160" s="2" t="s">
        <v>313</v>
      </c>
      <c r="E160" s="60"/>
    </row>
    <row r="161" spans="1:18">
      <c r="B161" s="56" t="s">
        <v>484</v>
      </c>
      <c r="C161" s="9">
        <f t="shared" si="18"/>
        <v>36.51</v>
      </c>
      <c r="D161" s="2" t="s">
        <v>313</v>
      </c>
      <c r="E161" s="60"/>
      <c r="I161" s="292" t="s">
        <v>492</v>
      </c>
      <c r="J161" s="292"/>
      <c r="K161" s="292"/>
      <c r="L161" s="292"/>
    </row>
    <row r="162" spans="1:18">
      <c r="B162" s="56" t="s">
        <v>486</v>
      </c>
      <c r="C162" s="9">
        <f t="shared" si="18"/>
        <v>36.51</v>
      </c>
      <c r="D162" s="2" t="s">
        <v>313</v>
      </c>
      <c r="E162" s="60"/>
      <c r="I162" s="31" t="s">
        <v>341</v>
      </c>
      <c r="J162" s="31" t="s">
        <v>342</v>
      </c>
      <c r="K162" s="31" t="s">
        <v>381</v>
      </c>
      <c r="L162" s="31" t="s">
        <v>17</v>
      </c>
    </row>
    <row r="163" spans="1:18">
      <c r="B163" s="56" t="s">
        <v>668</v>
      </c>
      <c r="C163" s="9">
        <f t="shared" si="18"/>
        <v>36.51</v>
      </c>
      <c r="D163" s="2" t="s">
        <v>313</v>
      </c>
      <c r="E163" s="60"/>
      <c r="I163" s="1">
        <v>1</v>
      </c>
      <c r="J163" s="1" t="s">
        <v>493</v>
      </c>
      <c r="K163" s="21">
        <f>L130</f>
        <v>190919.65567331255</v>
      </c>
      <c r="L163" s="35">
        <f>(K163/$K$167)</f>
        <v>0.26765540830689072</v>
      </c>
    </row>
    <row r="164" spans="1:18">
      <c r="B164" s="56" t="s">
        <v>669</v>
      </c>
      <c r="C164" s="9">
        <f t="shared" si="18"/>
        <v>36</v>
      </c>
      <c r="D164" s="65" t="s">
        <v>313</v>
      </c>
      <c r="E164" s="60"/>
      <c r="I164" s="1">
        <v>2</v>
      </c>
      <c r="J164" s="1" t="s">
        <v>429</v>
      </c>
      <c r="K164" s="21">
        <f>M141</f>
        <v>73752.945680106961</v>
      </c>
      <c r="L164" s="35">
        <f>(K164/$K$167)</f>
        <v>0.10339624131536888</v>
      </c>
    </row>
    <row r="165" spans="1:18">
      <c r="B165" s="56" t="s">
        <v>670</v>
      </c>
      <c r="C165" s="9">
        <f>K229</f>
        <v>36.51</v>
      </c>
      <c r="D165" s="2" t="s">
        <v>313</v>
      </c>
      <c r="E165" s="60"/>
      <c r="I165" s="1">
        <v>3</v>
      </c>
      <c r="J165" s="1" t="s">
        <v>427</v>
      </c>
      <c r="K165" s="21">
        <f>M148</f>
        <v>201053.00747759343</v>
      </c>
      <c r="L165" s="35">
        <f>(K165/$K$167)</f>
        <v>0.28186162717485874</v>
      </c>
    </row>
    <row r="166" spans="1:18" ht="15.75" thickBot="1">
      <c r="B166" s="56" t="s">
        <v>671</v>
      </c>
      <c r="C166" s="9">
        <f t="shared" ref="C166:C167" si="19">K230</f>
        <v>36.51</v>
      </c>
      <c r="D166" s="2" t="s">
        <v>313</v>
      </c>
      <c r="I166" s="1">
        <v>4</v>
      </c>
      <c r="J166" s="1" t="s">
        <v>472</v>
      </c>
      <c r="K166" s="24">
        <f>M159</f>
        <v>247578.3250629968</v>
      </c>
      <c r="L166" s="36">
        <f>(K166/$K$167)</f>
        <v>0.34708672320288175</v>
      </c>
    </row>
    <row r="167" spans="1:18" ht="15.75" thickBot="1">
      <c r="B167" s="56" t="s">
        <v>672</v>
      </c>
      <c r="C167" s="9">
        <f t="shared" si="19"/>
        <v>36.51</v>
      </c>
      <c r="D167" s="2" t="s">
        <v>313</v>
      </c>
      <c r="K167" s="96">
        <f>SUM(K163:K166)</f>
        <v>713303.93389400968</v>
      </c>
      <c r="L167" s="37">
        <f>SUM(L163:L166)</f>
        <v>1.0000000000000002</v>
      </c>
    </row>
    <row r="168" spans="1:18" ht="15.75" thickBot="1"/>
    <row r="169" spans="1:18">
      <c r="B169" s="325" t="s">
        <v>125</v>
      </c>
      <c r="C169" s="7">
        <f>SUM(C157:C167)</f>
        <v>401.19999999999993</v>
      </c>
      <c r="D169" s="2" t="s">
        <v>313</v>
      </c>
      <c r="J169" s="44" t="s">
        <v>494</v>
      </c>
      <c r="K169" s="45">
        <f>K167</f>
        <v>713303.93389400968</v>
      </c>
    </row>
    <row r="170" spans="1:18" ht="17.25">
      <c r="B170" s="326"/>
      <c r="C170" s="7">
        <f>(C169/1000)*8</f>
        <v>3.2095999999999996</v>
      </c>
      <c r="D170" s="5" t="s">
        <v>406</v>
      </c>
      <c r="J170" s="79" t="s">
        <v>495</v>
      </c>
      <c r="K170" s="80">
        <f>K169/(R28*G118)</f>
        <v>101.55785240246684</v>
      </c>
    </row>
    <row r="171" spans="1:18" ht="17.25">
      <c r="B171" s="75" t="s">
        <v>491</v>
      </c>
      <c r="J171" s="79" t="s">
        <v>673</v>
      </c>
      <c r="K171" s="80">
        <f>K169/(T28*G118)</f>
        <v>903.11033416224257</v>
      </c>
    </row>
    <row r="172" spans="1:18" ht="18" thickBot="1">
      <c r="J172" s="77" t="s">
        <v>496</v>
      </c>
      <c r="K172" s="78">
        <f>(C176+C177)/(D28*G118)</f>
        <v>157.40723119251558</v>
      </c>
    </row>
    <row r="174" spans="1:18" ht="20.25" thickBot="1">
      <c r="B174" s="291" t="s">
        <v>497</v>
      </c>
      <c r="C174" s="291"/>
      <c r="D174" s="291"/>
      <c r="E174" s="291"/>
      <c r="F174" s="291"/>
      <c r="G174" s="291"/>
      <c r="H174" s="291"/>
      <c r="I174" s="291"/>
      <c r="J174" s="28"/>
      <c r="K174" s="291" t="s">
        <v>498</v>
      </c>
      <c r="L174" s="291"/>
      <c r="M174" s="291"/>
      <c r="N174" s="291"/>
      <c r="O174" s="291"/>
      <c r="P174" s="291"/>
      <c r="Q174" s="291"/>
      <c r="R174" s="291"/>
    </row>
    <row r="175" spans="1:18" ht="16.5" thickTop="1" thickBot="1"/>
    <row r="176" spans="1:18" ht="15.75" thickBot="1">
      <c r="A176" s="27" t="s">
        <v>499</v>
      </c>
      <c r="B176" s="25" t="s">
        <v>30</v>
      </c>
      <c r="C176" s="21">
        <f>L121+L127+L128+L129</f>
        <v>1647600.329553084</v>
      </c>
      <c r="H176" s="25" t="s">
        <v>674</v>
      </c>
      <c r="I176" s="20">
        <f>C183*C192</f>
        <v>459969.70385005325</v>
      </c>
      <c r="K176" s="99"/>
      <c r="L176" s="133" t="s">
        <v>63</v>
      </c>
      <c r="M176" s="134" t="s">
        <v>501</v>
      </c>
      <c r="N176" s="133" t="s">
        <v>63</v>
      </c>
      <c r="O176" s="134" t="s">
        <v>502</v>
      </c>
      <c r="P176" s="133" t="s">
        <v>63</v>
      </c>
      <c r="Q176" s="134" t="s">
        <v>578</v>
      </c>
      <c r="R176" s="111" t="s">
        <v>579</v>
      </c>
    </row>
    <row r="177" spans="1:17">
      <c r="A177" s="27" t="s">
        <v>504</v>
      </c>
      <c r="B177" s="25" t="s">
        <v>505</v>
      </c>
      <c r="C177" s="21">
        <f>M141+M148+M159</f>
        <v>522384.27822069719</v>
      </c>
      <c r="H177" s="25" t="s">
        <v>675</v>
      </c>
      <c r="I177" s="20">
        <f>C181-I176</f>
        <v>275786.35476236243</v>
      </c>
      <c r="K177" s="146" t="s">
        <v>105</v>
      </c>
      <c r="L177" s="135">
        <f>(R36/R29)*100</f>
        <v>22.269909207194932</v>
      </c>
      <c r="M177" s="136">
        <v>30.8</v>
      </c>
      <c r="N177" s="143">
        <f>L177</f>
        <v>22.269909207194932</v>
      </c>
      <c r="O177" s="136" t="s">
        <v>12</v>
      </c>
      <c r="P177" s="143">
        <f>N177</f>
        <v>22.269909207194932</v>
      </c>
      <c r="Q177" s="136">
        <v>4</v>
      </c>
    </row>
    <row r="178" spans="1:17">
      <c r="B178" s="25" t="s">
        <v>16</v>
      </c>
      <c r="C178" s="2">
        <v>0.05</v>
      </c>
      <c r="H178" s="111" t="s">
        <v>676</v>
      </c>
      <c r="K178" s="147" t="s">
        <v>106</v>
      </c>
      <c r="L178" s="135">
        <f>(R38/R29)*100</f>
        <v>0.22436571944859704</v>
      </c>
      <c r="M178" s="136">
        <v>3.5</v>
      </c>
      <c r="N178" s="143">
        <f>L178</f>
        <v>0.22436571944859704</v>
      </c>
      <c r="O178" s="136">
        <v>12</v>
      </c>
      <c r="P178" s="143">
        <f>N178</f>
        <v>0.22436571944859704</v>
      </c>
      <c r="Q178" s="136">
        <v>12</v>
      </c>
    </row>
    <row r="179" spans="1:17">
      <c r="B179" s="25" t="s">
        <v>506</v>
      </c>
      <c r="C179" s="2">
        <f>K125</f>
        <v>10</v>
      </c>
      <c r="H179" t="s">
        <v>677</v>
      </c>
      <c r="K179" s="147" t="s">
        <v>107</v>
      </c>
      <c r="L179" s="135">
        <f>(R42/R29)*100</f>
        <v>0.36471434525248692</v>
      </c>
      <c r="M179" s="136" t="s">
        <v>12</v>
      </c>
      <c r="N179" s="143">
        <f>L179</f>
        <v>0.36471434525248692</v>
      </c>
      <c r="O179" s="136">
        <v>24</v>
      </c>
      <c r="P179" s="143">
        <f>N179</f>
        <v>0.36471434525248692</v>
      </c>
      <c r="Q179" s="136">
        <v>4</v>
      </c>
    </row>
    <row r="180" spans="1:17" ht="15.75" thickBot="1">
      <c r="K180" s="147" t="s">
        <v>678</v>
      </c>
      <c r="L180" s="137">
        <v>3124.9385726859573</v>
      </c>
      <c r="M180" s="138">
        <v>120</v>
      </c>
      <c r="N180" s="137">
        <v>3948.2955053110923</v>
      </c>
      <c r="O180" s="138">
        <f>5*12</f>
        <v>60</v>
      </c>
      <c r="P180" s="137">
        <v>2935.4959705136998</v>
      </c>
      <c r="Q180" s="138">
        <f>5*12</f>
        <v>60</v>
      </c>
    </row>
    <row r="181" spans="1:17">
      <c r="B181" s="82" t="s">
        <v>7</v>
      </c>
      <c r="C181" s="47">
        <f>((C178*(1+C178)^C179)/((1+C178)^C179-1))*C176+C177</f>
        <v>735756.05861241568</v>
      </c>
      <c r="D181" s="48" t="s">
        <v>508</v>
      </c>
      <c r="K181" s="147" t="s">
        <v>509</v>
      </c>
      <c r="L181" s="135">
        <f>C183/1000</f>
        <v>6.5488963502830316E-2</v>
      </c>
      <c r="M181" s="149">
        <f>'Escenario 1'!M160</f>
        <v>1.028125</v>
      </c>
      <c r="N181" s="143">
        <f>L181</f>
        <v>6.5488963502830316E-2</v>
      </c>
      <c r="O181" s="144">
        <f>'Escenario 1'!O160</f>
        <v>6.3849999999999998</v>
      </c>
      <c r="P181" s="143">
        <f>N181</f>
        <v>6.5488963502830316E-2</v>
      </c>
      <c r="Q181" s="151">
        <f>'Escenario 1'!Q160</f>
        <v>6.3849999999999998</v>
      </c>
    </row>
    <row r="182" spans="1:17" ht="17.25">
      <c r="B182" s="83" t="s">
        <v>679</v>
      </c>
      <c r="C182" s="81">
        <f>(C181-(C183*C192))/C191</f>
        <v>349.17164363183332</v>
      </c>
      <c r="D182" s="84" t="s">
        <v>510</v>
      </c>
      <c r="K182" s="147" t="s">
        <v>511</v>
      </c>
      <c r="L182" s="139">
        <f>L$180*1*(L177/100)</f>
        <v>695.92098291777586</v>
      </c>
      <c r="M182" s="140">
        <f>M$180*1*(M177/100)</f>
        <v>36.96</v>
      </c>
      <c r="N182" s="139">
        <f>N$180*1*(N177/100)</f>
        <v>879.28182426453861</v>
      </c>
      <c r="O182" s="140" t="s">
        <v>12</v>
      </c>
      <c r="P182" s="139">
        <f t="shared" ref="P182:Q184" si="20">P$180*1*(P177/100)</f>
        <v>653.73228741426669</v>
      </c>
      <c r="Q182" s="140">
        <f t="shared" si="20"/>
        <v>2.4</v>
      </c>
    </row>
    <row r="183" spans="1:17" ht="18" thickBot="1">
      <c r="B183" s="49" t="s">
        <v>680</v>
      </c>
      <c r="C183" s="50">
        <f>'Escenario 1'!C161</f>
        <v>65.488963502830316</v>
      </c>
      <c r="D183" s="51" t="s">
        <v>510</v>
      </c>
      <c r="E183" s="60" t="s">
        <v>681</v>
      </c>
      <c r="K183" s="147" t="s">
        <v>512</v>
      </c>
      <c r="L183" s="139">
        <f t="shared" ref="L183:M184" si="21">L$180*1*(L178/100)</f>
        <v>7.0112909109335675</v>
      </c>
      <c r="M183" s="140">
        <f t="shared" si="21"/>
        <v>4.2</v>
      </c>
      <c r="N183" s="139">
        <f>N$180*1*(N178/100)</f>
        <v>8.8586216164478522</v>
      </c>
      <c r="O183" s="140">
        <f>O$180*1*(O178/100)</f>
        <v>7.1999999999999993</v>
      </c>
      <c r="P183" s="139">
        <f t="shared" si="20"/>
        <v>6.5862466536276383</v>
      </c>
      <c r="Q183" s="140">
        <f t="shared" si="20"/>
        <v>7.1999999999999993</v>
      </c>
    </row>
    <row r="184" spans="1:17">
      <c r="K184" s="147" t="s">
        <v>515</v>
      </c>
      <c r="L184" s="139">
        <f t="shared" si="21"/>
        <v>11.397099254913998</v>
      </c>
      <c r="M184" s="140" t="s">
        <v>12</v>
      </c>
      <c r="N184" s="139">
        <f>N$180*1*(N179/100)</f>
        <v>14.40000010082872</v>
      </c>
      <c r="O184" s="140">
        <f>O$180*1*(O179/100)</f>
        <v>14.399999999999999</v>
      </c>
      <c r="P184" s="139">
        <f t="shared" si="20"/>
        <v>10.706174908772176</v>
      </c>
      <c r="Q184" s="140">
        <f t="shared" si="20"/>
        <v>2.4</v>
      </c>
    </row>
    <row r="185" spans="1:17" ht="15.75" thickBot="1">
      <c r="B185" s="26" t="s">
        <v>580</v>
      </c>
      <c r="C185" s="267" t="s">
        <v>514</v>
      </c>
      <c r="D185" s="267"/>
      <c r="E185" s="267"/>
      <c r="F185" s="267"/>
      <c r="K185" s="148" t="s">
        <v>682</v>
      </c>
      <c r="L185" s="141">
        <f t="shared" ref="L185:Q185" si="22">L180*L181</f>
        <v>204.64898813521731</v>
      </c>
      <c r="M185" s="142">
        <f t="shared" si="22"/>
        <v>123.375</v>
      </c>
      <c r="N185" s="141">
        <f t="shared" si="22"/>
        <v>258.56978024570708</v>
      </c>
      <c r="O185" s="142">
        <f t="shared" si="22"/>
        <v>383.09999999999997</v>
      </c>
      <c r="P185" s="141">
        <f t="shared" si="22"/>
        <v>192.24258847567714</v>
      </c>
      <c r="Q185" s="142">
        <f t="shared" si="22"/>
        <v>383.09999999999997</v>
      </c>
    </row>
    <row r="186" spans="1:17" ht="15.75" thickBot="1">
      <c r="B186" s="26" t="s">
        <v>516</v>
      </c>
      <c r="C186" s="268" t="s">
        <v>517</v>
      </c>
      <c r="D186" s="321"/>
      <c r="E186" s="321"/>
      <c r="F186" s="269"/>
    </row>
    <row r="187" spans="1:17" ht="15.75" thickBot="1">
      <c r="B187" s="26" t="s">
        <v>519</v>
      </c>
      <c r="C187" s="268" t="s">
        <v>520</v>
      </c>
      <c r="D187" s="321"/>
      <c r="E187" s="321"/>
      <c r="F187" s="269"/>
      <c r="K187" s="99"/>
      <c r="L187" s="188" t="s">
        <v>61</v>
      </c>
    </row>
    <row r="188" spans="1:17">
      <c r="B188" s="26" t="s">
        <v>521</v>
      </c>
      <c r="C188" s="268" t="s">
        <v>522</v>
      </c>
      <c r="D188" s="321"/>
      <c r="E188" s="321"/>
      <c r="F188" s="269"/>
      <c r="H188" s="93"/>
      <c r="K188" s="146" t="s">
        <v>105</v>
      </c>
      <c r="L188" s="185">
        <f>(T36/T29)*100</f>
        <v>10.243433310109529</v>
      </c>
    </row>
    <row r="189" spans="1:17">
      <c r="B189" s="26" t="s">
        <v>7</v>
      </c>
      <c r="C189" s="268" t="s">
        <v>525</v>
      </c>
      <c r="D189" s="321"/>
      <c r="E189" s="321"/>
      <c r="F189" s="269"/>
      <c r="K189" s="147" t="s">
        <v>106</v>
      </c>
      <c r="L189" s="186">
        <f>(T38/T29)*100</f>
        <v>0.47390789268818556</v>
      </c>
    </row>
    <row r="190" spans="1:17" ht="15.75" thickBot="1">
      <c r="K190" s="148" t="s">
        <v>107</v>
      </c>
      <c r="L190" s="187">
        <f>(T42/T29)*100</f>
        <v>9.917561200588414E-3</v>
      </c>
    </row>
    <row r="191" spans="1:17" ht="17.25">
      <c r="B191" s="26" t="s">
        <v>683</v>
      </c>
      <c r="C191" s="9">
        <f>T28*G118</f>
        <v>789.83033070449346</v>
      </c>
      <c r="D191" s="2" t="s">
        <v>528</v>
      </c>
    </row>
    <row r="192" spans="1:17" ht="17.25">
      <c r="B192" s="26" t="s">
        <v>684</v>
      </c>
      <c r="C192" s="9">
        <f>R28*G118</f>
        <v>7023.6216798602127</v>
      </c>
      <c r="D192" s="2" t="s">
        <v>528</v>
      </c>
      <c r="H192" s="75"/>
    </row>
    <row r="194" spans="2:16" ht="20.25" thickBot="1">
      <c r="B194" s="291" t="s">
        <v>581</v>
      </c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</row>
    <row r="195" spans="2:16" ht="15.75" thickTop="1"/>
    <row r="196" spans="2:16">
      <c r="B196" s="25" t="s">
        <v>531</v>
      </c>
      <c r="C196" s="29">
        <v>0</v>
      </c>
      <c r="D196" s="29">
        <v>1</v>
      </c>
      <c r="E196" s="29">
        <v>2</v>
      </c>
      <c r="F196" s="29">
        <v>3</v>
      </c>
      <c r="G196" s="29">
        <v>4</v>
      </c>
      <c r="H196" s="29">
        <v>5</v>
      </c>
      <c r="I196" s="29">
        <v>6</v>
      </c>
      <c r="J196" s="29">
        <v>7</v>
      </c>
      <c r="K196" s="29">
        <v>8</v>
      </c>
      <c r="L196" s="29">
        <v>9</v>
      </c>
      <c r="M196" s="29">
        <v>10</v>
      </c>
    </row>
    <row r="197" spans="2:16">
      <c r="B197" s="25" t="s">
        <v>532</v>
      </c>
      <c r="C197" s="21">
        <f>C176</f>
        <v>1647600.329553084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6">
      <c r="B198" s="25" t="s">
        <v>533</v>
      </c>
      <c r="C198" s="1"/>
      <c r="D198" s="21">
        <f>(C210*C207)+(D207*C212)</f>
        <v>806605.94870478124</v>
      </c>
      <c r="E198" s="21">
        <f>$D$198</f>
        <v>806605.94870478124</v>
      </c>
      <c r="F198" s="21">
        <f t="shared" ref="F198:M198" si="23">$D$198</f>
        <v>806605.94870478124</v>
      </c>
      <c r="G198" s="21">
        <f t="shared" si="23"/>
        <v>806605.94870478124</v>
      </c>
      <c r="H198" s="21">
        <f t="shared" si="23"/>
        <v>806605.94870478124</v>
      </c>
      <c r="I198" s="21">
        <f t="shared" si="23"/>
        <v>806605.94870478124</v>
      </c>
      <c r="J198" s="21">
        <f t="shared" si="23"/>
        <v>806605.94870478124</v>
      </c>
      <c r="K198" s="21">
        <f t="shared" si="23"/>
        <v>806605.94870478124</v>
      </c>
      <c r="L198" s="21">
        <f t="shared" si="23"/>
        <v>806605.94870478124</v>
      </c>
      <c r="M198" s="21">
        <f t="shared" si="23"/>
        <v>806605.94870478124</v>
      </c>
    </row>
    <row r="199" spans="2:16">
      <c r="B199" s="25" t="s">
        <v>534</v>
      </c>
      <c r="C199" s="1"/>
      <c r="D199" s="21">
        <f>C177</f>
        <v>522384.27822069719</v>
      </c>
      <c r="E199" s="21">
        <f>$D$199</f>
        <v>522384.27822069719</v>
      </c>
      <c r="F199" s="21">
        <f t="shared" ref="F199:M199" si="24">$D$199</f>
        <v>522384.27822069719</v>
      </c>
      <c r="G199" s="21">
        <f t="shared" si="24"/>
        <v>522384.27822069719</v>
      </c>
      <c r="H199" s="21">
        <f t="shared" si="24"/>
        <v>522384.27822069719</v>
      </c>
      <c r="I199" s="21">
        <f t="shared" si="24"/>
        <v>522384.27822069719</v>
      </c>
      <c r="J199" s="21">
        <f t="shared" si="24"/>
        <v>522384.27822069719</v>
      </c>
      <c r="K199" s="21">
        <f t="shared" si="24"/>
        <v>522384.27822069719</v>
      </c>
      <c r="L199" s="21">
        <f t="shared" si="24"/>
        <v>522384.27822069719</v>
      </c>
      <c r="M199" s="21">
        <f t="shared" si="24"/>
        <v>522384.27822069719</v>
      </c>
    </row>
    <row r="200" spans="2:16">
      <c r="B200" s="25" t="s">
        <v>535</v>
      </c>
      <c r="C200" s="1"/>
      <c r="D200" s="21">
        <f>D198-D199</f>
        <v>284221.67048408405</v>
      </c>
      <c r="E200" s="21">
        <f t="shared" ref="E200:M200" si="25">E198-E199</f>
        <v>284221.67048408405</v>
      </c>
      <c r="F200" s="21">
        <f t="shared" si="25"/>
        <v>284221.67048408405</v>
      </c>
      <c r="G200" s="21">
        <f t="shared" si="25"/>
        <v>284221.67048408405</v>
      </c>
      <c r="H200" s="21">
        <f t="shared" si="25"/>
        <v>284221.67048408405</v>
      </c>
      <c r="I200" s="21">
        <f t="shared" si="25"/>
        <v>284221.67048408405</v>
      </c>
      <c r="J200" s="21">
        <f t="shared" si="25"/>
        <v>284221.67048408405</v>
      </c>
      <c r="K200" s="21">
        <f t="shared" si="25"/>
        <v>284221.67048408405</v>
      </c>
      <c r="L200" s="21">
        <f t="shared" si="25"/>
        <v>284221.67048408405</v>
      </c>
      <c r="M200" s="21">
        <f t="shared" si="25"/>
        <v>284221.67048408405</v>
      </c>
    </row>
    <row r="201" spans="2:16">
      <c r="B201" s="25" t="s">
        <v>536</v>
      </c>
      <c r="C201" s="1"/>
      <c r="D201" s="21">
        <f>D200/((1+$C$178)^$C$179)</f>
        <v>174487.45045367363</v>
      </c>
      <c r="E201" s="21">
        <f t="shared" ref="E201:M201" si="26">E200/((1+$C$178)^$C$179)</f>
        <v>174487.45045367363</v>
      </c>
      <c r="F201" s="21">
        <f t="shared" si="26"/>
        <v>174487.45045367363</v>
      </c>
      <c r="G201" s="21">
        <f t="shared" si="26"/>
        <v>174487.45045367363</v>
      </c>
      <c r="H201" s="21">
        <f t="shared" si="26"/>
        <v>174487.45045367363</v>
      </c>
      <c r="I201" s="21">
        <f t="shared" si="26"/>
        <v>174487.45045367363</v>
      </c>
      <c r="J201" s="21">
        <f t="shared" si="26"/>
        <v>174487.45045367363</v>
      </c>
      <c r="K201" s="21">
        <f t="shared" si="26"/>
        <v>174487.45045367363</v>
      </c>
      <c r="L201" s="21">
        <f t="shared" si="26"/>
        <v>174487.45045367363</v>
      </c>
      <c r="M201" s="21">
        <f t="shared" si="26"/>
        <v>174487.45045367363</v>
      </c>
    </row>
    <row r="202" spans="2:16" ht="15.75" thickBot="1"/>
    <row r="203" spans="2:16" ht="15.75" thickBot="1">
      <c r="B203" s="58" t="s">
        <v>537</v>
      </c>
      <c r="C203" s="59">
        <f>SUM(D201:M201)-C197</f>
        <v>97274.174983652541</v>
      </c>
    </row>
    <row r="204" spans="2:16" ht="15.75" thickBot="1">
      <c r="C204" s="85"/>
    </row>
    <row r="205" spans="2:16" ht="15.75" thickBot="1">
      <c r="C205" s="58" t="s">
        <v>67</v>
      </c>
      <c r="D205" s="87" t="s">
        <v>69</v>
      </c>
    </row>
    <row r="206" spans="2:16">
      <c r="B206" s="25" t="s">
        <v>538</v>
      </c>
      <c r="C206" s="86">
        <f>C182</f>
        <v>349.17164363183332</v>
      </c>
      <c r="D206" s="88">
        <f>C183</f>
        <v>65.488963502830316</v>
      </c>
    </row>
    <row r="207" spans="2:16">
      <c r="B207" s="25" t="s">
        <v>539</v>
      </c>
      <c r="C207" s="20">
        <v>416.54474598466453</v>
      </c>
      <c r="D207" s="21">
        <f>'Escenario 1'!C183</f>
        <v>68</v>
      </c>
    </row>
    <row r="209" spans="2:16">
      <c r="B209" s="289" t="s">
        <v>683</v>
      </c>
      <c r="C209" s="9">
        <f>C210*1000</f>
        <v>789830.33070449345</v>
      </c>
      <c r="D209" s="5" t="s">
        <v>540</v>
      </c>
    </row>
    <row r="210" spans="2:16" ht="17.25">
      <c r="B210" s="290"/>
      <c r="C210" s="9">
        <f>C191</f>
        <v>789.83033070449346</v>
      </c>
      <c r="D210" s="2" t="s">
        <v>528</v>
      </c>
    </row>
    <row r="211" spans="2:16">
      <c r="B211" s="289" t="s">
        <v>684</v>
      </c>
      <c r="C211" s="2">
        <f>C212*1000</f>
        <v>7023621.6798602128</v>
      </c>
      <c r="D211" s="5" t="s">
        <v>540</v>
      </c>
    </row>
    <row r="212" spans="2:16" ht="17.25">
      <c r="B212" s="290"/>
      <c r="C212" s="9">
        <f>C192</f>
        <v>7023.6216798602127</v>
      </c>
      <c r="D212" s="2" t="s">
        <v>528</v>
      </c>
    </row>
    <row r="214" spans="2:16">
      <c r="B214" s="75" t="s">
        <v>541</v>
      </c>
    </row>
    <row r="216" spans="2:16" ht="20.25" thickBot="1">
      <c r="B216" s="291" t="s">
        <v>542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</row>
    <row r="217" spans="2:16" ht="15.75" thickTop="1"/>
    <row r="218" spans="2:16">
      <c r="B218" s="292" t="s">
        <v>543</v>
      </c>
      <c r="C218" s="292"/>
      <c r="D218" s="292"/>
      <c r="E218" s="292"/>
      <c r="F218" s="292"/>
      <c r="G218" s="292"/>
      <c r="H218" s="292"/>
      <c r="I218" s="292"/>
      <c r="J218" s="292"/>
      <c r="K218" s="292"/>
    </row>
    <row r="219" spans="2:16" ht="17.25">
      <c r="B219" s="2" t="s">
        <v>544</v>
      </c>
      <c r="C219" s="2" t="s">
        <v>545</v>
      </c>
      <c r="D219" s="2" t="s">
        <v>546</v>
      </c>
      <c r="E219" s="2" t="s">
        <v>547</v>
      </c>
      <c r="F219" s="2" t="s">
        <v>548</v>
      </c>
      <c r="G219" s="2" t="s">
        <v>549</v>
      </c>
      <c r="H219" s="2" t="s">
        <v>550</v>
      </c>
      <c r="I219" s="2" t="s">
        <v>551</v>
      </c>
      <c r="J219" s="2" t="s">
        <v>552</v>
      </c>
      <c r="K219" s="2" t="s">
        <v>553</v>
      </c>
    </row>
    <row r="220" spans="2:16">
      <c r="B220" s="2" t="s">
        <v>245</v>
      </c>
      <c r="C220" s="9">
        <f>D29/24</f>
        <v>1573.7214611872143</v>
      </c>
      <c r="D220" s="9">
        <f>((1000*3*9.81)+101325)/101325</f>
        <v>1.2904515173945226</v>
      </c>
      <c r="E220" s="2">
        <v>1.5</v>
      </c>
      <c r="F220" s="2">
        <v>25</v>
      </c>
      <c r="G220" s="2">
        <v>2.1480000000000001</v>
      </c>
      <c r="H220" s="2">
        <v>1.577</v>
      </c>
      <c r="I220" s="130">
        <v>0.75</v>
      </c>
      <c r="J220" s="91">
        <v>4780</v>
      </c>
      <c r="K220" s="2">
        <v>36.5</v>
      </c>
    </row>
    <row r="221" spans="2:16">
      <c r="B221" s="2" t="s">
        <v>246</v>
      </c>
      <c r="C221" s="9">
        <f>E29/24</f>
        <v>9245.6135844748842</v>
      </c>
      <c r="D221" s="9">
        <f>D220</f>
        <v>1.2904515173945226</v>
      </c>
      <c r="E221" s="2">
        <v>1.5</v>
      </c>
      <c r="F221" s="2">
        <v>25</v>
      </c>
      <c r="G221" s="2">
        <v>2.1480000000000001</v>
      </c>
      <c r="H221" s="2">
        <v>9.2639999999999993</v>
      </c>
      <c r="I221" s="130">
        <v>0.75</v>
      </c>
      <c r="J221" s="91">
        <v>5230</v>
      </c>
      <c r="K221" s="2">
        <v>36.5</v>
      </c>
    </row>
    <row r="222" spans="2:16">
      <c r="B222" s="2" t="s">
        <v>247</v>
      </c>
      <c r="C222" s="9">
        <f>F29/24</f>
        <v>4917.8795662100447</v>
      </c>
      <c r="D222" s="2">
        <v>0.5</v>
      </c>
      <c r="E222" s="2">
        <v>1.5</v>
      </c>
      <c r="F222" s="2">
        <v>25</v>
      </c>
      <c r="G222" s="2">
        <v>10.23</v>
      </c>
      <c r="H222" s="2">
        <v>4.9279999999999999</v>
      </c>
      <c r="I222" s="130">
        <v>0.75</v>
      </c>
      <c r="J222" s="91">
        <v>5000</v>
      </c>
      <c r="K222" s="2">
        <v>36.57</v>
      </c>
    </row>
    <row r="223" spans="2:16">
      <c r="B223" s="2" t="s">
        <v>250</v>
      </c>
      <c r="C223" s="9">
        <f>I29/24</f>
        <v>9835.7591324200894</v>
      </c>
      <c r="D223" s="2">
        <v>1</v>
      </c>
      <c r="E223" s="2">
        <v>1.5</v>
      </c>
      <c r="F223" s="2">
        <v>25</v>
      </c>
      <c r="G223" s="2">
        <v>5.1139999999999999</v>
      </c>
      <c r="H223" s="2">
        <v>9.8450000000000006</v>
      </c>
      <c r="I223" s="130">
        <v>0.75</v>
      </c>
      <c r="J223" s="91">
        <v>5340</v>
      </c>
      <c r="K223" s="2">
        <v>36.57</v>
      </c>
    </row>
    <row r="224" spans="2:16">
      <c r="B224" s="2" t="s">
        <v>253</v>
      </c>
      <c r="C224" s="9">
        <f>L29/24</f>
        <v>934.39711757990847</v>
      </c>
      <c r="D224" s="2">
        <v>0.5</v>
      </c>
      <c r="E224" s="2">
        <v>1</v>
      </c>
      <c r="F224" s="2">
        <v>25</v>
      </c>
      <c r="G224" s="2">
        <v>5.1139999999999999</v>
      </c>
      <c r="H224" s="2">
        <v>0.93630000000000002</v>
      </c>
      <c r="I224" s="130">
        <v>0.75</v>
      </c>
      <c r="J224" s="91">
        <v>4780</v>
      </c>
      <c r="K224" s="2">
        <v>36.51</v>
      </c>
    </row>
    <row r="225" spans="2:11">
      <c r="B225" s="2" t="s">
        <v>254</v>
      </c>
      <c r="C225" s="9">
        <f>M29/24</f>
        <v>934.39711757990847</v>
      </c>
      <c r="D225" s="2">
        <v>1</v>
      </c>
      <c r="E225" s="2">
        <v>1.29</v>
      </c>
      <c r="F225" s="2">
        <v>35</v>
      </c>
      <c r="G225" s="2">
        <v>2.9750000000000001</v>
      </c>
      <c r="H225" s="2">
        <v>0.93630000000000002</v>
      </c>
      <c r="I225" s="130">
        <v>0.75</v>
      </c>
      <c r="J225" s="91">
        <v>4780</v>
      </c>
      <c r="K225" s="2">
        <v>36.51</v>
      </c>
    </row>
    <row r="226" spans="2:11">
      <c r="B226" s="2" t="s">
        <v>610</v>
      </c>
      <c r="C226" s="9">
        <f>O29/24</f>
        <v>1422.7753443683407</v>
      </c>
      <c r="D226" s="2">
        <v>1</v>
      </c>
      <c r="E226" s="2">
        <v>1.5</v>
      </c>
      <c r="F226" s="2">
        <v>35</v>
      </c>
      <c r="G226" s="2">
        <v>5.1360000000000001</v>
      </c>
      <c r="H226" s="2">
        <v>1.4033</v>
      </c>
      <c r="I226" s="130">
        <v>0.75</v>
      </c>
      <c r="J226" s="91">
        <v>4780</v>
      </c>
      <c r="K226" s="2">
        <v>36.51</v>
      </c>
    </row>
    <row r="227" spans="2:11">
      <c r="B227" s="2" t="s">
        <v>586</v>
      </c>
      <c r="C227" s="9">
        <f>P29/24</f>
        <v>623.86580883751901</v>
      </c>
      <c r="D227" s="2">
        <v>1</v>
      </c>
      <c r="E227" s="2">
        <v>1.5</v>
      </c>
      <c r="F227" s="2">
        <v>35</v>
      </c>
      <c r="G227" s="2">
        <v>3.081</v>
      </c>
      <c r="H227" s="2">
        <v>0.21329999999999999</v>
      </c>
      <c r="I227" s="130">
        <v>0.75</v>
      </c>
      <c r="J227" s="91">
        <v>4560</v>
      </c>
      <c r="K227" s="2">
        <v>36</v>
      </c>
    </row>
    <row r="228" spans="2:11">
      <c r="B228" s="2"/>
      <c r="C228" s="9"/>
      <c r="D228" s="2"/>
      <c r="E228" s="2"/>
      <c r="F228" s="2"/>
      <c r="G228" s="2"/>
      <c r="H228" s="2"/>
      <c r="I228" s="130"/>
      <c r="J228" s="91"/>
      <c r="K228" s="2"/>
    </row>
    <row r="229" spans="2:11">
      <c r="B229" s="2" t="s">
        <v>612</v>
      </c>
      <c r="C229" s="9">
        <f>R29/24</f>
        <v>801.78329678769558</v>
      </c>
      <c r="D229" s="2">
        <v>1</v>
      </c>
      <c r="E229" s="2">
        <v>1.29</v>
      </c>
      <c r="F229" s="2">
        <v>50</v>
      </c>
      <c r="G229" s="2">
        <v>5.1210000000000004</v>
      </c>
      <c r="H229" s="2">
        <v>0.6835</v>
      </c>
      <c r="I229" s="130">
        <v>0.75</v>
      </c>
      <c r="J229" s="91">
        <v>4780</v>
      </c>
      <c r="K229" s="2">
        <v>36.51</v>
      </c>
    </row>
    <row r="230" spans="2:11">
      <c r="B230" s="2" t="s">
        <v>611</v>
      </c>
      <c r="C230" s="9">
        <f>Q29/24</f>
        <v>798.90953553082181</v>
      </c>
      <c r="D230" s="2">
        <v>1</v>
      </c>
      <c r="E230" s="2">
        <v>1.5</v>
      </c>
      <c r="F230" s="2">
        <v>25</v>
      </c>
      <c r="G230" s="2">
        <v>5.1139999999999999</v>
      </c>
      <c r="H230" s="2">
        <v>0.88680000000000003</v>
      </c>
      <c r="I230" s="130">
        <v>0.75</v>
      </c>
      <c r="J230" s="91">
        <v>4780</v>
      </c>
      <c r="K230" s="2">
        <v>36.51</v>
      </c>
    </row>
    <row r="231" spans="2:11">
      <c r="B231" s="2" t="s">
        <v>614</v>
      </c>
      <c r="C231" s="9">
        <f>T29/24</f>
        <v>90.163279760786921</v>
      </c>
      <c r="D231" s="2">
        <v>1</v>
      </c>
      <c r="E231" s="2">
        <v>1.29</v>
      </c>
      <c r="F231" s="2">
        <v>96</v>
      </c>
      <c r="G231" s="2">
        <v>5.1360000000000001</v>
      </c>
      <c r="H231" s="2">
        <v>1.5678000000000001</v>
      </c>
      <c r="I231" s="130">
        <v>0.75</v>
      </c>
      <c r="J231" s="91">
        <v>4780</v>
      </c>
      <c r="K231" s="2">
        <v>36.51</v>
      </c>
    </row>
    <row r="233" spans="2:11">
      <c r="B233" s="292" t="s">
        <v>685</v>
      </c>
      <c r="C233" s="292"/>
      <c r="D233" s="292"/>
      <c r="E233" s="292"/>
      <c r="F233" s="292"/>
      <c r="G233" s="292"/>
      <c r="H233" s="292"/>
      <c r="I233" s="292"/>
      <c r="J233" s="292"/>
      <c r="K233" s="292"/>
    </row>
    <row r="234" spans="2:11" ht="17.25">
      <c r="B234" s="2" t="s">
        <v>555</v>
      </c>
      <c r="C234" s="2" t="s">
        <v>202</v>
      </c>
      <c r="D234" s="2" t="s">
        <v>548</v>
      </c>
      <c r="E234" s="2" t="s">
        <v>556</v>
      </c>
      <c r="F234" s="2" t="s">
        <v>557</v>
      </c>
      <c r="G234" s="2" t="s">
        <v>558</v>
      </c>
      <c r="H234" s="2" t="s">
        <v>559</v>
      </c>
      <c r="I234" s="2" t="s">
        <v>560</v>
      </c>
      <c r="J234" s="2" t="s">
        <v>561</v>
      </c>
      <c r="K234" s="2"/>
    </row>
    <row r="235" spans="2:11">
      <c r="B235" s="9">
        <f>O29/24</f>
        <v>1422.7753443683407</v>
      </c>
      <c r="C235" s="2">
        <f>O72</f>
        <v>1</v>
      </c>
      <c r="D235" s="2">
        <v>35</v>
      </c>
      <c r="E235" s="9">
        <f>O73</f>
        <v>1.4227753443683409</v>
      </c>
      <c r="F235" s="2">
        <v>2.286</v>
      </c>
      <c r="G235" s="2">
        <v>0.30480000000000002</v>
      </c>
      <c r="H235" s="2"/>
      <c r="I235" s="2"/>
      <c r="J235" s="91">
        <v>47000</v>
      </c>
      <c r="K235" s="2"/>
    </row>
    <row r="237" spans="2:11">
      <c r="B237" s="292" t="s">
        <v>310</v>
      </c>
      <c r="C237" s="292"/>
      <c r="D237" s="292"/>
      <c r="E237" s="292"/>
      <c r="F237" s="292"/>
      <c r="G237" s="292"/>
      <c r="H237" s="292"/>
      <c r="I237" s="292"/>
      <c r="J237" s="292"/>
      <c r="K237" s="292"/>
    </row>
    <row r="238" spans="2:11" ht="17.25">
      <c r="B238" s="2" t="s">
        <v>555</v>
      </c>
      <c r="C238" s="2" t="s">
        <v>202</v>
      </c>
      <c r="D238" s="2" t="s">
        <v>548</v>
      </c>
      <c r="E238" s="2" t="s">
        <v>556</v>
      </c>
      <c r="F238" s="2" t="s">
        <v>557</v>
      </c>
      <c r="G238" s="2" t="s">
        <v>558</v>
      </c>
      <c r="H238" s="2" t="s">
        <v>559</v>
      </c>
      <c r="I238" s="2" t="s">
        <v>560</v>
      </c>
      <c r="J238" s="2" t="s">
        <v>561</v>
      </c>
      <c r="K238" s="2"/>
    </row>
    <row r="239" spans="2:11">
      <c r="B239" s="9">
        <f>R29/24</f>
        <v>801.78329678769558</v>
      </c>
      <c r="C239" s="2">
        <f>O67</f>
        <v>4</v>
      </c>
      <c r="D239" s="2">
        <v>50</v>
      </c>
      <c r="E239" s="9">
        <f>O68</f>
        <v>3.2071331871507822</v>
      </c>
      <c r="F239" s="2">
        <v>2.44</v>
      </c>
      <c r="G239" s="2">
        <v>0.4572</v>
      </c>
      <c r="H239" s="2"/>
      <c r="I239" s="2"/>
      <c r="J239" s="91">
        <v>64500</v>
      </c>
      <c r="K239" s="2"/>
    </row>
    <row r="241" spans="1:11">
      <c r="B241" s="292" t="s">
        <v>566</v>
      </c>
      <c r="C241" s="292"/>
      <c r="D241" s="292"/>
      <c r="E241" s="292"/>
      <c r="F241" s="292"/>
      <c r="G241" s="292"/>
      <c r="H241" s="292"/>
      <c r="I241" s="292"/>
      <c r="J241" s="292"/>
      <c r="K241" s="292"/>
    </row>
    <row r="242" spans="1:11">
      <c r="B242" s="2" t="s">
        <v>582</v>
      </c>
      <c r="C242" s="2" t="s">
        <v>583</v>
      </c>
      <c r="D242" s="2" t="s">
        <v>584</v>
      </c>
      <c r="E242" s="2"/>
      <c r="F242" s="2"/>
      <c r="G242" s="2" t="s">
        <v>558</v>
      </c>
      <c r="H242" s="2" t="s">
        <v>559</v>
      </c>
      <c r="I242" s="2"/>
      <c r="J242" s="2" t="s">
        <v>561</v>
      </c>
      <c r="K242" s="2"/>
    </row>
    <row r="243" spans="1:11">
      <c r="B243" s="9">
        <f>O29/24</f>
        <v>1422.7753443683407</v>
      </c>
      <c r="C243" s="9">
        <f>Q29/24</f>
        <v>798.90953553082181</v>
      </c>
      <c r="D243" s="9">
        <f>P29/24</f>
        <v>623.86580883751901</v>
      </c>
      <c r="E243" s="9"/>
      <c r="F243" s="2"/>
      <c r="G243" s="2">
        <v>0.254</v>
      </c>
      <c r="H243" s="2">
        <v>44.91</v>
      </c>
      <c r="I243" s="2"/>
      <c r="J243" s="91">
        <v>274000</v>
      </c>
      <c r="K243" s="2"/>
    </row>
    <row r="245" spans="1:11">
      <c r="B245" s="292" t="s">
        <v>686</v>
      </c>
      <c r="C245" s="292"/>
      <c r="D245" s="292"/>
      <c r="E245" s="292"/>
      <c r="F245" s="292"/>
      <c r="G245" s="292"/>
      <c r="H245" s="292"/>
      <c r="I245" s="292"/>
      <c r="J245" s="292"/>
      <c r="K245" s="292"/>
    </row>
    <row r="246" spans="1:11" ht="17.25">
      <c r="B246" s="2" t="s">
        <v>555</v>
      </c>
      <c r="C246" s="2" t="s">
        <v>202</v>
      </c>
      <c r="D246" s="2" t="s">
        <v>548</v>
      </c>
      <c r="E246" s="2" t="s">
        <v>556</v>
      </c>
      <c r="F246" s="2" t="s">
        <v>557</v>
      </c>
      <c r="G246" s="2" t="s">
        <v>558</v>
      </c>
      <c r="H246" s="2" t="s">
        <v>559</v>
      </c>
      <c r="I246" s="2"/>
      <c r="J246" s="2" t="s">
        <v>561</v>
      </c>
      <c r="K246" s="2"/>
    </row>
    <row r="247" spans="1:11">
      <c r="A247" s="75" t="s">
        <v>67</v>
      </c>
      <c r="B247" s="9">
        <f>T29/24</f>
        <v>90.163279760786921</v>
      </c>
      <c r="C247" s="2">
        <v>24</v>
      </c>
      <c r="D247" s="2">
        <v>25</v>
      </c>
      <c r="E247" s="9">
        <f>T67</f>
        <v>2.163918714258886</v>
      </c>
      <c r="F247" s="2">
        <v>1.8360000000000001</v>
      </c>
      <c r="G247" s="2">
        <v>1.224</v>
      </c>
      <c r="H247" s="2">
        <v>35.119999999999997</v>
      </c>
      <c r="I247" s="2"/>
      <c r="J247" s="91">
        <v>14400</v>
      </c>
      <c r="K247" s="2"/>
    </row>
    <row r="248" spans="1:11">
      <c r="A248" s="75" t="s">
        <v>69</v>
      </c>
      <c r="B248" s="9">
        <f>R29/24</f>
        <v>801.78329678769558</v>
      </c>
      <c r="C248" s="2">
        <v>24</v>
      </c>
      <c r="D248" s="2">
        <v>25</v>
      </c>
      <c r="E248" s="9">
        <f>T72</f>
        <v>19.242799122904692</v>
      </c>
      <c r="F248" s="2">
        <v>3.806</v>
      </c>
      <c r="G248" s="2">
        <v>2.5369999999999999</v>
      </c>
      <c r="H248" s="2">
        <v>35.119999999999997</v>
      </c>
      <c r="I248" s="1"/>
      <c r="J248" s="91">
        <v>29500</v>
      </c>
      <c r="K248" s="1"/>
    </row>
  </sheetData>
  <mergeCells count="101">
    <mergeCell ref="B233:K233"/>
    <mergeCell ref="B237:K237"/>
    <mergeCell ref="B241:K241"/>
    <mergeCell ref="B245:K245"/>
    <mergeCell ref="C189:F189"/>
    <mergeCell ref="B194:P194"/>
    <mergeCell ref="B209:B210"/>
    <mergeCell ref="B211:B212"/>
    <mergeCell ref="B216:P216"/>
    <mergeCell ref="B218:K218"/>
    <mergeCell ref="B174:I174"/>
    <mergeCell ref="K174:R174"/>
    <mergeCell ref="C185:F185"/>
    <mergeCell ref="C186:F186"/>
    <mergeCell ref="C187:F187"/>
    <mergeCell ref="C188:F188"/>
    <mergeCell ref="B138:B139"/>
    <mergeCell ref="B142:B143"/>
    <mergeCell ref="B145:D145"/>
    <mergeCell ref="B156:D156"/>
    <mergeCell ref="I161:L161"/>
    <mergeCell ref="B169:B170"/>
    <mergeCell ref="U132:W132"/>
    <mergeCell ref="Z132:AA132"/>
    <mergeCell ref="AB132:AC132"/>
    <mergeCell ref="AD132:AE132"/>
    <mergeCell ref="B135:B136"/>
    <mergeCell ref="V135:W135"/>
    <mergeCell ref="R136:S136"/>
    <mergeCell ref="I123:M123"/>
    <mergeCell ref="B124:B125"/>
    <mergeCell ref="B127:B128"/>
    <mergeCell ref="B131:B133"/>
    <mergeCell ref="I132:N132"/>
    <mergeCell ref="Q132:S132"/>
    <mergeCell ref="B105:C105"/>
    <mergeCell ref="B106:D106"/>
    <mergeCell ref="I106:M106"/>
    <mergeCell ref="B108:D108"/>
    <mergeCell ref="B119:D119"/>
    <mergeCell ref="B121:B122"/>
    <mergeCell ref="X79:AD79"/>
    <mergeCell ref="X81:X82"/>
    <mergeCell ref="AB81:AD81"/>
    <mergeCell ref="AB82:AB83"/>
    <mergeCell ref="AB89:AD89"/>
    <mergeCell ref="AB92:AB93"/>
    <mergeCell ref="B75:P75"/>
    <mergeCell ref="AB75:AB76"/>
    <mergeCell ref="B77:G77"/>
    <mergeCell ref="I77:P77"/>
    <mergeCell ref="C78:D78"/>
    <mergeCell ref="F78:G78"/>
    <mergeCell ref="K78:L78"/>
    <mergeCell ref="J69:L69"/>
    <mergeCell ref="S69:U69"/>
    <mergeCell ref="F70:H70"/>
    <mergeCell ref="N70:P70"/>
    <mergeCell ref="B72:D72"/>
    <mergeCell ref="AB72:AD72"/>
    <mergeCell ref="B62:P62"/>
    <mergeCell ref="X62:AD62"/>
    <mergeCell ref="B64:D64"/>
    <mergeCell ref="F64:H64"/>
    <mergeCell ref="J64:L64"/>
    <mergeCell ref="N64:P64"/>
    <mergeCell ref="S64:U64"/>
    <mergeCell ref="X64:X65"/>
    <mergeCell ref="AB64:AD64"/>
    <mergeCell ref="AB65:AB66"/>
    <mergeCell ref="B48:B49"/>
    <mergeCell ref="AB48:AD48"/>
    <mergeCell ref="AB49:AB50"/>
    <mergeCell ref="X51:Z51"/>
    <mergeCell ref="B52:D52"/>
    <mergeCell ref="AB52:AB54"/>
    <mergeCell ref="B54:E54"/>
    <mergeCell ref="B40:B41"/>
    <mergeCell ref="B42:B43"/>
    <mergeCell ref="X43:Z43"/>
    <mergeCell ref="AB43:AD43"/>
    <mergeCell ref="B44:B45"/>
    <mergeCell ref="B46:B47"/>
    <mergeCell ref="B36:B37"/>
    <mergeCell ref="B38:B39"/>
    <mergeCell ref="AB38:AD38"/>
    <mergeCell ref="AB11:AD11"/>
    <mergeCell ref="AB16:AD16"/>
    <mergeCell ref="X26:Z26"/>
    <mergeCell ref="AB26:AD26"/>
    <mergeCell ref="B28:B29"/>
    <mergeCell ref="B32:B33"/>
    <mergeCell ref="U3:AG3"/>
    <mergeCell ref="N5:O5"/>
    <mergeCell ref="V5:X5"/>
    <mergeCell ref="Y5:AA5"/>
    <mergeCell ref="AB5:AD5"/>
    <mergeCell ref="N10:O10"/>
    <mergeCell ref="B34:B35"/>
    <mergeCell ref="X34:Z34"/>
    <mergeCell ref="AB34:AD34"/>
  </mergeCells>
  <hyperlinks>
    <hyperlink ref="AA22" r:id="rId1" xr:uid="{9EF6ECA7-F1A6-4FE1-89FC-D32992993720}"/>
    <hyperlink ref="R176" r:id="rId2" display="https://blogs.worldbank.org/opendata/fertilizer-prices-expected-remain-higher-longer" xr:uid="{67874DC6-79F4-48E1-8DFC-FC0207FAC276}"/>
    <hyperlink ref="H178" r:id="rId3" xr:uid="{50261B34-2E2D-45B2-8B55-94B7E6828D1A}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CBD9F-A0CB-4FB6-97E6-1C103CF176FB}">
  <sheetPr codeName="Hoja11"/>
  <dimension ref="A3:AG248"/>
  <sheetViews>
    <sheetView topLeftCell="A20" zoomScale="60" zoomScaleNormal="60" workbookViewId="0">
      <selection activeCell="V29" sqref="V29"/>
    </sheetView>
  </sheetViews>
  <sheetFormatPr defaultColWidth="11.42578125" defaultRowHeight="15"/>
  <cols>
    <col min="2" max="2" width="25.42578125" customWidth="1"/>
    <col min="3" max="3" width="15.5703125" bestFit="1" customWidth="1"/>
    <col min="4" max="6" width="14.5703125" hidden="1" customWidth="1"/>
    <col min="7" max="7" width="14.42578125" hidden="1" customWidth="1"/>
    <col min="8" max="8" width="22.85546875" hidden="1" customWidth="1"/>
    <col min="9" max="9" width="18.5703125" hidden="1" customWidth="1"/>
    <col min="10" max="10" width="50.85546875" hidden="1" customWidth="1"/>
    <col min="11" max="11" width="15.42578125" hidden="1" customWidth="1"/>
    <col min="12" max="12" width="18.5703125" hidden="1" customWidth="1"/>
    <col min="13" max="13" width="16.5703125" bestFit="1" customWidth="1"/>
    <col min="14" max="14" width="18.7109375" bestFit="1" customWidth="1"/>
    <col min="15" max="15" width="18" bestFit="1" customWidth="1"/>
    <col min="16" max="16" width="17" customWidth="1"/>
    <col min="17" max="17" width="15" bestFit="1" customWidth="1"/>
    <col min="18" max="18" width="15" customWidth="1"/>
    <col min="19" max="19" width="16" bestFit="1" customWidth="1"/>
    <col min="20" max="20" width="20.5703125" bestFit="1" customWidth="1"/>
    <col min="21" max="21" width="20.85546875" bestFit="1" customWidth="1"/>
    <col min="22" max="22" width="15.5703125" bestFit="1" customWidth="1"/>
    <col min="24" max="24" width="18.5703125" bestFit="1" customWidth="1"/>
    <col min="29" max="29" width="16.7109375" bestFit="1" customWidth="1"/>
    <col min="30" max="30" width="25.85546875" bestFit="1" customWidth="1"/>
  </cols>
  <sheetData>
    <row r="3" spans="11:33" ht="20.25" thickBot="1">
      <c r="U3" s="317" t="s">
        <v>585</v>
      </c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</row>
    <row r="4" spans="11:33" ht="15.75" thickTop="1"/>
    <row r="5" spans="11:33">
      <c r="N5" s="298" t="s">
        <v>240</v>
      </c>
      <c r="O5" s="298"/>
      <c r="V5" s="314" t="s">
        <v>586</v>
      </c>
      <c r="W5" s="314"/>
      <c r="X5" s="314"/>
      <c r="Y5" s="314" t="s">
        <v>587</v>
      </c>
      <c r="Z5" s="314"/>
      <c r="AA5" s="314"/>
      <c r="AB5" s="314" t="s">
        <v>588</v>
      </c>
      <c r="AC5" s="314"/>
      <c r="AD5" s="314"/>
      <c r="AF5" s="161">
        <f>(Y8/V8)</f>
        <v>0.94078866880974454</v>
      </c>
    </row>
    <row r="6" spans="11:33">
      <c r="K6" s="75"/>
      <c r="N6" s="55" t="s">
        <v>241</v>
      </c>
      <c r="O6" s="2">
        <v>71.7</v>
      </c>
      <c r="V6" s="120" t="s">
        <v>274</v>
      </c>
      <c r="W6" s="120" t="s">
        <v>589</v>
      </c>
      <c r="X6" s="120" t="s">
        <v>590</v>
      </c>
      <c r="Y6" s="120" t="s">
        <v>274</v>
      </c>
      <c r="Z6" s="120" t="s">
        <v>589</v>
      </c>
      <c r="AA6" s="120" t="s">
        <v>591</v>
      </c>
      <c r="AB6" s="120" t="s">
        <v>274</v>
      </c>
      <c r="AC6" s="120" t="s">
        <v>589</v>
      </c>
      <c r="AD6" s="120" t="s">
        <v>592</v>
      </c>
    </row>
    <row r="7" spans="11:33">
      <c r="N7" s="55" t="s">
        <v>242</v>
      </c>
      <c r="O7" s="2">
        <v>42.3</v>
      </c>
      <c r="T7" s="161">
        <f>(Y7/V7)</f>
        <v>0.8070271936985326</v>
      </c>
      <c r="U7" s="119" t="s">
        <v>277</v>
      </c>
      <c r="V7" s="9">
        <f>P30</f>
        <v>1988.5039791318463</v>
      </c>
      <c r="W7" s="9">
        <f>V7/18</f>
        <v>110.47244328510257</v>
      </c>
      <c r="X7" s="9">
        <f>W7/W9</f>
        <v>0.84893784421715179</v>
      </c>
      <c r="Y7" s="9">
        <f>Z7*18</f>
        <v>1604.7767859371393</v>
      </c>
      <c r="Z7" s="9">
        <f>$Z$9*AA7</f>
        <v>89.154265885396626</v>
      </c>
      <c r="AA7" s="9">
        <f>AD7*AD18</f>
        <v>0.82944333510910873</v>
      </c>
      <c r="AB7" s="9">
        <f>AC7*18</f>
        <v>383.72719319470696</v>
      </c>
      <c r="AC7" s="9">
        <f>$AC$9*AD7</f>
        <v>21.318177399705942</v>
      </c>
      <c r="AD7" s="9">
        <f>X7/(1+$Y$17*(AD18-1))</f>
        <v>0.94147743005700135</v>
      </c>
    </row>
    <row r="8" spans="11:33">
      <c r="N8" s="55" t="s">
        <v>243</v>
      </c>
      <c r="O8" s="2">
        <v>33.4</v>
      </c>
      <c r="S8" s="114"/>
      <c r="T8" s="161">
        <f t="shared" ref="T8:T9" si="0">(Y8/V8)</f>
        <v>0.94078866880974454</v>
      </c>
      <c r="U8" s="119" t="s">
        <v>593</v>
      </c>
      <c r="V8" s="9">
        <f>P31</f>
        <v>1142.1151059629065</v>
      </c>
      <c r="W8" s="9">
        <f>V8/58.1</f>
        <v>19.657747090583587</v>
      </c>
      <c r="X8" s="9">
        <f>W8/W9</f>
        <v>0.15106215578284812</v>
      </c>
      <c r="Y8" s="9">
        <f>Z8*58.1</f>
        <v>1074.4889501663431</v>
      </c>
      <c r="Z8" s="9">
        <f>$Z$9*AA8</f>
        <v>18.493785717148761</v>
      </c>
      <c r="AA8" s="9">
        <f>AD8*AD19</f>
        <v>0.17205623479355764</v>
      </c>
      <c r="AB8" s="9">
        <f>AC8*58.1</f>
        <v>67.626155796563552</v>
      </c>
      <c r="AC8" s="9">
        <f>$AC$9*AD8</f>
        <v>1.1639613734348289</v>
      </c>
      <c r="AD8" s="9">
        <f>X8/(1+$Y$17*(AD19-1))</f>
        <v>5.1404176914399642E-2</v>
      </c>
    </row>
    <row r="9" spans="11:33">
      <c r="S9" s="114"/>
      <c r="T9" s="161">
        <f t="shared" si="0"/>
        <v>0.80524099638587421</v>
      </c>
      <c r="U9" s="119" t="s">
        <v>125</v>
      </c>
      <c r="V9" s="9">
        <f>P29</f>
        <v>3327.2843138001003</v>
      </c>
      <c r="W9" s="9">
        <f>W7+W8</f>
        <v>130.13019037568617</v>
      </c>
      <c r="X9" s="9">
        <f>X7+X8</f>
        <v>0.99999999999999989</v>
      </c>
      <c r="Y9" s="9">
        <f>Y7+Y8</f>
        <v>2679.2657361034826</v>
      </c>
      <c r="Z9" s="9">
        <f>W9*Y17</f>
        <v>107.48686753106392</v>
      </c>
      <c r="AA9" s="9">
        <f>SUM(AA7:AA8)</f>
        <v>1.0014995699026663</v>
      </c>
      <c r="AB9" s="9">
        <f>AB7+AB8</f>
        <v>451.35334899127054</v>
      </c>
      <c r="AC9" s="9">
        <f>W9-Z9</f>
        <v>22.643322844622247</v>
      </c>
      <c r="AD9" s="9">
        <f>AD7+AD8</f>
        <v>0.99288160697140104</v>
      </c>
    </row>
    <row r="10" spans="11:33">
      <c r="N10" s="298" t="s">
        <v>594</v>
      </c>
      <c r="O10" s="298"/>
      <c r="S10" s="114"/>
      <c r="T10" s="115"/>
    </row>
    <row r="11" spans="11:33">
      <c r="N11" s="55" t="s">
        <v>241</v>
      </c>
      <c r="O11" s="2">
        <v>50</v>
      </c>
      <c r="Y11" s="8"/>
      <c r="AB11" s="314" t="s">
        <v>595</v>
      </c>
      <c r="AC11" s="314"/>
      <c r="AD11" s="314"/>
      <c r="AG11" s="113" t="s">
        <v>596</v>
      </c>
    </row>
    <row r="12" spans="11:33">
      <c r="N12" s="55" t="s">
        <v>242</v>
      </c>
      <c r="O12" s="2">
        <v>50</v>
      </c>
      <c r="AB12" s="120" t="s">
        <v>597</v>
      </c>
      <c r="AC12" s="120" t="s">
        <v>469</v>
      </c>
      <c r="AD12" s="120" t="s">
        <v>270</v>
      </c>
      <c r="AG12" s="2" t="s">
        <v>598</v>
      </c>
    </row>
    <row r="13" spans="11:33">
      <c r="N13" s="55" t="s">
        <v>243</v>
      </c>
      <c r="O13" s="2">
        <v>50</v>
      </c>
      <c r="AA13" s="121" t="s">
        <v>277</v>
      </c>
      <c r="AB13" s="2">
        <v>8.0713000000000008</v>
      </c>
      <c r="AC13" s="2">
        <v>1730.63</v>
      </c>
      <c r="AD13" s="2">
        <v>233.42599999999999</v>
      </c>
      <c r="AF13" s="121" t="s">
        <v>277</v>
      </c>
      <c r="AG13" s="117">
        <f>X7*(1-AD18)/(1+$Y$17*(AD18-1))</f>
        <v>0.11203409494789264</v>
      </c>
    </row>
    <row r="14" spans="11:33">
      <c r="N14" s="55" t="s">
        <v>599</v>
      </c>
      <c r="O14" s="2">
        <v>10</v>
      </c>
      <c r="P14" s="60" t="s">
        <v>600</v>
      </c>
      <c r="S14" s="8"/>
      <c r="X14" s="122" t="s">
        <v>548</v>
      </c>
      <c r="Y14" s="122" t="s">
        <v>601</v>
      </c>
      <c r="AA14" s="121" t="s">
        <v>593</v>
      </c>
      <c r="AB14" s="2">
        <v>7.1170999999999998</v>
      </c>
      <c r="AC14" s="2">
        <v>1210.595</v>
      </c>
      <c r="AD14" s="2">
        <v>229.66399999999999</v>
      </c>
      <c r="AF14" s="121" t="s">
        <v>593</v>
      </c>
      <c r="AG14" s="117">
        <f>X8*(1-AD19)/(1+$Y$17*(AD19-1))</f>
        <v>-0.120652057879158</v>
      </c>
    </row>
    <row r="15" spans="11:33">
      <c r="X15" s="2">
        <v>96.5</v>
      </c>
      <c r="Y15" s="2">
        <v>1</v>
      </c>
      <c r="AG15" s="118">
        <f>SUM(AG13:AG14)</f>
        <v>-8.6179629312653633E-3</v>
      </c>
    </row>
    <row r="16" spans="11:33">
      <c r="AB16" s="314" t="s">
        <v>602</v>
      </c>
      <c r="AC16" s="314"/>
      <c r="AD16" s="314"/>
    </row>
    <row r="17" spans="2:30">
      <c r="X17" s="73" t="s">
        <v>603</v>
      </c>
      <c r="Y17" s="9">
        <v>0.82599485346750878</v>
      </c>
      <c r="AB17" s="120" t="s">
        <v>604</v>
      </c>
      <c r="AC17" s="120" t="s">
        <v>605</v>
      </c>
      <c r="AD17" s="120" t="s">
        <v>30</v>
      </c>
    </row>
    <row r="18" spans="2:30">
      <c r="AA18" s="121" t="s">
        <v>606</v>
      </c>
      <c r="AB18" s="9">
        <f>10^(AB13-(AC13/($X$15+AD13)))</f>
        <v>669.56138783354231</v>
      </c>
      <c r="AC18" s="116" t="s">
        <v>12</v>
      </c>
      <c r="AD18" s="116">
        <f>AB18/($Y$15*760)</f>
        <v>0.88100182609676625</v>
      </c>
    </row>
    <row r="19" spans="2:30">
      <c r="AA19" s="121" t="s">
        <v>593</v>
      </c>
      <c r="AB19" s="9">
        <f>10^(AB14-(AC14/($X$15+AD14)))</f>
        <v>2543.8154308132453</v>
      </c>
      <c r="AC19" s="116" t="s">
        <v>12</v>
      </c>
      <c r="AD19" s="116">
        <f>AB19/($Y$15*760)</f>
        <v>3.3471255668595332</v>
      </c>
    </row>
    <row r="21" spans="2:30">
      <c r="B21" s="61"/>
      <c r="S21" s="8"/>
    </row>
    <row r="22" spans="2:30">
      <c r="B22" s="61"/>
      <c r="O22" s="9" t="s">
        <v>607</v>
      </c>
      <c r="S22" s="8"/>
      <c r="T22" s="2" t="s">
        <v>67</v>
      </c>
      <c r="AA22" s="111" t="s">
        <v>608</v>
      </c>
    </row>
    <row r="23" spans="2:30">
      <c r="B23" s="61"/>
      <c r="O23" s="199">
        <f>O29/O30</f>
        <v>1.6732600732600733</v>
      </c>
      <c r="P23" s="8"/>
      <c r="Q23" s="8"/>
      <c r="T23" s="228">
        <f>(T38/T29)</f>
        <v>1.1573213427053733E-2</v>
      </c>
      <c r="AA23" t="s">
        <v>609</v>
      </c>
    </row>
    <row r="24" spans="2:30">
      <c r="B24" s="8"/>
      <c r="M24" s="8"/>
      <c r="N24" s="8"/>
      <c r="O24" s="199">
        <f>O29/O31</f>
        <v>2.9132653061224492</v>
      </c>
      <c r="P24" s="8"/>
      <c r="Q24" s="8"/>
      <c r="T24" s="178">
        <f>(T31/T29)</f>
        <v>0.14982974192548085</v>
      </c>
    </row>
    <row r="26" spans="2:30">
      <c r="D26" s="3" t="s">
        <v>245</v>
      </c>
      <c r="E26" s="3" t="s">
        <v>246</v>
      </c>
      <c r="F26" s="3" t="s">
        <v>247</v>
      </c>
      <c r="G26" s="3" t="s">
        <v>248</v>
      </c>
      <c r="H26" s="3" t="s">
        <v>249</v>
      </c>
      <c r="I26" s="3" t="s">
        <v>250</v>
      </c>
      <c r="J26" s="3" t="s">
        <v>251</v>
      </c>
      <c r="K26" s="3" t="s">
        <v>252</v>
      </c>
      <c r="L26" s="3" t="s">
        <v>253</v>
      </c>
      <c r="M26" s="3" t="s">
        <v>254</v>
      </c>
      <c r="N26" s="3" t="s">
        <v>255</v>
      </c>
      <c r="O26" s="3" t="s">
        <v>610</v>
      </c>
      <c r="P26" s="3" t="s">
        <v>586</v>
      </c>
      <c r="Q26" s="3" t="s">
        <v>611</v>
      </c>
      <c r="R26" s="3" t="s">
        <v>612</v>
      </c>
      <c r="S26" s="3" t="s">
        <v>613</v>
      </c>
      <c r="T26" s="3" t="s">
        <v>614</v>
      </c>
      <c r="X26" s="328" t="s">
        <v>256</v>
      </c>
      <c r="Y26" s="329"/>
      <c r="Z26" s="330"/>
      <c r="AB26" s="328" t="s">
        <v>257</v>
      </c>
      <c r="AC26" s="329"/>
      <c r="AD26" s="330"/>
    </row>
    <row r="27" spans="2:30">
      <c r="D27" s="4" t="s">
        <v>258</v>
      </c>
      <c r="E27" s="4" t="s">
        <v>259</v>
      </c>
      <c r="F27" s="4" t="s">
        <v>260</v>
      </c>
      <c r="G27" s="4" t="s">
        <v>261</v>
      </c>
      <c r="H27" s="4" t="s">
        <v>262</v>
      </c>
      <c r="I27" s="4" t="s">
        <v>263</v>
      </c>
      <c r="J27" s="11" t="s">
        <v>264</v>
      </c>
      <c r="K27" s="4" t="s">
        <v>265</v>
      </c>
      <c r="L27" s="4" t="s">
        <v>266</v>
      </c>
      <c r="M27" s="4" t="s">
        <v>267</v>
      </c>
      <c r="N27" s="4" t="s">
        <v>593</v>
      </c>
      <c r="O27" s="11" t="s">
        <v>615</v>
      </c>
      <c r="P27" s="11" t="s">
        <v>61</v>
      </c>
      <c r="Q27" s="11" t="s">
        <v>616</v>
      </c>
      <c r="R27" s="11" t="s">
        <v>63</v>
      </c>
      <c r="S27" s="11" t="s">
        <v>617</v>
      </c>
      <c r="T27" s="11" t="s">
        <v>618</v>
      </c>
      <c r="X27" s="6" t="s">
        <v>268</v>
      </c>
      <c r="Y27" s="5">
        <v>8400</v>
      </c>
      <c r="Z27" s="5" t="s">
        <v>269</v>
      </c>
      <c r="AB27" s="6" t="s">
        <v>270</v>
      </c>
      <c r="AC27" s="5">
        <v>37.86</v>
      </c>
      <c r="AD27" s="5" t="s">
        <v>17</v>
      </c>
    </row>
    <row r="28" spans="2:30" ht="17.25">
      <c r="B28" s="327" t="s">
        <v>271</v>
      </c>
      <c r="C28" s="229" t="s">
        <v>619</v>
      </c>
      <c r="D28" s="18">
        <f>Y32</f>
        <v>37.76931506849315</v>
      </c>
      <c r="E28" s="18">
        <f>G28-(F28+D28)</f>
        <v>221.89472602739724</v>
      </c>
      <c r="F28" s="18">
        <f>I28*(Y36/100)</f>
        <v>118.02910958904108</v>
      </c>
      <c r="G28" s="18">
        <f>D28*Y35</f>
        <v>377.69315068493148</v>
      </c>
      <c r="H28" s="18">
        <f>(AC35*Y39)/1000</f>
        <v>141.63493150684931</v>
      </c>
      <c r="I28" s="18">
        <f>G28-H28</f>
        <v>236.05821917808217</v>
      </c>
      <c r="J28" s="18">
        <f>I28-L28</f>
        <v>231.07476788432265</v>
      </c>
      <c r="K28" s="18">
        <f>J28-F28</f>
        <v>113.04565829528157</v>
      </c>
      <c r="L28" s="18">
        <f>(I28*I33*((Y52)/100))/(Y53*1000)</f>
        <v>4.9834512937595115</v>
      </c>
      <c r="M28" s="18">
        <f>L28</f>
        <v>4.9834512937595115</v>
      </c>
      <c r="N28" s="18">
        <f>AC50</f>
        <v>3.3223008625063413</v>
      </c>
      <c r="O28" s="18">
        <f>O29/1000</f>
        <v>7.5881351699644837</v>
      </c>
      <c r="P28" s="18">
        <f>O28-Q28</f>
        <v>3.3272843138001003</v>
      </c>
      <c r="Q28" s="18">
        <f>(O28*O33*((Y52)/100))/(Y53*1000)</f>
        <v>4.2608508561643834</v>
      </c>
      <c r="R28" s="18">
        <f>R29/1000</f>
        <v>4.3262877267888395</v>
      </c>
      <c r="S28" s="18">
        <f>S29/1000</f>
        <v>2.6792657361034826</v>
      </c>
      <c r="T28" s="18">
        <f>T29/1000</f>
        <v>0.45135334899127055</v>
      </c>
      <c r="X28" s="6" t="s">
        <v>272</v>
      </c>
      <c r="Y28" s="5">
        <v>14260</v>
      </c>
      <c r="Z28" s="5" t="s">
        <v>269</v>
      </c>
      <c r="AB28" s="6" t="s">
        <v>273</v>
      </c>
      <c r="AC28" s="5">
        <v>4.99</v>
      </c>
      <c r="AD28" s="5" t="s">
        <v>17</v>
      </c>
    </row>
    <row r="29" spans="2:30" s="237" customFormat="1">
      <c r="B29" s="327"/>
      <c r="C29" s="235" t="s">
        <v>274</v>
      </c>
      <c r="D29" s="236">
        <f t="shared" ref="D29:M29" si="1">D28*1000</f>
        <v>37769.315068493146</v>
      </c>
      <c r="E29" s="236">
        <f t="shared" si="1"/>
        <v>221894.72602739724</v>
      </c>
      <c r="F29" s="236">
        <f t="shared" si="1"/>
        <v>118029.10958904108</v>
      </c>
      <c r="G29" s="236">
        <f t="shared" si="1"/>
        <v>377693.15068493149</v>
      </c>
      <c r="H29" s="236">
        <f t="shared" si="1"/>
        <v>141634.9315068493</v>
      </c>
      <c r="I29" s="236">
        <f t="shared" si="1"/>
        <v>236058.21917808216</v>
      </c>
      <c r="J29" s="236">
        <f t="shared" si="1"/>
        <v>231074.76788432265</v>
      </c>
      <c r="K29" s="236">
        <f t="shared" si="1"/>
        <v>113045.65829528157</v>
      </c>
      <c r="L29" s="236">
        <f t="shared" si="1"/>
        <v>4983.4512937595118</v>
      </c>
      <c r="M29" s="236">
        <f t="shared" si="1"/>
        <v>4983.4512937595118</v>
      </c>
      <c r="N29" s="236">
        <f>N28*AC55</f>
        <v>2604.6838762049715</v>
      </c>
      <c r="O29" s="236">
        <f>M29+N29</f>
        <v>7588.1351699644838</v>
      </c>
      <c r="P29" s="236">
        <f>P28*1000</f>
        <v>3327.2843138001003</v>
      </c>
      <c r="Q29" s="236">
        <f>Q28*1000</f>
        <v>4260.850856164383</v>
      </c>
      <c r="R29" s="236">
        <f>Q29+O69</f>
        <v>4326.2877267888398</v>
      </c>
      <c r="S29" s="236">
        <f>Y9</f>
        <v>2679.2657361034826</v>
      </c>
      <c r="T29" s="236">
        <f>AB9</f>
        <v>451.35334899127054</v>
      </c>
      <c r="V29" s="237">
        <f>T29/'Escenario 3 (acet) (2)'!T29</f>
        <v>0.20858147120644185</v>
      </c>
      <c r="X29" s="238" t="s">
        <v>275</v>
      </c>
      <c r="Y29" s="235">
        <v>5120</v>
      </c>
      <c r="Z29" s="235" t="s">
        <v>269</v>
      </c>
      <c r="AB29" s="238" t="s">
        <v>276</v>
      </c>
      <c r="AC29" s="235">
        <v>1.03</v>
      </c>
      <c r="AD29" s="235" t="s">
        <v>17</v>
      </c>
    </row>
    <row r="30" spans="2:30" s="237" customFormat="1">
      <c r="B30" s="238" t="s">
        <v>277</v>
      </c>
      <c r="C30" s="239" t="s">
        <v>274</v>
      </c>
      <c r="D30" s="240">
        <f>D29-D34</f>
        <v>37452.052821917801</v>
      </c>
      <c r="E30" s="240">
        <f>E29</f>
        <v>221894.72602739724</v>
      </c>
      <c r="F30" s="240">
        <f>F29-F32</f>
        <v>118029.10958904108</v>
      </c>
      <c r="G30" s="240">
        <f>D30+E30+F30</f>
        <v>377375.88843835611</v>
      </c>
      <c r="H30" s="240">
        <f>H29</f>
        <v>141634.9315068493</v>
      </c>
      <c r="I30" s="240">
        <f>I29-I32</f>
        <v>235586.10273972599</v>
      </c>
      <c r="J30" s="240">
        <f>J29-J32</f>
        <v>231074.76788432265</v>
      </c>
      <c r="K30" s="240">
        <f>K29-K32</f>
        <v>113045.65829528157</v>
      </c>
      <c r="L30" s="240">
        <f>L29-L32</f>
        <v>4534.9406773211558</v>
      </c>
      <c r="M30" s="240">
        <f>M29-M32</f>
        <v>4534.9406773211558</v>
      </c>
      <c r="N30" s="240">
        <v>0</v>
      </c>
      <c r="O30" s="240">
        <f>M30+N30</f>
        <v>4534.9406773211558</v>
      </c>
      <c r="P30" s="240">
        <f>P29/O23</f>
        <v>1988.5039791318463</v>
      </c>
      <c r="Q30" s="240">
        <f>O30-P30</f>
        <v>2546.4366981893095</v>
      </c>
      <c r="R30" s="240">
        <f>Q30</f>
        <v>2546.4366981893095</v>
      </c>
      <c r="S30" s="240">
        <f>Y7</f>
        <v>1604.7767859371393</v>
      </c>
      <c r="T30" s="240">
        <f>AB7</f>
        <v>383.72719319470696</v>
      </c>
      <c r="X30" s="238" t="s">
        <v>278</v>
      </c>
      <c r="Y30" s="235">
        <v>3328</v>
      </c>
      <c r="Z30" s="235" t="s">
        <v>269</v>
      </c>
    </row>
    <row r="31" spans="2:30" s="237" customFormat="1">
      <c r="B31" s="238" t="s">
        <v>593</v>
      </c>
      <c r="C31" s="235" t="s">
        <v>274</v>
      </c>
      <c r="D31" s="236">
        <v>0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f>N29</f>
        <v>2604.6838762049715</v>
      </c>
      <c r="O31" s="236">
        <f>N31+M31</f>
        <v>2604.6838762049715</v>
      </c>
      <c r="P31" s="236">
        <f>P29/O24</f>
        <v>1142.1151059629065</v>
      </c>
      <c r="Q31" s="236">
        <f>O31-P31</f>
        <v>1462.5687702420651</v>
      </c>
      <c r="R31" s="236">
        <f>Q31</f>
        <v>1462.5687702420651</v>
      </c>
      <c r="S31" s="236">
        <f>Y8</f>
        <v>1074.4889501663431</v>
      </c>
      <c r="T31" s="236">
        <f>AB8</f>
        <v>67.626155796563552</v>
      </c>
      <c r="X31" s="238" t="s">
        <v>279</v>
      </c>
      <c r="Y31" s="235">
        <v>76</v>
      </c>
      <c r="Z31" s="235" t="s">
        <v>269</v>
      </c>
      <c r="AB31" s="238" t="s">
        <v>280</v>
      </c>
      <c r="AC31" s="235">
        <v>100</v>
      </c>
      <c r="AD31" s="235" t="s">
        <v>17</v>
      </c>
    </row>
    <row r="32" spans="2:30" ht="17.25">
      <c r="B32" s="327" t="s">
        <v>281</v>
      </c>
      <c r="C32" s="229" t="s">
        <v>274</v>
      </c>
      <c r="D32" s="18">
        <v>0</v>
      </c>
      <c r="E32" s="18">
        <v>0</v>
      </c>
      <c r="F32" s="18">
        <f>(F28*F33)/1000</f>
        <v>0</v>
      </c>
      <c r="G32" s="18">
        <f>((D28*D32)+(F28*F32)+(E28*E32))/G28</f>
        <v>0</v>
      </c>
      <c r="H32" s="18">
        <v>0</v>
      </c>
      <c r="I32" s="18">
        <f>(I28*I33)/1000</f>
        <v>472.11643835616434</v>
      </c>
      <c r="J32" s="18">
        <f>Y41*AC35*(1-(AC31/100))</f>
        <v>0</v>
      </c>
      <c r="K32" s="18">
        <f>(K33*K28)/1000</f>
        <v>0</v>
      </c>
      <c r="L32" s="18">
        <f>(Y41*AC35*((AC31-AC32)/100))/1000</f>
        <v>448.51061643835607</v>
      </c>
      <c r="M32" s="18">
        <f>L32</f>
        <v>448.51061643835607</v>
      </c>
      <c r="N32" s="18">
        <v>0</v>
      </c>
      <c r="O32" s="18">
        <f>M32*(1-(O14/100))</f>
        <v>403.65955479452049</v>
      </c>
      <c r="P32" s="18">
        <f>O32-Q32</f>
        <v>20.182977739726027</v>
      </c>
      <c r="Q32" s="18">
        <f>O32*((AC31-AC32)/100)</f>
        <v>383.47657705479446</v>
      </c>
      <c r="R32" s="18">
        <f>Q32</f>
        <v>383.47657705479446</v>
      </c>
      <c r="S32" s="18">
        <v>0</v>
      </c>
      <c r="T32" s="18">
        <f>P32</f>
        <v>20.182977739726027</v>
      </c>
      <c r="V32" s="8">
        <f>P38-V38</f>
        <v>2.5602795104754192</v>
      </c>
      <c r="X32" s="6" t="s">
        <v>271</v>
      </c>
      <c r="Y32" s="103">
        <v>37.76931506849315</v>
      </c>
      <c r="Z32" s="5" t="s">
        <v>23</v>
      </c>
      <c r="AB32" s="6" t="s">
        <v>282</v>
      </c>
      <c r="AC32" s="5">
        <v>5</v>
      </c>
      <c r="AD32" s="5" t="s">
        <v>17</v>
      </c>
    </row>
    <row r="33" spans="2:30">
      <c r="B33" s="327"/>
      <c r="C33" s="230" t="s">
        <v>269</v>
      </c>
      <c r="D33" s="95">
        <v>0</v>
      </c>
      <c r="E33" s="95">
        <v>0</v>
      </c>
      <c r="F33" s="95">
        <f>J33</f>
        <v>0</v>
      </c>
      <c r="G33" s="95">
        <f>(G32/G28)*1000</f>
        <v>0</v>
      </c>
      <c r="H33" s="95">
        <v>0</v>
      </c>
      <c r="I33" s="95">
        <f>Y40*1000</f>
        <v>2000</v>
      </c>
      <c r="J33" s="95">
        <f>(J32/J28)*1000</f>
        <v>0</v>
      </c>
      <c r="K33" s="95">
        <f>J33</f>
        <v>0</v>
      </c>
      <c r="L33" s="95">
        <f>(L32/L28)*1000</f>
        <v>90000.000000000015</v>
      </c>
      <c r="M33" s="95">
        <f>(M32/M28)*1000</f>
        <v>90000.000000000015</v>
      </c>
      <c r="N33" s="95">
        <v>0</v>
      </c>
      <c r="O33" s="95">
        <f>(O32/O28)*1000</f>
        <v>53196.147110332749</v>
      </c>
      <c r="P33" s="95">
        <f>(P32/$P$28)*1000</f>
        <v>6065.9011482775859</v>
      </c>
      <c r="Q33" s="95">
        <f>(Q32/$Q$28)*1000</f>
        <v>89999.999999999985</v>
      </c>
      <c r="R33" s="95">
        <f>(R32/$R$28)*1000</f>
        <v>88638.713204456144</v>
      </c>
      <c r="S33" s="95">
        <f>(S32/$S$28)*1000</f>
        <v>0</v>
      </c>
      <c r="T33" s="95">
        <f>(T32/$T$28)*1000</f>
        <v>44716.579116634355</v>
      </c>
    </row>
    <row r="34" spans="2:30" s="237" customFormat="1">
      <c r="B34" s="327" t="s">
        <v>268</v>
      </c>
      <c r="C34" s="239" t="s">
        <v>274</v>
      </c>
      <c r="D34" s="240">
        <f>(D28*D35)/1000</f>
        <v>317.26224657534243</v>
      </c>
      <c r="E34" s="240">
        <v>0</v>
      </c>
      <c r="F34" s="240">
        <f>F32</f>
        <v>0</v>
      </c>
      <c r="G34" s="240">
        <f>D34+E34+F34</f>
        <v>317.26224657534243</v>
      </c>
      <c r="H34" s="240">
        <v>0</v>
      </c>
      <c r="I34" s="240">
        <f>I32</f>
        <v>472.11643835616434</v>
      </c>
      <c r="J34" s="240">
        <f>J32</f>
        <v>0</v>
      </c>
      <c r="K34" s="240">
        <f>K32</f>
        <v>0</v>
      </c>
      <c r="L34" s="240">
        <f>L32</f>
        <v>448.51061643835607</v>
      </c>
      <c r="M34" s="240">
        <f>M32</f>
        <v>448.51061643835607</v>
      </c>
      <c r="N34" s="240">
        <v>0</v>
      </c>
      <c r="O34" s="240">
        <f>O32</f>
        <v>403.65955479452049</v>
      </c>
      <c r="P34" s="240">
        <f>P32</f>
        <v>20.182977739726027</v>
      </c>
      <c r="Q34" s="240">
        <f>Q32</f>
        <v>383.47657705479446</v>
      </c>
      <c r="R34" s="240">
        <f>Q34</f>
        <v>383.47657705479446</v>
      </c>
      <c r="S34" s="240">
        <v>0</v>
      </c>
      <c r="T34" s="240">
        <f>P34</f>
        <v>20.182977739726027</v>
      </c>
      <c r="V34" s="237">
        <f>M34*0.08</f>
        <v>35.880849315068488</v>
      </c>
      <c r="X34" s="336" t="s">
        <v>283</v>
      </c>
      <c r="Y34" s="337"/>
      <c r="Z34" s="338"/>
      <c r="AB34" s="336" t="s">
        <v>284</v>
      </c>
      <c r="AC34" s="337"/>
      <c r="AD34" s="338"/>
    </row>
    <row r="35" spans="2:30" ht="17.25">
      <c r="B35" s="327"/>
      <c r="C35" s="230" t="s">
        <v>269</v>
      </c>
      <c r="D35" s="95">
        <f>Y27</f>
        <v>8400</v>
      </c>
      <c r="E35" s="95">
        <v>0</v>
      </c>
      <c r="F35" s="95">
        <f>F33</f>
        <v>0</v>
      </c>
      <c r="G35" s="95">
        <f>(G34/G28)*1000</f>
        <v>840</v>
      </c>
      <c r="H35" s="95">
        <v>0</v>
      </c>
      <c r="I35" s="95">
        <f>(I34/I28)*1000</f>
        <v>2000</v>
      </c>
      <c r="J35" s="95">
        <f>(J34/J28)*1000</f>
        <v>0</v>
      </c>
      <c r="K35" s="95">
        <f>K33</f>
        <v>0</v>
      </c>
      <c r="L35" s="95">
        <f>(L34/L28)*1000</f>
        <v>90000.000000000015</v>
      </c>
      <c r="M35" s="95">
        <f>(M34/M28)*1000</f>
        <v>90000.000000000015</v>
      </c>
      <c r="N35" s="95">
        <v>0</v>
      </c>
      <c r="O35" s="95">
        <f>(O34/O28)*1000</f>
        <v>53196.147110332749</v>
      </c>
      <c r="P35" s="95">
        <f>(P34/$P$28)*1000</f>
        <v>6065.9011482775859</v>
      </c>
      <c r="Q35" s="95">
        <f>(Q34/$Q$28)*1000</f>
        <v>89999.999999999985</v>
      </c>
      <c r="R35" s="95">
        <f>(R34/$R$28)*1000</f>
        <v>88638.713204456144</v>
      </c>
      <c r="S35" s="95">
        <f>(S34/$S$28)*1000</f>
        <v>0</v>
      </c>
      <c r="T35" s="95">
        <f>(T34/$T$28)*1000</f>
        <v>44716.579116634355</v>
      </c>
      <c r="V35" s="8">
        <f>M38-V34</f>
        <v>6.0739328300571103</v>
      </c>
      <c r="X35" s="6" t="s">
        <v>285</v>
      </c>
      <c r="Y35" s="5">
        <v>10</v>
      </c>
      <c r="Z35" s="5" t="s">
        <v>17</v>
      </c>
      <c r="AB35" s="6" t="s">
        <v>286</v>
      </c>
      <c r="AC35" s="9">
        <f>AC36/(Y38/100)</f>
        <v>28326.986301369863</v>
      </c>
      <c r="AD35" s="2" t="s">
        <v>287</v>
      </c>
    </row>
    <row r="36" spans="2:30" s="237" customFormat="1" ht="17.25">
      <c r="B36" s="327" t="s">
        <v>272</v>
      </c>
      <c r="C36" s="239" t="s">
        <v>274</v>
      </c>
      <c r="D36" s="240">
        <f>(D28*D37)/1000</f>
        <v>538.59043287671227</v>
      </c>
      <c r="E36" s="240">
        <v>0</v>
      </c>
      <c r="F36" s="240">
        <f>(F37*F28)/1000</f>
        <v>54.064488343376048</v>
      </c>
      <c r="G36" s="240">
        <f>D36+E36+F36</f>
        <v>592.65492122008834</v>
      </c>
      <c r="H36" s="240">
        <f>G36-I36</f>
        <v>254.42118804794524</v>
      </c>
      <c r="I36" s="240">
        <f>J36+L36</f>
        <v>338.2337331721431</v>
      </c>
      <c r="J36" s="240">
        <f>(J28*J37)/1000</f>
        <v>105.84625384558733</v>
      </c>
      <c r="K36" s="240">
        <f>(K32*(Y47/100))+D36*(1-(AC39/100))*(K30/(L30+K30))</f>
        <v>51.781765502211279</v>
      </c>
      <c r="L36" s="240">
        <f>(L32*(Y47/100))+D36*(1-(AC39/100))*(L30/(L30+K30))</f>
        <v>232.38747932655579</v>
      </c>
      <c r="M36" s="240">
        <f>L36</f>
        <v>232.38747932655579</v>
      </c>
      <c r="N36" s="240">
        <f>N31*((3*12)/58.1)</f>
        <v>1613.9177201958516</v>
      </c>
      <c r="O36" s="240">
        <f>M36+((O31*((3*12))/58.1))</f>
        <v>1846.3051995224073</v>
      </c>
      <c r="P36" s="240">
        <f>$P$32*(Y47/100)+(($M$32-$O$32)*(Y47/100))+D36*(1-(AC39/100))*($L$30/($K$30+$L$30))+((P31*((3*12))/58.1))</f>
        <v>743.15115226992805</v>
      </c>
      <c r="Q36" s="240">
        <f>O36-P36</f>
        <v>1103.1540472524794</v>
      </c>
      <c r="R36" s="240">
        <f>Q36</f>
        <v>1103.1540472524794</v>
      </c>
      <c r="S36" s="240">
        <f>S31*((3*12)/58.1)</f>
        <v>665.77628581735542</v>
      </c>
      <c r="T36" s="240">
        <f>T31*((3*12)/58.1)+D36*(1-(AC39/100))*($L$30/($K$30+$L$30))+(($M$32-$O$32)*(Y47/100))+T32*(Y47/100)</f>
        <v>77.374866452572661</v>
      </c>
      <c r="V36" s="246">
        <f>V35/M30</f>
        <v>1.339363238075488E-3</v>
      </c>
      <c r="X36" s="238" t="s">
        <v>260</v>
      </c>
      <c r="Y36" s="242">
        <v>50</v>
      </c>
      <c r="Z36" s="235" t="s">
        <v>17</v>
      </c>
      <c r="AB36" s="238" t="s">
        <v>288</v>
      </c>
      <c r="AC36" s="243">
        <f>G28*Y37</f>
        <v>1133.0794520547945</v>
      </c>
      <c r="AD36" s="244" t="s">
        <v>623</v>
      </c>
    </row>
    <row r="37" spans="2:30">
      <c r="B37" s="327"/>
      <c r="C37" s="230" t="s">
        <v>269</v>
      </c>
      <c r="D37" s="95">
        <f>Y28</f>
        <v>14260</v>
      </c>
      <c r="E37" s="95">
        <v>0</v>
      </c>
      <c r="F37" s="95">
        <f>J37</f>
        <v>458.06063039550281</v>
      </c>
      <c r="G37" s="95">
        <f>(G36/G28)*1000</f>
        <v>1569.1439469985946</v>
      </c>
      <c r="H37" s="95">
        <f>(H36/H28)*1000</f>
        <v>1796.3166666666671</v>
      </c>
      <c r="I37" s="95">
        <f>(I36/I28)*1000</f>
        <v>1432.8403151977514</v>
      </c>
      <c r="J37" s="95">
        <f>K37</f>
        <v>458.06063039550281</v>
      </c>
      <c r="K37" s="95">
        <f t="shared" ref="K37:O37" si="2">(K36/K28)*1000</f>
        <v>458.06063039550281</v>
      </c>
      <c r="L37" s="95">
        <f t="shared" si="2"/>
        <v>46631.835173659914</v>
      </c>
      <c r="M37" s="95">
        <f t="shared" si="2"/>
        <v>46631.835173659914</v>
      </c>
      <c r="N37" s="95">
        <f t="shared" si="2"/>
        <v>485783.13253012049</v>
      </c>
      <c r="O37" s="95">
        <f t="shared" si="2"/>
        <v>243314.74837592395</v>
      </c>
      <c r="P37" s="95">
        <f>(P36/$P$28)*1000</f>
        <v>223350.66143511288</v>
      </c>
      <c r="Q37" s="95">
        <f>(Q36/$Q$28)*1000</f>
        <v>258904.63771021034</v>
      </c>
      <c r="R37" s="95">
        <f>(R36/$R$28)*1000</f>
        <v>254988.59921443291</v>
      </c>
      <c r="S37" s="95">
        <f>(S36/$S$28)*1000</f>
        <v>248492.0688701857</v>
      </c>
      <c r="T37" s="95">
        <f>(T36/$S$28)*1000</f>
        <v>28879.131102949385</v>
      </c>
      <c r="V37" s="8"/>
      <c r="X37" s="6" t="s">
        <v>65</v>
      </c>
      <c r="Y37" s="69">
        <v>3</v>
      </c>
      <c r="Z37" s="5" t="s">
        <v>26</v>
      </c>
    </row>
    <row r="38" spans="2:30" s="237" customFormat="1">
      <c r="B38" s="327" t="s">
        <v>275</v>
      </c>
      <c r="C38" s="239" t="s">
        <v>274</v>
      </c>
      <c r="D38" s="240">
        <f>(D28*D39)/1000</f>
        <v>193.37889315068492</v>
      </c>
      <c r="E38" s="240">
        <v>0</v>
      </c>
      <c r="F38" s="240">
        <f>(F39*F28)/1000</f>
        <v>77.646614394974875</v>
      </c>
      <c r="G38" s="240">
        <f>D38+E38+F38</f>
        <v>271.02550754565982</v>
      </c>
      <c r="H38" s="240">
        <f>G38-I38</f>
        <v>77.055909218372278</v>
      </c>
      <c r="I38" s="240">
        <f>J38+L38</f>
        <v>193.96959832728754</v>
      </c>
      <c r="J38" s="240">
        <f>(J39*J28)/1000</f>
        <v>152.01481618216195</v>
      </c>
      <c r="K38" s="240">
        <f>(K32*(Y48/100))+D38*(1-(AC40/100))*(K30/(K30+L30))</f>
        <v>74.368201787187061</v>
      </c>
      <c r="L38" s="240">
        <f>(L32*(Y48/100))+D38*(1-(AC40/100))*(L30/(K30+L30))</f>
        <v>41.954782145125598</v>
      </c>
      <c r="M38" s="245">
        <f>L38</f>
        <v>41.954782145125598</v>
      </c>
      <c r="N38" s="240">
        <v>0</v>
      </c>
      <c r="O38" s="245">
        <f>M38</f>
        <v>41.954782145125598</v>
      </c>
      <c r="P38" s="245">
        <f>O38-Q38</f>
        <v>5.2236086388914416</v>
      </c>
      <c r="Q38" s="240">
        <f>Q34*(Y48/100)+V39</f>
        <v>36.731173506234157</v>
      </c>
      <c r="R38" s="240">
        <f>Q38</f>
        <v>36.731173506234157</v>
      </c>
      <c r="S38" s="240">
        <f>P38-T38</f>
        <v>0</v>
      </c>
      <c r="T38" s="240">
        <f>P38</f>
        <v>5.2236086388914416</v>
      </c>
      <c r="V38" s="237">
        <f>V36*P30</f>
        <v>2.6633291284160223</v>
      </c>
      <c r="X38" s="238" t="s">
        <v>70</v>
      </c>
      <c r="Y38" s="242">
        <v>4</v>
      </c>
      <c r="Z38" s="235" t="s">
        <v>34</v>
      </c>
      <c r="AB38" s="336" t="s">
        <v>290</v>
      </c>
      <c r="AC38" s="337"/>
      <c r="AD38" s="338"/>
    </row>
    <row r="39" spans="2:30" ht="17.25">
      <c r="B39" s="327"/>
      <c r="C39" s="230" t="s">
        <v>269</v>
      </c>
      <c r="D39" s="95">
        <f>Y29</f>
        <v>5120</v>
      </c>
      <c r="E39" s="95">
        <v>0</v>
      </c>
      <c r="F39" s="95">
        <f>J39</f>
        <v>657.8598674964868</v>
      </c>
      <c r="G39" s="95">
        <f>(G38/G28)*1000</f>
        <v>717.58120859265216</v>
      </c>
      <c r="H39" s="95">
        <f>(H38/H28)*1000</f>
        <v>544.04593837535015</v>
      </c>
      <c r="I39" s="95">
        <f>(I38/I28)*1000</f>
        <v>821.70237072303348</v>
      </c>
      <c r="J39" s="95">
        <f>K39</f>
        <v>657.8598674964868</v>
      </c>
      <c r="K39" s="95">
        <f>(K38/K28)*1000</f>
        <v>657.8598674964868</v>
      </c>
      <c r="L39" s="95">
        <f>(L38/L28)*1000</f>
        <v>8418.8205466486943</v>
      </c>
      <c r="M39" s="95">
        <f>(M38/M28)*1000</f>
        <v>8418.8205466486943</v>
      </c>
      <c r="N39" s="95">
        <v>0</v>
      </c>
      <c r="O39" s="95">
        <f>(O38/O28)*1000</f>
        <v>5528.9977320372336</v>
      </c>
      <c r="P39" s="95">
        <f>(P38/$P$28)*1000</f>
        <v>1569.9315556612426</v>
      </c>
      <c r="Q39" s="95">
        <f>(Q38/$Q$28)*1000</f>
        <v>8620.6193894567677</v>
      </c>
      <c r="R39" s="95">
        <f>(R38/$R$28)*1000</f>
        <v>8490.2289967425822</v>
      </c>
      <c r="S39" s="95">
        <f>(S38/$S$28)*1000</f>
        <v>0</v>
      </c>
      <c r="T39" s="95">
        <f>(T38/$S$28)*1000</f>
        <v>1949.6418621350547</v>
      </c>
      <c r="V39">
        <f>V36*Q30</f>
        <v>3.4106037016410879</v>
      </c>
      <c r="X39" s="6" t="s">
        <v>262</v>
      </c>
      <c r="Y39" s="68">
        <v>5</v>
      </c>
      <c r="Z39" s="5" t="s">
        <v>21</v>
      </c>
      <c r="AB39" s="6" t="s">
        <v>272</v>
      </c>
      <c r="AC39" s="2">
        <v>90</v>
      </c>
      <c r="AD39" s="5" t="s">
        <v>17</v>
      </c>
    </row>
    <row r="40" spans="2:30">
      <c r="B40" s="327" t="s">
        <v>278</v>
      </c>
      <c r="C40" s="229" t="s">
        <v>274</v>
      </c>
      <c r="D40" s="18">
        <f>(D28*D41)/1000</f>
        <v>125.69628054794521</v>
      </c>
      <c r="E40" s="18">
        <v>0</v>
      </c>
      <c r="F40" s="18">
        <f>(F41*F28)/1000</f>
        <v>2.2425530821917805</v>
      </c>
      <c r="G40" s="18">
        <f>D40+E40+F40</f>
        <v>127.93883363013698</v>
      </c>
      <c r="H40" s="18">
        <f>G40*0.1</f>
        <v>12.793883363013698</v>
      </c>
      <c r="I40" s="18">
        <f>G40-H40</f>
        <v>115.14495026712328</v>
      </c>
      <c r="J40" s="18">
        <f>(J41*J28)/1000</f>
        <v>4.3904205898021305</v>
      </c>
      <c r="K40" s="18">
        <f>(K28*K41)/1000</f>
        <v>2.1478675076103499</v>
      </c>
      <c r="L40" s="18">
        <f>I40-J40</f>
        <v>110.75452967732114</v>
      </c>
      <c r="M40" s="18">
        <f>L40</f>
        <v>110.75452967732114</v>
      </c>
      <c r="N40" s="18">
        <v>0</v>
      </c>
      <c r="O40" s="18">
        <f>M40</f>
        <v>110.75452967732114</v>
      </c>
      <c r="P40" s="18" t="s">
        <v>12</v>
      </c>
      <c r="Q40" s="18" t="s">
        <v>12</v>
      </c>
      <c r="R40" s="18" t="s">
        <v>12</v>
      </c>
      <c r="S40" s="18" t="s">
        <v>12</v>
      </c>
      <c r="T40" s="18" t="s">
        <v>12</v>
      </c>
      <c r="X40" s="6" t="s">
        <v>291</v>
      </c>
      <c r="Y40" s="5">
        <v>2</v>
      </c>
      <c r="Z40" s="5" t="s">
        <v>19</v>
      </c>
      <c r="AB40" s="6" t="s">
        <v>273</v>
      </c>
      <c r="AC40" s="2">
        <v>60</v>
      </c>
      <c r="AD40" s="5" t="s">
        <v>17</v>
      </c>
    </row>
    <row r="41" spans="2:30" ht="17.25">
      <c r="B41" s="327"/>
      <c r="C41" s="230" t="s">
        <v>269</v>
      </c>
      <c r="D41" s="95">
        <f>Y30</f>
        <v>3328</v>
      </c>
      <c r="E41" s="95">
        <v>0</v>
      </c>
      <c r="F41" s="95">
        <f>J41</f>
        <v>19</v>
      </c>
      <c r="G41" s="95">
        <f>(G39/G28)*1000</f>
        <v>1899.9052730804019</v>
      </c>
      <c r="H41" s="95">
        <f>(H40/H28)*1000</f>
        <v>90.33</v>
      </c>
      <c r="I41" s="95">
        <f>(I40/I28)*1000</f>
        <v>487.78199999999998</v>
      </c>
      <c r="J41" s="95">
        <v>19</v>
      </c>
      <c r="K41" s="95">
        <v>19</v>
      </c>
      <c r="L41" s="95">
        <f>(L40/L28)*1000</f>
        <v>22224.463157894741</v>
      </c>
      <c r="M41" s="95">
        <f>(M40/M28)*1000</f>
        <v>22224.463157894741</v>
      </c>
      <c r="N41" s="95">
        <v>0</v>
      </c>
      <c r="O41" s="95">
        <f>(O40/O28)*1000</f>
        <v>14595.75076043875</v>
      </c>
      <c r="P41" s="95" t="s">
        <v>12</v>
      </c>
      <c r="Q41" s="95" t="s">
        <v>12</v>
      </c>
      <c r="R41" s="95" t="s">
        <v>12</v>
      </c>
      <c r="S41" s="95" t="s">
        <v>12</v>
      </c>
      <c r="T41" s="95" t="s">
        <v>12</v>
      </c>
      <c r="X41" s="6" t="s">
        <v>292</v>
      </c>
      <c r="Y41" s="7">
        <f>(I32*1000)/AC35</f>
        <v>16.666666666666664</v>
      </c>
      <c r="Z41" s="5" t="s">
        <v>40</v>
      </c>
      <c r="AB41" s="6" t="s">
        <v>276</v>
      </c>
      <c r="AC41" s="2">
        <v>60</v>
      </c>
      <c r="AD41" s="5" t="s">
        <v>17</v>
      </c>
    </row>
    <row r="42" spans="2:30" s="237" customFormat="1">
      <c r="B42" s="327" t="s">
        <v>279</v>
      </c>
      <c r="C42" s="239" t="s">
        <v>274</v>
      </c>
      <c r="D42" s="240">
        <f>(D28*D43)/1000</f>
        <v>2.8704679452054793</v>
      </c>
      <c r="E42" s="240">
        <v>0</v>
      </c>
      <c r="F42" s="240">
        <f>(F43*F28)/1000</f>
        <v>1.1525669324254084</v>
      </c>
      <c r="G42" s="240">
        <f>D42+E42+F42</f>
        <v>4.023034877630888</v>
      </c>
      <c r="H42" s="240">
        <f>G42-I42</f>
        <v>0.37674891780821973</v>
      </c>
      <c r="I42" s="240">
        <f>J42+L42</f>
        <v>3.6462859598226682</v>
      </c>
      <c r="J42" s="240">
        <f>(J43*J28)/1000</f>
        <v>2.2564699277039661</v>
      </c>
      <c r="K42" s="240">
        <f>(K32*(Y49/100))+D42*(1-(AC41/100))*(K30/(K30+L30))</f>
        <v>1.1039029952785577</v>
      </c>
      <c r="L42" s="240">
        <f>(L32*(Y49/100))+D42*(1-(AC41/100))*(L30/(K30+L30))</f>
        <v>1.3898160321187023</v>
      </c>
      <c r="M42" s="240">
        <f>L42</f>
        <v>1.3898160321187023</v>
      </c>
      <c r="N42" s="240">
        <v>0</v>
      </c>
      <c r="O42" s="240">
        <f>M42</f>
        <v>1.3898160321187023</v>
      </c>
      <c r="P42" s="240">
        <f>$P$32*(Y49/100)+(($M$32-$O$32)*(Y49/100))+D42*(1-(AC41/100))*($L$30/($K$30+$L$30))</f>
        <v>0.23938630095431884</v>
      </c>
      <c r="Q42" s="240">
        <f>O42-P42</f>
        <v>1.1504297311643834</v>
      </c>
      <c r="R42" s="240">
        <f>Q42+O69</f>
        <v>66.587300355620826</v>
      </c>
      <c r="S42" s="240">
        <f>P42-T42</f>
        <v>0.13455318493150675</v>
      </c>
      <c r="T42" s="240">
        <f>D42*(1-(AC41/100))*($L$30/($K$30+$L$30))+T34*(Y49/100)</f>
        <v>0.1048331160228121</v>
      </c>
    </row>
    <row r="43" spans="2:30" ht="15.75" thickBot="1">
      <c r="B43" s="334"/>
      <c r="C43" s="231" t="s">
        <v>269</v>
      </c>
      <c r="D43" s="232">
        <f>Y31</f>
        <v>76</v>
      </c>
      <c r="E43" s="232">
        <v>0</v>
      </c>
      <c r="F43" s="232">
        <f>J43</f>
        <v>9.7651074081509748</v>
      </c>
      <c r="G43" s="232">
        <f>(G42/G28)*1000</f>
        <v>10.65159606504718</v>
      </c>
      <c r="H43" s="232">
        <f>(H42/H28)*1000</f>
        <v>2.6600000000000041</v>
      </c>
      <c r="I43" s="232">
        <f>(I42/I28)*1000</f>
        <v>15.446553704075487</v>
      </c>
      <c r="J43" s="232">
        <f>K43</f>
        <v>9.7651074081509748</v>
      </c>
      <c r="K43" s="232">
        <f>(K42/K28)*1000</f>
        <v>9.7651074081509748</v>
      </c>
      <c r="L43" s="232">
        <f>(L42/L28)*1000</f>
        <v>278.88624774141738</v>
      </c>
      <c r="M43" s="232">
        <f>(M42/M28)*1000</f>
        <v>278.88624774141738</v>
      </c>
      <c r="N43" s="232">
        <v>0</v>
      </c>
      <c r="O43" s="232">
        <f>(O42/O28)*1000</f>
        <v>183.15646743087831</v>
      </c>
      <c r="P43" s="232">
        <f>(P42/$P$28)*1000</f>
        <v>71.94645193422474</v>
      </c>
      <c r="Q43" s="232">
        <f>(Q42/$Q$28)*1000</f>
        <v>269.99999999999994</v>
      </c>
      <c r="R43" s="232">
        <f>(R42/$R$28)*1000</f>
        <v>15391.324978989514</v>
      </c>
      <c r="S43" s="232">
        <f>(S42/$S$28)*1000</f>
        <v>50.220171563568208</v>
      </c>
      <c r="T43" s="232">
        <f>(T42/$T$28)*1000</f>
        <v>232.26395961634847</v>
      </c>
      <c r="X43" s="328" t="s">
        <v>293</v>
      </c>
      <c r="Y43" s="329"/>
      <c r="Z43" s="330"/>
      <c r="AB43" s="328" t="s">
        <v>280</v>
      </c>
      <c r="AC43" s="329"/>
      <c r="AD43" s="330"/>
    </row>
    <row r="44" spans="2:30" ht="18" thickTop="1">
      <c r="B44" s="335" t="s">
        <v>294</v>
      </c>
      <c r="C44" s="233" t="s">
        <v>274</v>
      </c>
      <c r="D44" s="234">
        <v>0</v>
      </c>
      <c r="E44" s="234">
        <v>0</v>
      </c>
      <c r="F44" s="234">
        <f>(F45*F28)/1000</f>
        <v>0</v>
      </c>
      <c r="G44" s="234">
        <f>D44+E44+F44</f>
        <v>0</v>
      </c>
      <c r="H44" s="234">
        <v>0</v>
      </c>
      <c r="I44" s="234">
        <f>J44+L44</f>
        <v>231.87998869863009</v>
      </c>
      <c r="J44" s="234">
        <f>J32*(Y44/100)</f>
        <v>0</v>
      </c>
      <c r="K44" s="234">
        <f>K32*(Y44/100)</f>
        <v>0</v>
      </c>
      <c r="L44" s="234">
        <f>L32*(Y44/100)</f>
        <v>231.87998869863009</v>
      </c>
      <c r="M44" s="234">
        <f>L44</f>
        <v>231.87998869863009</v>
      </c>
      <c r="N44" s="234">
        <v>0</v>
      </c>
      <c r="O44" s="234">
        <f>M44</f>
        <v>231.87998869863009</v>
      </c>
      <c r="P44" s="234">
        <f>O44-Q44</f>
        <v>33.622598361301357</v>
      </c>
      <c r="Q44" s="234">
        <f>Q32*(Y44/100)</f>
        <v>198.25739033732873</v>
      </c>
      <c r="R44" s="234">
        <f>Q44</f>
        <v>198.25739033732873</v>
      </c>
      <c r="S44" s="234" t="s">
        <v>12</v>
      </c>
      <c r="T44" s="234" t="s">
        <v>12</v>
      </c>
      <c r="X44" s="6" t="s">
        <v>294</v>
      </c>
      <c r="Y44" s="2">
        <v>51.7</v>
      </c>
      <c r="Z44" s="5" t="s">
        <v>17</v>
      </c>
      <c r="AB44" s="6" t="s">
        <v>295</v>
      </c>
      <c r="AC44" s="2">
        <v>40</v>
      </c>
      <c r="AD44" s="5" t="s">
        <v>296</v>
      </c>
    </row>
    <row r="45" spans="2:30">
      <c r="B45" s="327"/>
      <c r="C45" s="230" t="s">
        <v>269</v>
      </c>
      <c r="D45" s="95">
        <v>0</v>
      </c>
      <c r="E45" s="95">
        <v>0</v>
      </c>
      <c r="F45" s="95">
        <f>J45</f>
        <v>0</v>
      </c>
      <c r="G45" s="95">
        <f>(G44/G28)*1000</f>
        <v>0</v>
      </c>
      <c r="H45" s="95">
        <v>0</v>
      </c>
      <c r="I45" s="95">
        <f>(I44/I28)*1000</f>
        <v>982.29999999999984</v>
      </c>
      <c r="J45" s="95">
        <f>(J44/J28)*1000</f>
        <v>0</v>
      </c>
      <c r="K45" s="95">
        <f>(K44/K28)*1000</f>
        <v>0</v>
      </c>
      <c r="L45" s="95">
        <f>(L44/L28)*1000</f>
        <v>46530</v>
      </c>
      <c r="M45" s="95">
        <f>(M44/M28)*1000</f>
        <v>46530</v>
      </c>
      <c r="N45" s="95">
        <v>0</v>
      </c>
      <c r="O45" s="95">
        <f>(O44/O28)*1000</f>
        <v>30558.231173380034</v>
      </c>
      <c r="P45" s="95">
        <f>(P44/$P$28)*1000</f>
        <v>10105.117324013978</v>
      </c>
      <c r="Q45" s="95">
        <f>(Q44/$Q$28)*1000</f>
        <v>46529.999999999993</v>
      </c>
      <c r="R45" s="95">
        <f>(R44/$R$28)*1000</f>
        <v>45826.214726703824</v>
      </c>
      <c r="S45" s="95" t="s">
        <v>12</v>
      </c>
      <c r="T45" s="95" t="s">
        <v>12</v>
      </c>
      <c r="X45" s="6" t="s">
        <v>297</v>
      </c>
      <c r="Y45" s="2">
        <v>22.3</v>
      </c>
      <c r="Z45" s="5" t="s">
        <v>17</v>
      </c>
      <c r="AB45" s="12" t="s">
        <v>298</v>
      </c>
      <c r="AC45" s="2">
        <v>20</v>
      </c>
      <c r="AD45" s="2" t="s">
        <v>19</v>
      </c>
    </row>
    <row r="46" spans="2:30">
      <c r="B46" s="327" t="s">
        <v>297</v>
      </c>
      <c r="C46" s="229" t="s">
        <v>274</v>
      </c>
      <c r="D46" s="18">
        <v>0</v>
      </c>
      <c r="E46" s="18">
        <v>0</v>
      </c>
      <c r="F46" s="18">
        <f>(F47*F28)/1000</f>
        <v>0</v>
      </c>
      <c r="G46" s="18">
        <f>D46+E46+F46</f>
        <v>0</v>
      </c>
      <c r="H46" s="18">
        <v>0</v>
      </c>
      <c r="I46" s="18">
        <f>J46+L46</f>
        <v>100.0178674657534</v>
      </c>
      <c r="J46" s="18">
        <f>J32*(Y45/100)</f>
        <v>0</v>
      </c>
      <c r="K46" s="18">
        <f>K32*(Y45/100)</f>
        <v>0</v>
      </c>
      <c r="L46" s="18">
        <f>L32*(Y45/100)</f>
        <v>100.0178674657534</v>
      </c>
      <c r="M46" s="18">
        <f>L46</f>
        <v>100.0178674657534</v>
      </c>
      <c r="N46" s="18">
        <v>0</v>
      </c>
      <c r="O46" s="18">
        <f>M46</f>
        <v>100.0178674657534</v>
      </c>
      <c r="P46" s="18">
        <f>O46-Q46</f>
        <v>14.502590782534227</v>
      </c>
      <c r="Q46" s="18">
        <f>Q32*(Y45/100)</f>
        <v>85.51527668321917</v>
      </c>
      <c r="R46" s="18">
        <f>Q46</f>
        <v>85.51527668321917</v>
      </c>
      <c r="S46" s="18" t="s">
        <v>12</v>
      </c>
      <c r="T46" s="18" t="s">
        <v>12</v>
      </c>
      <c r="X46" s="6" t="s">
        <v>299</v>
      </c>
      <c r="Y46" s="2">
        <v>13.4</v>
      </c>
      <c r="Z46" s="5" t="s">
        <v>17</v>
      </c>
      <c r="AB46" s="12" t="s">
        <v>300</v>
      </c>
      <c r="AC46" s="63">
        <f>AC45/Y40</f>
        <v>10</v>
      </c>
      <c r="AD46" s="64"/>
    </row>
    <row r="47" spans="2:30">
      <c r="B47" s="327"/>
      <c r="C47" s="230" t="s">
        <v>269</v>
      </c>
      <c r="D47" s="95">
        <v>0</v>
      </c>
      <c r="E47" s="95">
        <v>0</v>
      </c>
      <c r="F47" s="95">
        <f>J47</f>
        <v>0</v>
      </c>
      <c r="G47" s="95">
        <f>(G46/G28)*1000</f>
        <v>0</v>
      </c>
      <c r="H47" s="95">
        <v>0</v>
      </c>
      <c r="I47" s="95">
        <f>(I46/I28)*1000</f>
        <v>423.69999999999993</v>
      </c>
      <c r="J47" s="95">
        <f>(J46*J28)/1000</f>
        <v>0</v>
      </c>
      <c r="K47" s="95">
        <f>(K46/K28)*1000</f>
        <v>0</v>
      </c>
      <c r="L47" s="95">
        <f>(L46/L28)*1000</f>
        <v>20070</v>
      </c>
      <c r="M47" s="95">
        <f>(M46/M28)*1000</f>
        <v>20070</v>
      </c>
      <c r="N47" s="95">
        <v>0</v>
      </c>
      <c r="O47" s="95">
        <f>(O46/O28)*1000</f>
        <v>13180.823117338003</v>
      </c>
      <c r="P47" s="95">
        <f>(P46/$P$28)*1000</f>
        <v>4358.6869695456771</v>
      </c>
      <c r="Q47" s="95">
        <f>(Q46/$Q$28)*1000</f>
        <v>20070</v>
      </c>
      <c r="R47" s="95">
        <f>(R46/$R$28)*1000</f>
        <v>19766.433044593723</v>
      </c>
      <c r="S47" s="95" t="s">
        <v>12</v>
      </c>
      <c r="T47" s="95" t="s">
        <v>12</v>
      </c>
      <c r="X47" s="6" t="s">
        <v>270</v>
      </c>
      <c r="Y47" s="2">
        <v>51.35</v>
      </c>
      <c r="Z47" s="5" t="s">
        <v>17</v>
      </c>
    </row>
    <row r="48" spans="2:30">
      <c r="B48" s="327" t="s">
        <v>299</v>
      </c>
      <c r="C48" s="229" t="s">
        <v>274</v>
      </c>
      <c r="D48" s="18">
        <v>0</v>
      </c>
      <c r="E48" s="18">
        <v>0</v>
      </c>
      <c r="F48" s="18">
        <f>(F49*F28)/1000</f>
        <v>0</v>
      </c>
      <c r="G48" s="18">
        <f>D48+E48+F48</f>
        <v>0</v>
      </c>
      <c r="H48" s="18">
        <v>0</v>
      </c>
      <c r="I48" s="18">
        <f>J48+L48</f>
        <v>60.100422602739719</v>
      </c>
      <c r="J48" s="18">
        <f>J32*(Y46/100)</f>
        <v>0</v>
      </c>
      <c r="K48" s="18">
        <f>K32*(Y46/100)</f>
        <v>0</v>
      </c>
      <c r="L48" s="18">
        <f>L32*(Y46/100)</f>
        <v>60.100422602739719</v>
      </c>
      <c r="M48" s="18">
        <f>L48</f>
        <v>60.100422602739719</v>
      </c>
      <c r="N48" s="18">
        <v>0</v>
      </c>
      <c r="O48" s="18">
        <f>M48</f>
        <v>60.100422602739719</v>
      </c>
      <c r="P48" s="18">
        <f>O48-Q48</f>
        <v>8.7145612773972587</v>
      </c>
      <c r="Q48" s="18">
        <f>Q32*(Y46/100)</f>
        <v>51.385861325342461</v>
      </c>
      <c r="R48" s="18">
        <f>Q48</f>
        <v>51.385861325342461</v>
      </c>
      <c r="S48" s="18" t="s">
        <v>12</v>
      </c>
      <c r="T48" s="18" t="s">
        <v>12</v>
      </c>
      <c r="X48" s="6" t="s">
        <v>273</v>
      </c>
      <c r="Y48" s="9">
        <f>Y44/5.95</f>
        <v>8.6890756302521019</v>
      </c>
      <c r="Z48" s="5" t="s">
        <v>17</v>
      </c>
      <c r="AB48" s="328" t="s">
        <v>626</v>
      </c>
      <c r="AC48" s="329"/>
      <c r="AD48" s="330"/>
    </row>
    <row r="49" spans="2:30">
      <c r="B49" s="327"/>
      <c r="C49" s="230" t="s">
        <v>269</v>
      </c>
      <c r="D49" s="95">
        <v>0</v>
      </c>
      <c r="E49" s="95">
        <v>0</v>
      </c>
      <c r="F49" s="95">
        <f>J49</f>
        <v>0</v>
      </c>
      <c r="G49" s="95">
        <f>(G48/G28)*1000</f>
        <v>0</v>
      </c>
      <c r="H49" s="95">
        <v>0</v>
      </c>
      <c r="I49" s="95">
        <f>(I48/I28)*1000</f>
        <v>254.6</v>
      </c>
      <c r="J49" s="95">
        <f>(J48*J28)/1000</f>
        <v>0</v>
      </c>
      <c r="K49" s="95">
        <f>(K48/K28)*1000</f>
        <v>0</v>
      </c>
      <c r="L49" s="95">
        <f>(L48/L28)*1000</f>
        <v>12060.000000000002</v>
      </c>
      <c r="M49" s="95">
        <f>(M48/M28)*1000</f>
        <v>12060.000000000002</v>
      </c>
      <c r="N49" s="95">
        <v>0</v>
      </c>
      <c r="O49" s="95">
        <f>(O48/O28)*1000</f>
        <v>7920.315236427321</v>
      </c>
      <c r="P49" s="95">
        <f>(P48/$P$28)*1000</f>
        <v>2619.1213180229661</v>
      </c>
      <c r="Q49" s="95">
        <f>(Q48/$Q$28)*1000</f>
        <v>12059.999999999998</v>
      </c>
      <c r="R49" s="95">
        <f>(R48/$R$28)*1000</f>
        <v>11877.587569397123</v>
      </c>
      <c r="S49" s="95" t="s">
        <v>12</v>
      </c>
      <c r="T49" s="95" t="s">
        <v>12</v>
      </c>
      <c r="X49" s="6" t="s">
        <v>276</v>
      </c>
      <c r="Y49" s="2">
        <v>0.3</v>
      </c>
      <c r="Z49" s="5" t="s">
        <v>17</v>
      </c>
      <c r="AB49" s="331" t="s">
        <v>627</v>
      </c>
      <c r="AC49" s="2">
        <v>40</v>
      </c>
      <c r="AD49" s="2" t="s">
        <v>17</v>
      </c>
    </row>
    <row r="50" spans="2:30" ht="17.25">
      <c r="J50" s="67"/>
      <c r="K50" s="67"/>
      <c r="AB50" s="332"/>
      <c r="AC50" s="9">
        <f>(M28*(AC49/100))/(1-(AC49/100))</f>
        <v>3.3223008625063413</v>
      </c>
      <c r="AD50" s="5" t="s">
        <v>23</v>
      </c>
    </row>
    <row r="51" spans="2:30">
      <c r="R51">
        <f>(R34/R29)*100</f>
        <v>8.8638713204456145</v>
      </c>
      <c r="X51" s="328" t="s">
        <v>565</v>
      </c>
      <c r="Y51" s="329"/>
      <c r="Z51" s="330"/>
      <c r="AB51" s="12" t="s">
        <v>566</v>
      </c>
      <c r="AC51" s="2">
        <v>95</v>
      </c>
      <c r="AD51" s="2" t="s">
        <v>17</v>
      </c>
    </row>
    <row r="52" spans="2:30" ht="15" customHeight="1">
      <c r="B52" s="292" t="s">
        <v>301</v>
      </c>
      <c r="C52" s="292"/>
      <c r="D52" s="292"/>
      <c r="E52" s="9">
        <f>(((G40-H40)-I40)/(G40-H40))*100</f>
        <v>0</v>
      </c>
      <c r="F52" s="75" t="s">
        <v>302</v>
      </c>
      <c r="X52" s="6" t="s">
        <v>628</v>
      </c>
      <c r="Y52" s="2">
        <v>95</v>
      </c>
      <c r="Z52" s="5" t="s">
        <v>17</v>
      </c>
      <c r="AB52" s="331" t="s">
        <v>629</v>
      </c>
      <c r="AC52" s="2">
        <v>9</v>
      </c>
      <c r="AD52" s="2" t="s">
        <v>17</v>
      </c>
    </row>
    <row r="53" spans="2:30">
      <c r="R53" s="8"/>
      <c r="X53" s="6" t="s">
        <v>630</v>
      </c>
      <c r="Y53" s="2">
        <f>AC53</f>
        <v>90</v>
      </c>
      <c r="Z53" s="5" t="s">
        <v>19</v>
      </c>
      <c r="AB53" s="333"/>
      <c r="AC53" s="2">
        <f>AC52*10</f>
        <v>90</v>
      </c>
      <c r="AD53" s="2" t="s">
        <v>631</v>
      </c>
    </row>
    <row r="54" spans="2:30">
      <c r="B54" s="292" t="s">
        <v>303</v>
      </c>
      <c r="C54" s="292"/>
      <c r="D54" s="292"/>
      <c r="E54" s="292"/>
      <c r="H54" s="8"/>
      <c r="AB54" s="332"/>
      <c r="AC54" s="2">
        <f>AC53*1000</f>
        <v>90000</v>
      </c>
      <c r="AD54" s="2" t="s">
        <v>269</v>
      </c>
    </row>
    <row r="55" spans="2:30">
      <c r="B55" s="2"/>
      <c r="C55" s="14" t="s">
        <v>304</v>
      </c>
      <c r="D55" s="14" t="s">
        <v>305</v>
      </c>
      <c r="E55" s="14" t="s">
        <v>306</v>
      </c>
      <c r="X55" s="6" t="s">
        <v>632</v>
      </c>
      <c r="Y55" s="191">
        <v>20</v>
      </c>
      <c r="Z55" s="2" t="s">
        <v>19</v>
      </c>
      <c r="AB55" s="12" t="s">
        <v>633</v>
      </c>
      <c r="AC55" s="2">
        <v>784</v>
      </c>
      <c r="AD55" s="2" t="s">
        <v>634</v>
      </c>
    </row>
    <row r="56" spans="2:30">
      <c r="B56" s="14" t="s">
        <v>275</v>
      </c>
      <c r="C56" s="9">
        <f>D38</f>
        <v>193.37889315068492</v>
      </c>
      <c r="D56" s="9">
        <f>H38+K38+O38</f>
        <v>193.37889315068492</v>
      </c>
      <c r="E56" s="9">
        <f>O32*(Y48/100)</f>
        <v>35.074284004834809</v>
      </c>
    </row>
    <row r="57" spans="2:30">
      <c r="B57" s="14" t="s">
        <v>279</v>
      </c>
      <c r="C57" s="9">
        <f>D42</f>
        <v>2.8704679452054793</v>
      </c>
      <c r="D57" s="9">
        <f>H42+K42+O42</f>
        <v>2.8704679452054798</v>
      </c>
      <c r="E57" s="9">
        <f>O32*(Y49/100)</f>
        <v>1.2109786643835614</v>
      </c>
    </row>
    <row r="58" spans="2:30">
      <c r="B58" s="14" t="s">
        <v>278</v>
      </c>
      <c r="C58" s="9">
        <f>D40</f>
        <v>125.69628054794521</v>
      </c>
      <c r="D58" s="9">
        <f>H40+K40+O40</f>
        <v>125.69628054794519</v>
      </c>
      <c r="E58" s="9">
        <f>D40*(E52/100)</f>
        <v>0</v>
      </c>
      <c r="F58" s="72"/>
    </row>
    <row r="59" spans="2:30">
      <c r="B59" s="14" t="s">
        <v>271</v>
      </c>
      <c r="C59" s="9">
        <f>D28+E28</f>
        <v>259.66404109589041</v>
      </c>
      <c r="D59" s="9">
        <f>H28+O28+K28</f>
        <v>262.26872497209536</v>
      </c>
      <c r="E59" s="9" t="s">
        <v>12</v>
      </c>
    </row>
    <row r="62" spans="2:30" ht="20.25" thickBot="1">
      <c r="B62" s="291" t="s">
        <v>307</v>
      </c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X62" s="317" t="s">
        <v>635</v>
      </c>
      <c r="Y62" s="317"/>
      <c r="Z62" s="317"/>
      <c r="AA62" s="317"/>
      <c r="AB62" s="317"/>
      <c r="AC62" s="317"/>
      <c r="AD62" s="317"/>
    </row>
    <row r="63" spans="2:30" ht="15.75" thickTop="1"/>
    <row r="64" spans="2:30" ht="17.25">
      <c r="B64" s="314" t="s">
        <v>308</v>
      </c>
      <c r="C64" s="314"/>
      <c r="D64" s="314"/>
      <c r="F64" s="314" t="s">
        <v>280</v>
      </c>
      <c r="G64" s="314"/>
      <c r="H64" s="314"/>
      <c r="J64" s="314" t="s">
        <v>309</v>
      </c>
      <c r="K64" s="314"/>
      <c r="L64" s="314"/>
      <c r="N64" s="314" t="s">
        <v>636</v>
      </c>
      <c r="O64" s="314"/>
      <c r="P64" s="314"/>
      <c r="S64" s="314" t="s">
        <v>637</v>
      </c>
      <c r="T64" s="314"/>
      <c r="U64" s="314"/>
      <c r="X64" s="285" t="s">
        <v>335</v>
      </c>
      <c r="Y64" s="7">
        <f>P28</f>
        <v>3.3272843138001003</v>
      </c>
      <c r="Z64" s="5" t="s">
        <v>23</v>
      </c>
      <c r="AB64" s="285" t="s">
        <v>336</v>
      </c>
      <c r="AC64" s="285"/>
      <c r="AD64" s="285"/>
    </row>
    <row r="65" spans="2:30" ht="17.25">
      <c r="B65" s="16" t="s">
        <v>286</v>
      </c>
      <c r="C65" s="9">
        <f>AC35</f>
        <v>28326.986301369863</v>
      </c>
      <c r="D65" s="2" t="s">
        <v>287</v>
      </c>
      <c r="F65" s="17" t="s">
        <v>286</v>
      </c>
      <c r="G65" s="7">
        <f>(I28*1000)/(AC44*G66)</f>
        <v>245.89397831050226</v>
      </c>
      <c r="H65" s="5" t="s">
        <v>287</v>
      </c>
      <c r="J65" s="17" t="s">
        <v>312</v>
      </c>
      <c r="K65" s="5">
        <v>400</v>
      </c>
      <c r="L65" s="5" t="s">
        <v>313</v>
      </c>
      <c r="N65" s="17" t="s">
        <v>314</v>
      </c>
      <c r="O65" s="5">
        <v>2</v>
      </c>
      <c r="P65" s="5" t="s">
        <v>17</v>
      </c>
      <c r="S65" s="17" t="s">
        <v>315</v>
      </c>
      <c r="T65" s="9">
        <f>T28</f>
        <v>0.45135334899127055</v>
      </c>
      <c r="U65" s="2" t="s">
        <v>23</v>
      </c>
      <c r="X65" s="285"/>
      <c r="Y65" s="9">
        <f>P29</f>
        <v>3327.2843138001003</v>
      </c>
      <c r="Z65" s="2" t="s">
        <v>274</v>
      </c>
      <c r="AB65" s="309" t="s">
        <v>271</v>
      </c>
      <c r="AC65" s="2">
        <f>AC67*AC68*(AC69-AC70)/1000</f>
        <v>924885.22070701385</v>
      </c>
      <c r="AD65" s="2" t="s">
        <v>344</v>
      </c>
    </row>
    <row r="66" spans="2:30" ht="17.25">
      <c r="B66" s="16" t="s">
        <v>288</v>
      </c>
      <c r="C66" s="9">
        <f>AC36</f>
        <v>1133.0794520547945</v>
      </c>
      <c r="D66" s="2" t="s">
        <v>289</v>
      </c>
      <c r="F66" s="17" t="s">
        <v>316</v>
      </c>
      <c r="G66" s="5">
        <v>24</v>
      </c>
      <c r="H66" s="5" t="s">
        <v>317</v>
      </c>
      <c r="J66" s="17" t="s">
        <v>316</v>
      </c>
      <c r="K66" s="97">
        <f>10/60</f>
        <v>0.16666666666666666</v>
      </c>
      <c r="L66" s="5" t="s">
        <v>317</v>
      </c>
      <c r="N66" s="17" t="s">
        <v>318</v>
      </c>
      <c r="O66" s="7">
        <f>(O65/100)*Q32</f>
        <v>7.6695315410958891</v>
      </c>
      <c r="P66" s="5" t="s">
        <v>274</v>
      </c>
      <c r="S66" s="17" t="s">
        <v>65</v>
      </c>
      <c r="T66" s="2">
        <v>24</v>
      </c>
      <c r="U66" s="2" t="s">
        <v>317</v>
      </c>
      <c r="X66" s="132" t="s">
        <v>347</v>
      </c>
      <c r="Y66" s="5">
        <v>30</v>
      </c>
      <c r="Z66" s="5" t="s">
        <v>348</v>
      </c>
      <c r="AB66" s="309"/>
      <c r="AC66" s="9">
        <f>AC65/(24*60*60)</f>
        <v>10.704690054479327</v>
      </c>
      <c r="AD66" s="2" t="s">
        <v>349</v>
      </c>
    </row>
    <row r="67" spans="2:30" ht="17.25">
      <c r="B67" s="16" t="s">
        <v>70</v>
      </c>
      <c r="C67" s="2">
        <f>Y38/100</f>
        <v>0.04</v>
      </c>
      <c r="D67" s="2" t="s">
        <v>319</v>
      </c>
      <c r="F67" s="17" t="s">
        <v>320</v>
      </c>
      <c r="G67" s="2">
        <v>43.5</v>
      </c>
      <c r="H67" s="5" t="s">
        <v>287</v>
      </c>
      <c r="J67" s="17" t="s">
        <v>321</v>
      </c>
      <c r="K67" s="5">
        <v>50</v>
      </c>
      <c r="L67" s="5" t="s">
        <v>322</v>
      </c>
      <c r="N67" s="17" t="s">
        <v>65</v>
      </c>
      <c r="O67" s="2">
        <v>4</v>
      </c>
      <c r="P67" s="5" t="s">
        <v>317</v>
      </c>
      <c r="S67" s="17" t="s">
        <v>288</v>
      </c>
      <c r="T67" s="9">
        <f>T65*(T66/24)</f>
        <v>0.45135334899127055</v>
      </c>
      <c r="U67" s="2" t="s">
        <v>289</v>
      </c>
      <c r="X67" s="132" t="s">
        <v>351</v>
      </c>
      <c r="Y67" s="5">
        <f>X15</f>
        <v>96.5</v>
      </c>
      <c r="Z67" s="5" t="s">
        <v>348</v>
      </c>
      <c r="AB67" s="29" t="s">
        <v>335</v>
      </c>
      <c r="AC67" s="9">
        <f>Y65</f>
        <v>3327.2843138001003</v>
      </c>
      <c r="AD67" s="2" t="s">
        <v>274</v>
      </c>
    </row>
    <row r="68" spans="2:30" ht="17.25">
      <c r="B68" s="16" t="s">
        <v>323</v>
      </c>
      <c r="C68" s="5">
        <v>50</v>
      </c>
      <c r="D68" s="2" t="s">
        <v>33</v>
      </c>
      <c r="F68" s="17" t="s">
        <v>567</v>
      </c>
      <c r="G68" s="71">
        <f>ROUND(G65/G67,0)</f>
        <v>6</v>
      </c>
      <c r="H68" s="2"/>
      <c r="J68" s="76" t="s">
        <v>326</v>
      </c>
      <c r="K68" s="7">
        <f>K67*M32</f>
        <v>22425.530821917804</v>
      </c>
      <c r="L68" s="5" t="s">
        <v>322</v>
      </c>
      <c r="N68" s="17" t="s">
        <v>288</v>
      </c>
      <c r="O68" s="7">
        <f>(R28/24)*O67</f>
        <v>0.72104795446480663</v>
      </c>
      <c r="P68" s="2" t="s">
        <v>289</v>
      </c>
      <c r="AB68" s="29" t="s">
        <v>354</v>
      </c>
      <c r="AC68" s="2">
        <v>4180</v>
      </c>
      <c r="AD68" s="2" t="s">
        <v>355</v>
      </c>
    </row>
    <row r="69" spans="2:30" ht="17.25">
      <c r="B69" s="16" t="s">
        <v>328</v>
      </c>
      <c r="C69" s="9">
        <f>C66*C68</f>
        <v>56653.972602739726</v>
      </c>
      <c r="D69" s="2" t="s">
        <v>228</v>
      </c>
      <c r="J69" s="314" t="s">
        <v>638</v>
      </c>
      <c r="K69" s="314"/>
      <c r="L69" s="314"/>
      <c r="N69" s="17" t="s">
        <v>331</v>
      </c>
      <c r="O69" s="9">
        <v>65.436870624456446</v>
      </c>
      <c r="P69" s="5" t="s">
        <v>274</v>
      </c>
      <c r="S69" s="314" t="s">
        <v>639</v>
      </c>
      <c r="T69" s="314"/>
      <c r="U69" s="314"/>
      <c r="X69" s="132" t="s">
        <v>286</v>
      </c>
      <c r="Y69" s="9">
        <f>0.575168003325301/5</f>
        <v>0.11503360066506021</v>
      </c>
      <c r="Z69" s="5" t="s">
        <v>287</v>
      </c>
      <c r="AB69" s="29" t="s">
        <v>356</v>
      </c>
      <c r="AC69" s="2">
        <f>Y67</f>
        <v>96.5</v>
      </c>
      <c r="AD69" s="2" t="s">
        <v>348</v>
      </c>
    </row>
    <row r="70" spans="2:30" ht="17.25">
      <c r="B70" s="16" t="s">
        <v>65</v>
      </c>
      <c r="C70" s="2">
        <v>24</v>
      </c>
      <c r="D70" s="2" t="s">
        <v>317</v>
      </c>
      <c r="F70" s="314" t="s">
        <v>640</v>
      </c>
      <c r="G70" s="314"/>
      <c r="H70" s="314"/>
      <c r="J70" s="17" t="s">
        <v>65</v>
      </c>
      <c r="K70" s="2">
        <v>15</v>
      </c>
      <c r="L70" s="5" t="s">
        <v>641</v>
      </c>
      <c r="N70" s="314" t="s">
        <v>642</v>
      </c>
      <c r="O70" s="314"/>
      <c r="P70" s="314"/>
      <c r="S70" s="17" t="s">
        <v>315</v>
      </c>
      <c r="T70" s="9">
        <f>R28</f>
        <v>4.3262877267888395</v>
      </c>
      <c r="U70" s="2" t="s">
        <v>23</v>
      </c>
      <c r="AB70" s="29" t="s">
        <v>358</v>
      </c>
      <c r="AC70" s="2">
        <f>Y66</f>
        <v>30</v>
      </c>
      <c r="AD70" s="2" t="s">
        <v>348</v>
      </c>
    </row>
    <row r="71" spans="2:30" ht="17.25">
      <c r="F71" s="17" t="s">
        <v>286</v>
      </c>
      <c r="G71" s="9">
        <f>Y69</f>
        <v>0.11503360066506021</v>
      </c>
      <c r="H71" s="5" t="s">
        <v>287</v>
      </c>
      <c r="J71" s="17" t="s">
        <v>288</v>
      </c>
      <c r="K71" s="9">
        <f>(P28*K70)/(24*60)</f>
        <v>3.4659211602084378E-2</v>
      </c>
      <c r="L71" s="2" t="s">
        <v>289</v>
      </c>
      <c r="N71" s="17" t="s">
        <v>593</v>
      </c>
      <c r="O71" s="2">
        <v>40</v>
      </c>
      <c r="P71" s="5" t="s">
        <v>17</v>
      </c>
      <c r="S71" s="17" t="s">
        <v>65</v>
      </c>
      <c r="T71" s="2">
        <v>24</v>
      </c>
      <c r="U71" s="2" t="s">
        <v>317</v>
      </c>
    </row>
    <row r="72" spans="2:30" ht="17.25">
      <c r="N72" s="76" t="s">
        <v>65</v>
      </c>
      <c r="O72" s="2">
        <v>1</v>
      </c>
      <c r="P72" s="5" t="s">
        <v>317</v>
      </c>
      <c r="S72" s="17" t="s">
        <v>288</v>
      </c>
      <c r="T72" s="9">
        <f>T70*(T71/24)</f>
        <v>4.3262877267888395</v>
      </c>
      <c r="U72" s="2" t="s">
        <v>289</v>
      </c>
      <c r="AB72" s="256" t="s">
        <v>361</v>
      </c>
      <c r="AC72" s="256"/>
      <c r="AD72" s="256"/>
    </row>
    <row r="73" spans="2:30" ht="17.25">
      <c r="N73" s="76" t="s">
        <v>288</v>
      </c>
      <c r="O73" s="9">
        <f>O28*(O72/24)</f>
        <v>0.31617229874852015</v>
      </c>
      <c r="P73" s="2" t="s">
        <v>289</v>
      </c>
      <c r="AB73" s="29" t="s">
        <v>271</v>
      </c>
      <c r="AC73" s="127">
        <f>AC66</f>
        <v>10.704690054479327</v>
      </c>
      <c r="AD73" s="2" t="s">
        <v>349</v>
      </c>
    </row>
    <row r="74" spans="2:30">
      <c r="AB74" s="29" t="s">
        <v>364</v>
      </c>
      <c r="AC74" s="2">
        <v>2200.6999999999998</v>
      </c>
      <c r="AD74" s="2" t="s">
        <v>365</v>
      </c>
    </row>
    <row r="75" spans="2:30" ht="20.25" thickBot="1">
      <c r="B75" s="291" t="s">
        <v>332</v>
      </c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AB75" s="309" t="s">
        <v>367</v>
      </c>
      <c r="AC75" s="9">
        <f>AC73/AC74</f>
        <v>4.8642205000587668E-3</v>
      </c>
      <c r="AD75" s="2" t="s">
        <v>368</v>
      </c>
    </row>
    <row r="76" spans="2:30" ht="15.75" thickTop="1">
      <c r="AB76" s="309"/>
      <c r="AC76" s="9">
        <f>AC75*24*60*60</f>
        <v>420.26865120507745</v>
      </c>
      <c r="AD76" s="2" t="s">
        <v>370</v>
      </c>
    </row>
    <row r="77" spans="2:30">
      <c r="B77" s="303" t="s">
        <v>334</v>
      </c>
      <c r="C77" s="303"/>
      <c r="D77" s="303"/>
      <c r="E77" s="303"/>
      <c r="F77" s="303"/>
      <c r="G77" s="303"/>
      <c r="I77" s="303" t="s">
        <v>334</v>
      </c>
      <c r="J77" s="303"/>
      <c r="K77" s="303"/>
      <c r="L77" s="303"/>
      <c r="M77" s="303"/>
      <c r="N77" s="303"/>
      <c r="O77" s="303"/>
      <c r="P77" s="303"/>
      <c r="AB77" s="29" t="s">
        <v>227</v>
      </c>
      <c r="AC77" s="2">
        <v>120</v>
      </c>
      <c r="AD77" s="2" t="s">
        <v>348</v>
      </c>
    </row>
    <row r="78" spans="2:30">
      <c r="B78" s="31" t="s">
        <v>337</v>
      </c>
      <c r="C78" s="308" t="s">
        <v>338</v>
      </c>
      <c r="D78" s="308"/>
      <c r="E78" s="31" t="s">
        <v>339</v>
      </c>
      <c r="F78" s="308" t="s">
        <v>340</v>
      </c>
      <c r="G78" s="308"/>
      <c r="I78" s="31" t="s">
        <v>341</v>
      </c>
      <c r="J78" s="31" t="s">
        <v>342</v>
      </c>
      <c r="K78" s="308" t="s">
        <v>340</v>
      </c>
      <c r="L78" s="308"/>
      <c r="M78" s="31" t="s">
        <v>339</v>
      </c>
      <c r="N78" s="31" t="s">
        <v>343</v>
      </c>
      <c r="O78" s="31" t="s">
        <v>214</v>
      </c>
      <c r="P78" s="31" t="s">
        <v>17</v>
      </c>
    </row>
    <row r="79" spans="2:30" ht="20.25" thickBot="1">
      <c r="B79" s="2">
        <v>1</v>
      </c>
      <c r="C79" s="2">
        <v>4</v>
      </c>
      <c r="D79" s="2" t="s">
        <v>345</v>
      </c>
      <c r="E79" s="20">
        <f>'Escenario 1'!E69</f>
        <v>6774</v>
      </c>
      <c r="F79" s="9">
        <f>(C148*C147)/C146</f>
        <v>15.737214611872146</v>
      </c>
      <c r="G79" s="2" t="s">
        <v>345</v>
      </c>
      <c r="I79" s="1">
        <v>1</v>
      </c>
      <c r="J79" s="1" t="s">
        <v>346</v>
      </c>
      <c r="K79" s="9">
        <f>+IF(F79/C79&lt;1,C79,IF(F79/C79&lt;10,F79,F79/(1+INT(F79/(C79*10)))))</f>
        <v>15.737214611872146</v>
      </c>
      <c r="L79" s="2" t="s">
        <v>345</v>
      </c>
      <c r="M79" s="20">
        <f t="shared" ref="M79:M103" si="3">E79*(K79/C79)^$D$105</f>
        <v>21701.156903190953</v>
      </c>
      <c r="N79" s="2">
        <f>+IF(B79=1,ROUNDUP(F79/K79,0),0)</f>
        <v>1</v>
      </c>
      <c r="O79" s="20">
        <f>M79*N79</f>
        <v>21701.156903190953</v>
      </c>
      <c r="P79" s="35">
        <f t="shared" ref="P79:P103" si="4">(O79/$O$104)</f>
        <v>2.5465572699165773E-2</v>
      </c>
      <c r="X79" s="317" t="s">
        <v>644</v>
      </c>
      <c r="Y79" s="317"/>
      <c r="Z79" s="317"/>
      <c r="AA79" s="317"/>
      <c r="AB79" s="317"/>
      <c r="AC79" s="317"/>
      <c r="AD79" s="317"/>
    </row>
    <row r="80" spans="2:30" ht="18" thickTop="1">
      <c r="B80" s="2">
        <v>1</v>
      </c>
      <c r="C80" s="2">
        <v>200</v>
      </c>
      <c r="D80" s="2" t="s">
        <v>345</v>
      </c>
      <c r="E80" s="20">
        <f>'Escenario 1'!E70</f>
        <v>2822.5</v>
      </c>
      <c r="F80" s="9">
        <f>C149*C148*60</f>
        <v>679.84767123287668</v>
      </c>
      <c r="G80" s="2" t="s">
        <v>345</v>
      </c>
      <c r="I80" s="1">
        <v>2</v>
      </c>
      <c r="J80" s="1" t="s">
        <v>350</v>
      </c>
      <c r="K80" s="9">
        <f>+IF(F80/C80&lt;1,C80,IF(F80/C80&lt;10,F80,F80/(1+INT(F80/(C80*10)))))</f>
        <v>679.84767123287668</v>
      </c>
      <c r="L80" s="2" t="s">
        <v>345</v>
      </c>
      <c r="M80" s="20">
        <f t="shared" si="3"/>
        <v>7985.6142295367554</v>
      </c>
      <c r="N80" s="2">
        <f>+IF(B80=1,ROUNDUP(F80/K80,0),0)</f>
        <v>1</v>
      </c>
      <c r="O80" s="20">
        <f>M80*N80</f>
        <v>7985.6142295367554</v>
      </c>
      <c r="P80" s="35">
        <f t="shared" si="4"/>
        <v>9.3708478592613182E-3</v>
      </c>
    </row>
    <row r="81" spans="2:30" ht="18">
      <c r="B81" s="2">
        <v>1</v>
      </c>
      <c r="C81" s="2">
        <v>4</v>
      </c>
      <c r="D81" s="2" t="s">
        <v>352</v>
      </c>
      <c r="E81" s="20">
        <f>'Escenario 1'!E71</f>
        <v>564.5</v>
      </c>
      <c r="F81" s="9">
        <f>(C151*C148*C150)/C146</f>
        <v>29.507277397260271</v>
      </c>
      <c r="G81" s="2" t="s">
        <v>352</v>
      </c>
      <c r="I81" s="1">
        <v>3</v>
      </c>
      <c r="J81" s="1" t="s">
        <v>353</v>
      </c>
      <c r="K81" s="9">
        <f t="shared" ref="K81:K103" si="5">+IF(F81/C81&lt;1,C81,IF(F81/C81&lt;10,F81,F81/(1+INT(F81/(C81*10)))))</f>
        <v>29.507277397260271</v>
      </c>
      <c r="L81" s="2" t="s">
        <v>352</v>
      </c>
      <c r="M81" s="20">
        <f t="shared" si="3"/>
        <v>3085.6930490457175</v>
      </c>
      <c r="N81" s="2">
        <f t="shared" ref="N81:N103" si="6">+IF(B81=1,ROUNDUP(F81/K81,0),0)</f>
        <v>1</v>
      </c>
      <c r="O81" s="20">
        <f t="shared" ref="O81:O103" si="7">M81*N81</f>
        <v>3085.6930490457175</v>
      </c>
      <c r="P81" s="35">
        <f t="shared" si="4"/>
        <v>3.620956293635659E-3</v>
      </c>
      <c r="X81" s="285" t="s">
        <v>335</v>
      </c>
      <c r="Y81" s="7">
        <f>R28</f>
        <v>4.3262877267888395</v>
      </c>
      <c r="Z81" s="5" t="s">
        <v>23</v>
      </c>
      <c r="AB81" s="285" t="s">
        <v>336</v>
      </c>
      <c r="AC81" s="285"/>
      <c r="AD81" s="285"/>
    </row>
    <row r="82" spans="2:30" ht="17.25">
      <c r="B82" s="2">
        <v>1</v>
      </c>
      <c r="C82" s="2">
        <v>200</v>
      </c>
      <c r="D82" s="2" t="s">
        <v>289</v>
      </c>
      <c r="E82" s="20">
        <f>'Escenario 1'!E72</f>
        <v>10000</v>
      </c>
      <c r="F82" s="9">
        <f>C148</f>
        <v>1133.0794520547945</v>
      </c>
      <c r="G82" s="2" t="s">
        <v>289</v>
      </c>
      <c r="I82" s="1">
        <v>4</v>
      </c>
      <c r="J82" s="1" t="s">
        <v>308</v>
      </c>
      <c r="K82" s="9">
        <f t="shared" si="5"/>
        <v>1133.0794520547945</v>
      </c>
      <c r="L82" s="2" t="s">
        <v>289</v>
      </c>
      <c r="M82" s="20">
        <f t="shared" si="3"/>
        <v>43676.297243828398</v>
      </c>
      <c r="N82" s="2">
        <f t="shared" si="6"/>
        <v>1</v>
      </c>
      <c r="O82" s="20">
        <f t="shared" si="7"/>
        <v>43676.297243828398</v>
      </c>
      <c r="P82" s="35">
        <f t="shared" si="4"/>
        <v>5.1252655683510624E-2</v>
      </c>
      <c r="X82" s="285"/>
      <c r="Y82" s="7">
        <f>R29</f>
        <v>4326.2877267888398</v>
      </c>
      <c r="Z82" s="2" t="s">
        <v>274</v>
      </c>
      <c r="AB82" s="309" t="s">
        <v>271</v>
      </c>
      <c r="AC82" s="2">
        <f>AC84*AC85*(AC86-AC87)/1000</f>
        <v>361677.65395954699</v>
      </c>
      <c r="AD82" s="2" t="s">
        <v>344</v>
      </c>
    </row>
    <row r="83" spans="2:30" ht="17.25">
      <c r="B83" s="2">
        <v>1</v>
      </c>
      <c r="C83" s="2">
        <v>1</v>
      </c>
      <c r="D83" s="2" t="s">
        <v>289</v>
      </c>
      <c r="E83" s="20">
        <f>'Escenario 1'!E73</f>
        <v>564.5</v>
      </c>
      <c r="F83" s="9">
        <f>F79</f>
        <v>15.737214611872146</v>
      </c>
      <c r="G83" s="2" t="s">
        <v>289</v>
      </c>
      <c r="I83" s="1">
        <v>5</v>
      </c>
      <c r="J83" s="1" t="s">
        <v>568</v>
      </c>
      <c r="K83" s="9">
        <f t="shared" si="5"/>
        <v>7.8686073059360728</v>
      </c>
      <c r="L83" s="2" t="s">
        <v>289</v>
      </c>
      <c r="M83" s="20">
        <f t="shared" si="3"/>
        <v>3259.6962830318425</v>
      </c>
      <c r="N83" s="2">
        <f t="shared" si="6"/>
        <v>2</v>
      </c>
      <c r="O83" s="20">
        <f t="shared" si="7"/>
        <v>6519.3925660636851</v>
      </c>
      <c r="P83" s="35">
        <f t="shared" si="4"/>
        <v>7.6502863919242926E-3</v>
      </c>
      <c r="X83" s="132" t="s">
        <v>347</v>
      </c>
      <c r="Y83" s="5">
        <v>30</v>
      </c>
      <c r="Z83" s="5" t="s">
        <v>348</v>
      </c>
      <c r="AB83" s="309"/>
      <c r="AC83" s="9">
        <f>AC82/(24*60*60)</f>
        <v>4.1860839578651277</v>
      </c>
      <c r="AD83" s="2" t="s">
        <v>349</v>
      </c>
    </row>
    <row r="84" spans="2:30" ht="17.25">
      <c r="B84" s="2">
        <v>1</v>
      </c>
      <c r="C84" s="9">
        <v>9.8357591324200904</v>
      </c>
      <c r="D84" s="2" t="s">
        <v>345</v>
      </c>
      <c r="E84" s="20">
        <v>274000</v>
      </c>
      <c r="F84" s="9">
        <f>I28/24</f>
        <v>9.8357591324200904</v>
      </c>
      <c r="G84" s="2" t="s">
        <v>345</v>
      </c>
      <c r="I84" s="1">
        <v>6</v>
      </c>
      <c r="J84" s="157" t="s">
        <v>566</v>
      </c>
      <c r="K84" s="9">
        <f t="shared" si="5"/>
        <v>9.8357591324200904</v>
      </c>
      <c r="L84" s="2" t="s">
        <v>345</v>
      </c>
      <c r="M84" s="20">
        <f t="shared" si="3"/>
        <v>274000</v>
      </c>
      <c r="N84" s="2">
        <f t="shared" si="6"/>
        <v>1</v>
      </c>
      <c r="O84" s="20">
        <f t="shared" si="7"/>
        <v>274000</v>
      </c>
      <c r="P84" s="35">
        <f t="shared" si="4"/>
        <v>0.32152972077472214</v>
      </c>
      <c r="X84" s="132" t="s">
        <v>351</v>
      </c>
      <c r="Y84" s="5">
        <v>50</v>
      </c>
      <c r="Z84" s="5" t="s">
        <v>348</v>
      </c>
      <c r="AB84" s="29" t="s">
        <v>335</v>
      </c>
      <c r="AC84" s="9">
        <f>Y82</f>
        <v>4326.2877267888398</v>
      </c>
      <c r="AD84" s="2" t="s">
        <v>274</v>
      </c>
    </row>
    <row r="85" spans="2:30" ht="17.25">
      <c r="B85" s="2">
        <v>1</v>
      </c>
      <c r="C85" s="9">
        <f>C86</f>
        <v>0.31617229874852015</v>
      </c>
      <c r="D85" s="2" t="s">
        <v>289</v>
      </c>
      <c r="E85" s="20">
        <f>E87*0.25</f>
        <v>11600</v>
      </c>
      <c r="F85" s="9">
        <f>O73</f>
        <v>0.31617229874852015</v>
      </c>
      <c r="G85" s="2" t="s">
        <v>289</v>
      </c>
      <c r="I85" s="1">
        <v>7</v>
      </c>
      <c r="J85" s="157" t="s">
        <v>360</v>
      </c>
      <c r="K85" s="9">
        <f t="shared" si="5"/>
        <v>0.31617229874852015</v>
      </c>
      <c r="L85" s="2" t="s">
        <v>289</v>
      </c>
      <c r="M85" s="20">
        <f t="shared" si="3"/>
        <v>11600</v>
      </c>
      <c r="N85" s="2">
        <f t="shared" si="6"/>
        <v>1</v>
      </c>
      <c r="O85" s="20">
        <v>16050</v>
      </c>
      <c r="P85" s="35">
        <f t="shared" si="4"/>
        <v>1.8834131454139747E-2</v>
      </c>
      <c r="AB85" s="29" t="s">
        <v>354</v>
      </c>
      <c r="AC85" s="2">
        <v>4180</v>
      </c>
      <c r="AD85" s="2" t="s">
        <v>355</v>
      </c>
    </row>
    <row r="86" spans="2:30" ht="17.25">
      <c r="B86" s="2">
        <v>1</v>
      </c>
      <c r="C86" s="9">
        <f>E235</f>
        <v>0.31617229874852015</v>
      </c>
      <c r="D86" s="2" t="s">
        <v>289</v>
      </c>
      <c r="E86" s="20">
        <v>40500</v>
      </c>
      <c r="F86" s="9">
        <f>O73</f>
        <v>0.31617229874852015</v>
      </c>
      <c r="G86" s="2" t="s">
        <v>289</v>
      </c>
      <c r="I86" s="1">
        <v>8</v>
      </c>
      <c r="J86" s="157" t="s">
        <v>645</v>
      </c>
      <c r="K86" s="9">
        <f t="shared" si="5"/>
        <v>0.31617229874852015</v>
      </c>
      <c r="L86" s="2" t="s">
        <v>289</v>
      </c>
      <c r="M86" s="20">
        <f t="shared" si="3"/>
        <v>40500</v>
      </c>
      <c r="N86" s="2">
        <f>+IF(B86=1,ROUNDUP(F86/K86,0),0)</f>
        <v>1</v>
      </c>
      <c r="O86" s="20">
        <f>M86*N86</f>
        <v>40500</v>
      </c>
      <c r="P86" s="35">
        <f t="shared" si="4"/>
        <v>4.7525378435679735E-2</v>
      </c>
      <c r="AB86" s="29" t="s">
        <v>356</v>
      </c>
      <c r="AC86" s="2">
        <f>Y84</f>
        <v>50</v>
      </c>
      <c r="AD86" s="2" t="s">
        <v>348</v>
      </c>
    </row>
    <row r="87" spans="2:30" ht="17.25">
      <c r="B87" s="2">
        <v>1</v>
      </c>
      <c r="C87" s="9">
        <f>E239</f>
        <v>0.72104795446480663</v>
      </c>
      <c r="D87" s="2" t="s">
        <v>289</v>
      </c>
      <c r="E87" s="20">
        <v>46400</v>
      </c>
      <c r="F87" s="9">
        <f>O68</f>
        <v>0.72104795446480663</v>
      </c>
      <c r="G87" s="2" t="s">
        <v>289</v>
      </c>
      <c r="I87" s="1">
        <v>9</v>
      </c>
      <c r="J87" s="157" t="s">
        <v>646</v>
      </c>
      <c r="K87" s="9">
        <f t="shared" si="5"/>
        <v>0.72104795446480663</v>
      </c>
      <c r="L87" s="2" t="s">
        <v>289</v>
      </c>
      <c r="M87" s="20">
        <f t="shared" si="3"/>
        <v>46400</v>
      </c>
      <c r="N87" s="2">
        <f t="shared" si="6"/>
        <v>1</v>
      </c>
      <c r="O87" s="213">
        <f t="shared" si="7"/>
        <v>46400</v>
      </c>
      <c r="P87" s="35">
        <f t="shared" si="4"/>
        <v>5.4448828627544188E-2</v>
      </c>
      <c r="AB87" s="29" t="s">
        <v>358</v>
      </c>
      <c r="AC87" s="2">
        <f>Y83</f>
        <v>30</v>
      </c>
      <c r="AD87" s="2" t="s">
        <v>348</v>
      </c>
    </row>
    <row r="88" spans="2:30" ht="17.25">
      <c r="B88" s="2">
        <v>1</v>
      </c>
      <c r="C88" s="9">
        <f>E247</f>
        <v>0.45135334899127055</v>
      </c>
      <c r="D88" s="2" t="s">
        <v>289</v>
      </c>
      <c r="E88" s="20">
        <v>10000</v>
      </c>
      <c r="F88" s="9">
        <f>T65</f>
        <v>0.45135334899127055</v>
      </c>
      <c r="G88" s="2" t="s">
        <v>289</v>
      </c>
      <c r="I88" s="1">
        <v>10</v>
      </c>
      <c r="J88" s="157" t="s">
        <v>647</v>
      </c>
      <c r="K88" s="9">
        <f t="shared" si="5"/>
        <v>0.45135334899127055</v>
      </c>
      <c r="L88" s="2" t="s">
        <v>289</v>
      </c>
      <c r="M88" s="20">
        <f t="shared" si="3"/>
        <v>10000</v>
      </c>
      <c r="N88" s="2">
        <f t="shared" si="6"/>
        <v>1</v>
      </c>
      <c r="O88" s="32">
        <f t="shared" si="7"/>
        <v>10000</v>
      </c>
      <c r="P88" s="35">
        <f t="shared" si="4"/>
        <v>1.1734661342143144E-2</v>
      </c>
    </row>
    <row r="89" spans="2:30" ht="17.25">
      <c r="B89" s="2">
        <v>1</v>
      </c>
      <c r="C89" s="9">
        <v>2.16</v>
      </c>
      <c r="D89" s="2" t="s">
        <v>289</v>
      </c>
      <c r="E89" s="20">
        <v>14400</v>
      </c>
      <c r="F89" s="9">
        <f>T72</f>
        <v>4.3262877267888395</v>
      </c>
      <c r="G89" s="2" t="s">
        <v>289</v>
      </c>
      <c r="I89" s="1">
        <v>11</v>
      </c>
      <c r="J89" s="157" t="s">
        <v>648</v>
      </c>
      <c r="K89" s="9">
        <f t="shared" si="5"/>
        <v>4.3262877267888395</v>
      </c>
      <c r="L89" s="2" t="s">
        <v>289</v>
      </c>
      <c r="M89" s="20">
        <f t="shared" si="3"/>
        <v>25988.121780913603</v>
      </c>
      <c r="N89" s="2">
        <f>+IF(B89=1,ROUNDUP(F89/K89,0),0)</f>
        <v>1</v>
      </c>
      <c r="O89" s="32">
        <f>M89*N89</f>
        <v>25988.121780913603</v>
      </c>
      <c r="P89" s="35">
        <f t="shared" si="4"/>
        <v>3.0496180801739513E-2</v>
      </c>
      <c r="AB89" s="256" t="s">
        <v>361</v>
      </c>
      <c r="AC89" s="256"/>
      <c r="AD89" s="256"/>
    </row>
    <row r="90" spans="2:30" ht="17.25">
      <c r="B90" s="2">
        <v>1</v>
      </c>
      <c r="C90" s="9">
        <f>C220/1000</f>
        <v>1.5737214611872143</v>
      </c>
      <c r="D90" s="2" t="s">
        <v>345</v>
      </c>
      <c r="E90" s="20">
        <f>J220</f>
        <v>4780</v>
      </c>
      <c r="F90" s="9">
        <f>D28/24</f>
        <v>1.5737214611872146</v>
      </c>
      <c r="G90" s="2" t="s">
        <v>345</v>
      </c>
      <c r="I90" s="1">
        <v>12</v>
      </c>
      <c r="J90" s="157" t="s">
        <v>366</v>
      </c>
      <c r="K90" s="9">
        <f t="shared" si="5"/>
        <v>1.5737214611872146</v>
      </c>
      <c r="L90" s="2" t="s">
        <v>345</v>
      </c>
      <c r="M90" s="20">
        <f t="shared" si="3"/>
        <v>4780.0000000000009</v>
      </c>
      <c r="N90" s="2">
        <f t="shared" si="6"/>
        <v>1</v>
      </c>
      <c r="O90" s="32">
        <f t="shared" si="7"/>
        <v>4780.0000000000009</v>
      </c>
      <c r="P90" s="35">
        <f t="shared" si="4"/>
        <v>5.6091681215444241E-3</v>
      </c>
      <c r="AB90" s="29" t="s">
        <v>271</v>
      </c>
      <c r="AC90" s="127">
        <f>AC83</f>
        <v>4.1860839578651277</v>
      </c>
      <c r="AD90" s="2" t="s">
        <v>349</v>
      </c>
    </row>
    <row r="91" spans="2:30" ht="17.25">
      <c r="B91" s="2">
        <v>1</v>
      </c>
      <c r="C91" s="9">
        <f t="shared" ref="C91:C95" si="8">C221/1000</f>
        <v>9.245613584474885</v>
      </c>
      <c r="D91" s="2" t="s">
        <v>345</v>
      </c>
      <c r="E91" s="20">
        <f t="shared" ref="E91:E97" si="9">J221</f>
        <v>5230</v>
      </c>
      <c r="F91" s="9">
        <f>E28/24</f>
        <v>9.245613584474885</v>
      </c>
      <c r="G91" s="2" t="s">
        <v>345</v>
      </c>
      <c r="I91" s="1">
        <v>13</v>
      </c>
      <c r="J91" s="157" t="s">
        <v>369</v>
      </c>
      <c r="K91" s="9">
        <f t="shared" si="5"/>
        <v>9.245613584474885</v>
      </c>
      <c r="L91" s="2" t="s">
        <v>345</v>
      </c>
      <c r="M91" s="20">
        <f t="shared" si="3"/>
        <v>5230</v>
      </c>
      <c r="N91" s="2">
        <f>+IF(B91=1,ROUNDUP(F91/K91,0),0)</f>
        <v>1</v>
      </c>
      <c r="O91" s="32">
        <f>M91*N91</f>
        <v>5230</v>
      </c>
      <c r="P91" s="35">
        <f t="shared" si="4"/>
        <v>6.1372278819408644E-3</v>
      </c>
      <c r="AB91" s="29" t="s">
        <v>364</v>
      </c>
      <c r="AC91" s="2">
        <v>2200.6999999999998</v>
      </c>
      <c r="AD91" s="2" t="s">
        <v>365</v>
      </c>
    </row>
    <row r="92" spans="2:30" ht="17.25">
      <c r="B92" s="2">
        <v>1</v>
      </c>
      <c r="C92" s="9">
        <f t="shared" si="8"/>
        <v>4.9178795662100443</v>
      </c>
      <c r="D92" s="2" t="s">
        <v>345</v>
      </c>
      <c r="E92" s="20">
        <f t="shared" si="9"/>
        <v>5000</v>
      </c>
      <c r="F92" s="9">
        <f>F28/24</f>
        <v>4.9178795662100452</v>
      </c>
      <c r="G92" s="2" t="s">
        <v>345</v>
      </c>
      <c r="I92" s="1">
        <v>14</v>
      </c>
      <c r="J92" s="157" t="s">
        <v>371</v>
      </c>
      <c r="K92" s="9">
        <f t="shared" si="5"/>
        <v>4.9178795662100452</v>
      </c>
      <c r="L92" s="2" t="s">
        <v>345</v>
      </c>
      <c r="M92" s="20">
        <f t="shared" si="3"/>
        <v>5000.0000000000009</v>
      </c>
      <c r="N92" s="2">
        <f t="shared" si="6"/>
        <v>1</v>
      </c>
      <c r="O92" s="32">
        <f t="shared" si="7"/>
        <v>5000.0000000000009</v>
      </c>
      <c r="P92" s="35">
        <f t="shared" si="4"/>
        <v>5.8673306710715738E-3</v>
      </c>
      <c r="AB92" s="309" t="s">
        <v>367</v>
      </c>
      <c r="AC92" s="9">
        <f>AC90/AC91</f>
        <v>1.9021602026015032E-3</v>
      </c>
      <c r="AD92" s="2" t="s">
        <v>368</v>
      </c>
    </row>
    <row r="93" spans="2:30" ht="17.25">
      <c r="B93" s="2">
        <v>1</v>
      </c>
      <c r="C93" s="9">
        <f t="shared" si="8"/>
        <v>9.8357591324200886</v>
      </c>
      <c r="D93" s="2" t="s">
        <v>345</v>
      </c>
      <c r="E93" s="20">
        <f t="shared" si="9"/>
        <v>5340</v>
      </c>
      <c r="F93" s="9">
        <f>I28/24</f>
        <v>9.8357591324200904</v>
      </c>
      <c r="G93" s="2" t="s">
        <v>345</v>
      </c>
      <c r="I93" s="1">
        <v>15</v>
      </c>
      <c r="J93" s="157" t="s">
        <v>372</v>
      </c>
      <c r="K93" s="9">
        <f t="shared" si="5"/>
        <v>9.8357591324200904</v>
      </c>
      <c r="L93" s="2" t="s">
        <v>345</v>
      </c>
      <c r="M93" s="20">
        <f t="shared" si="3"/>
        <v>5340.0000000000009</v>
      </c>
      <c r="N93" s="2">
        <f t="shared" si="6"/>
        <v>1</v>
      </c>
      <c r="O93" s="32">
        <f t="shared" si="7"/>
        <v>5340.0000000000009</v>
      </c>
      <c r="P93" s="35">
        <f t="shared" si="4"/>
        <v>6.2663091567044405E-3</v>
      </c>
      <c r="AB93" s="309"/>
      <c r="AC93" s="9">
        <f>AC92*24*60*60</f>
        <v>164.34664150476988</v>
      </c>
      <c r="AD93" s="2" t="s">
        <v>370</v>
      </c>
    </row>
    <row r="94" spans="2:30" ht="17.25">
      <c r="B94" s="2">
        <v>1</v>
      </c>
      <c r="C94" s="9">
        <f t="shared" si="8"/>
        <v>0.20764380390664633</v>
      </c>
      <c r="D94" s="2" t="s">
        <v>345</v>
      </c>
      <c r="E94" s="20">
        <f t="shared" si="9"/>
        <v>4560</v>
      </c>
      <c r="F94" s="9">
        <f>L28/24</f>
        <v>0.2076438039066463</v>
      </c>
      <c r="G94" s="2" t="s">
        <v>345</v>
      </c>
      <c r="I94" s="1">
        <v>16</v>
      </c>
      <c r="J94" s="157" t="s">
        <v>373</v>
      </c>
      <c r="K94" s="9">
        <f t="shared" si="5"/>
        <v>0.2076438039066463</v>
      </c>
      <c r="L94" s="2" t="s">
        <v>345</v>
      </c>
      <c r="M94" s="20">
        <f t="shared" si="3"/>
        <v>4559.9999999999991</v>
      </c>
      <c r="N94" s="2">
        <f t="shared" si="6"/>
        <v>1</v>
      </c>
      <c r="O94" s="32">
        <f t="shared" si="7"/>
        <v>4559.9999999999991</v>
      </c>
      <c r="P94" s="35">
        <f t="shared" si="4"/>
        <v>5.3510055720172728E-3</v>
      </c>
      <c r="AB94" s="29" t="s">
        <v>227</v>
      </c>
      <c r="AC94" s="2">
        <v>120</v>
      </c>
      <c r="AD94" s="2" t="s">
        <v>348</v>
      </c>
    </row>
    <row r="95" spans="2:30" ht="17.25">
      <c r="B95" s="2">
        <v>1</v>
      </c>
      <c r="C95" s="9">
        <f t="shared" si="8"/>
        <v>0.20764380390664633</v>
      </c>
      <c r="D95" s="2" t="s">
        <v>345</v>
      </c>
      <c r="E95" s="20">
        <v>4560</v>
      </c>
      <c r="F95" s="9">
        <f>M28/24</f>
        <v>0.2076438039066463</v>
      </c>
      <c r="G95" s="2" t="s">
        <v>345</v>
      </c>
      <c r="I95" s="1">
        <v>17</v>
      </c>
      <c r="J95" s="157" t="s">
        <v>374</v>
      </c>
      <c r="K95" s="9">
        <f t="shared" si="5"/>
        <v>0.2076438039066463</v>
      </c>
      <c r="L95" s="2" t="s">
        <v>345</v>
      </c>
      <c r="M95" s="20">
        <f t="shared" si="3"/>
        <v>4559.9999999999991</v>
      </c>
      <c r="N95" s="2">
        <f t="shared" si="6"/>
        <v>1</v>
      </c>
      <c r="O95" s="32">
        <f t="shared" si="7"/>
        <v>4559.9999999999991</v>
      </c>
      <c r="P95" s="35">
        <f t="shared" si="4"/>
        <v>5.3510055720172728E-3</v>
      </c>
    </row>
    <row r="96" spans="2:30" ht="17.25">
      <c r="B96" s="2">
        <v>1</v>
      </c>
      <c r="C96" s="9">
        <v>1.6937801718670722</v>
      </c>
      <c r="D96" s="2" t="s">
        <v>345</v>
      </c>
      <c r="E96" s="20">
        <v>4560</v>
      </c>
      <c r="F96" s="9">
        <f>O28/24</f>
        <v>0.31617229874852015</v>
      </c>
      <c r="G96" s="2" t="s">
        <v>345</v>
      </c>
      <c r="I96" s="1">
        <v>18</v>
      </c>
      <c r="J96" s="157" t="s">
        <v>649</v>
      </c>
      <c r="K96" s="9">
        <f t="shared" si="5"/>
        <v>1.6937801718670722</v>
      </c>
      <c r="L96" s="2" t="s">
        <v>345</v>
      </c>
      <c r="M96" s="20">
        <f t="shared" si="3"/>
        <v>4560</v>
      </c>
      <c r="N96" s="2">
        <f t="shared" si="6"/>
        <v>1</v>
      </c>
      <c r="O96" s="32">
        <f t="shared" si="7"/>
        <v>4560</v>
      </c>
      <c r="P96" s="35">
        <f t="shared" si="4"/>
        <v>5.3510055720172736E-3</v>
      </c>
    </row>
    <row r="97" spans="2:16" ht="17.25">
      <c r="B97" s="2">
        <v>1</v>
      </c>
      <c r="C97" s="9">
        <v>1.5162447195268898</v>
      </c>
      <c r="D97" s="2" t="s">
        <v>345</v>
      </c>
      <c r="E97" s="20">
        <f t="shared" si="9"/>
        <v>4560</v>
      </c>
      <c r="F97" s="9">
        <f>P28/24</f>
        <v>0.13863684640833751</v>
      </c>
      <c r="G97" s="2" t="s">
        <v>345</v>
      </c>
      <c r="I97" s="1">
        <v>19</v>
      </c>
      <c r="J97" s="157" t="s">
        <v>650</v>
      </c>
      <c r="K97" s="9">
        <f t="shared" si="5"/>
        <v>1.5162447195268898</v>
      </c>
      <c r="L97" s="2" t="s">
        <v>345</v>
      </c>
      <c r="M97" s="20">
        <f t="shared" si="3"/>
        <v>4560</v>
      </c>
      <c r="N97" s="2">
        <f t="shared" si="6"/>
        <v>1</v>
      </c>
      <c r="O97" s="32">
        <f t="shared" si="7"/>
        <v>4560</v>
      </c>
      <c r="P97" s="35">
        <f t="shared" si="4"/>
        <v>5.3510055720172736E-3</v>
      </c>
    </row>
    <row r="98" spans="2:16" ht="17.25">
      <c r="B98" s="2">
        <v>1</v>
      </c>
      <c r="C98" s="9">
        <f>C229/1000</f>
        <v>0.18026198861620166</v>
      </c>
      <c r="D98" s="2" t="s">
        <v>345</v>
      </c>
      <c r="E98" s="20">
        <v>4560</v>
      </c>
      <c r="F98" s="9">
        <f>R28/24</f>
        <v>0.18026198861620166</v>
      </c>
      <c r="G98" s="2" t="s">
        <v>345</v>
      </c>
      <c r="I98" s="1">
        <v>20</v>
      </c>
      <c r="J98" s="157" t="s">
        <v>651</v>
      </c>
      <c r="K98" s="9">
        <f t="shared" si="5"/>
        <v>0.18026198861620166</v>
      </c>
      <c r="L98" s="2" t="s">
        <v>345</v>
      </c>
      <c r="M98" s="20">
        <f t="shared" si="3"/>
        <v>4560</v>
      </c>
      <c r="N98" s="2">
        <f t="shared" si="6"/>
        <v>1</v>
      </c>
      <c r="O98" s="32">
        <f t="shared" si="7"/>
        <v>4560</v>
      </c>
      <c r="P98" s="35">
        <f t="shared" si="4"/>
        <v>5.3510055720172736E-3</v>
      </c>
    </row>
    <row r="99" spans="2:16" ht="17.25">
      <c r="B99" s="2">
        <v>1</v>
      </c>
      <c r="C99" s="9">
        <f>C230/1000</f>
        <v>0.17753545234018261</v>
      </c>
      <c r="D99" s="2" t="s">
        <v>345</v>
      </c>
      <c r="E99" s="20">
        <v>4560</v>
      </c>
      <c r="F99" s="9">
        <f>S28/24</f>
        <v>0.11163607233764511</v>
      </c>
      <c r="G99" s="2" t="s">
        <v>345</v>
      </c>
      <c r="I99" s="1">
        <v>21</v>
      </c>
      <c r="J99" s="157" t="s">
        <v>652</v>
      </c>
      <c r="K99" s="9">
        <f t="shared" si="5"/>
        <v>0.17753545234018261</v>
      </c>
      <c r="L99" s="2" t="s">
        <v>345</v>
      </c>
      <c r="M99" s="20">
        <f t="shared" si="3"/>
        <v>4560</v>
      </c>
      <c r="N99" s="2">
        <f t="shared" si="6"/>
        <v>1</v>
      </c>
      <c r="O99" s="32">
        <f t="shared" si="7"/>
        <v>4560</v>
      </c>
      <c r="P99" s="35">
        <f t="shared" si="4"/>
        <v>5.3510055720172736E-3</v>
      </c>
    </row>
    <row r="100" spans="2:16" ht="17.25">
      <c r="B100" s="2">
        <v>1</v>
      </c>
      <c r="C100" s="9">
        <f>C231/1000</f>
        <v>1.8806389541302936E-2</v>
      </c>
      <c r="D100" s="2" t="s">
        <v>345</v>
      </c>
      <c r="E100" s="20">
        <v>4560</v>
      </c>
      <c r="F100" s="9">
        <f>T28/24</f>
        <v>1.880638954130294E-2</v>
      </c>
      <c r="G100" s="2" t="s">
        <v>345</v>
      </c>
      <c r="I100" s="1">
        <v>22</v>
      </c>
      <c r="J100" s="158" t="s">
        <v>653</v>
      </c>
      <c r="K100" s="9">
        <f t="shared" si="5"/>
        <v>1.880638954130294E-2</v>
      </c>
      <c r="L100" s="2" t="s">
        <v>345</v>
      </c>
      <c r="M100" s="20">
        <f t="shared" si="3"/>
        <v>4560.0000000000009</v>
      </c>
      <c r="N100" s="2">
        <f t="shared" si="6"/>
        <v>1</v>
      </c>
      <c r="O100" s="32">
        <f t="shared" si="7"/>
        <v>4560.0000000000009</v>
      </c>
      <c r="P100" s="35">
        <f t="shared" si="4"/>
        <v>5.3510055720172754E-3</v>
      </c>
    </row>
    <row r="101" spans="2:16" ht="17.25">
      <c r="B101" s="2">
        <v>1</v>
      </c>
      <c r="C101" s="9">
        <v>1.4227753443683409</v>
      </c>
      <c r="D101" s="2" t="s">
        <v>345</v>
      </c>
      <c r="E101" s="20">
        <f>E84</f>
        <v>274000</v>
      </c>
      <c r="F101" s="9">
        <f>O28/24</f>
        <v>0.31617229874852015</v>
      </c>
      <c r="G101" s="2" t="s">
        <v>345</v>
      </c>
      <c r="I101" s="1">
        <v>23</v>
      </c>
      <c r="J101" s="157" t="s">
        <v>566</v>
      </c>
      <c r="K101" s="123">
        <f t="shared" si="5"/>
        <v>1.4227753443683409</v>
      </c>
      <c r="L101" s="2" t="s">
        <v>345</v>
      </c>
      <c r="M101" s="32">
        <f t="shared" si="3"/>
        <v>274000</v>
      </c>
      <c r="N101" s="124">
        <f t="shared" si="6"/>
        <v>1</v>
      </c>
      <c r="O101" s="32">
        <f t="shared" si="7"/>
        <v>274000</v>
      </c>
      <c r="P101" s="36">
        <f t="shared" si="4"/>
        <v>0.32152972077472214</v>
      </c>
    </row>
    <row r="102" spans="2:16" ht="17.25">
      <c r="B102" s="2">
        <v>1</v>
      </c>
      <c r="C102" s="9">
        <v>0.2</v>
      </c>
      <c r="D102" s="2" t="s">
        <v>287</v>
      </c>
      <c r="E102" s="20">
        <v>20000</v>
      </c>
      <c r="F102" s="9">
        <f>Y69</f>
        <v>0.11503360066506021</v>
      </c>
      <c r="G102" s="2" t="s">
        <v>287</v>
      </c>
      <c r="I102" s="1">
        <v>24</v>
      </c>
      <c r="J102" s="1" t="s">
        <v>654</v>
      </c>
      <c r="K102" s="9">
        <f t="shared" si="5"/>
        <v>0.2</v>
      </c>
      <c r="L102" s="2" t="s">
        <v>287</v>
      </c>
      <c r="M102" s="20">
        <f t="shared" si="3"/>
        <v>20000</v>
      </c>
      <c r="N102" s="2">
        <f t="shared" si="6"/>
        <v>1</v>
      </c>
      <c r="O102" s="32">
        <f t="shared" si="7"/>
        <v>20000</v>
      </c>
      <c r="P102" s="36">
        <f t="shared" si="4"/>
        <v>2.3469322684286288E-2</v>
      </c>
    </row>
    <row r="103" spans="2:16" ht="18" thickBot="1">
      <c r="B103" s="2">
        <v>1</v>
      </c>
      <c r="C103" s="9">
        <v>0.05</v>
      </c>
      <c r="D103" s="2" t="s">
        <v>289</v>
      </c>
      <c r="E103" s="20">
        <v>10000</v>
      </c>
      <c r="F103" s="9">
        <f>K71</f>
        <v>3.4659211602084378E-2</v>
      </c>
      <c r="G103" s="2" t="s">
        <v>289</v>
      </c>
      <c r="I103" s="1">
        <v>25</v>
      </c>
      <c r="J103" s="1" t="s">
        <v>638</v>
      </c>
      <c r="K103" s="9">
        <f t="shared" si="5"/>
        <v>0.05</v>
      </c>
      <c r="L103" s="2" t="s">
        <v>289</v>
      </c>
      <c r="M103" s="20">
        <f t="shared" si="3"/>
        <v>10000</v>
      </c>
      <c r="N103" s="2">
        <f t="shared" si="6"/>
        <v>1</v>
      </c>
      <c r="O103" s="32">
        <f t="shared" si="7"/>
        <v>10000</v>
      </c>
      <c r="P103" s="36">
        <f t="shared" si="4"/>
        <v>1.1734661342143144E-2</v>
      </c>
    </row>
    <row r="104" spans="2:16" ht="15.75" thickBot="1">
      <c r="O104" s="33">
        <f>SUM(O79:O103)</f>
        <v>852176.27577257913</v>
      </c>
      <c r="P104" s="34">
        <f>SUM(P79:P101)</f>
        <v>0.96479601597357068</v>
      </c>
    </row>
    <row r="105" spans="2:16">
      <c r="B105" s="310" t="s">
        <v>376</v>
      </c>
      <c r="C105" s="310"/>
      <c r="D105" s="1">
        <v>0.85</v>
      </c>
      <c r="E105" s="1"/>
    </row>
    <row r="106" spans="2:16">
      <c r="B106" s="252" t="s">
        <v>377</v>
      </c>
      <c r="C106" s="252"/>
      <c r="D106" s="252"/>
      <c r="E106" s="1">
        <f>0.73+2.07+2.11+1.91+2.29+1.36</f>
        <v>10.469999999999999</v>
      </c>
      <c r="I106" s="303" t="s">
        <v>378</v>
      </c>
      <c r="J106" s="303"/>
      <c r="K106" s="303"/>
      <c r="L106" s="303"/>
      <c r="M106" s="303"/>
    </row>
    <row r="107" spans="2:16">
      <c r="I107" s="31" t="s">
        <v>341</v>
      </c>
      <c r="J107" s="31" t="s">
        <v>342</v>
      </c>
      <c r="K107" s="31" t="s">
        <v>380</v>
      </c>
      <c r="L107" s="31" t="s">
        <v>381</v>
      </c>
      <c r="M107" s="31" t="s">
        <v>17</v>
      </c>
    </row>
    <row r="108" spans="2:16">
      <c r="B108" s="310" t="s">
        <v>383</v>
      </c>
      <c r="C108" s="310"/>
      <c r="D108" s="310"/>
      <c r="I108" s="1">
        <v>1</v>
      </c>
      <c r="J108" s="1" t="s">
        <v>382</v>
      </c>
      <c r="K108" s="1">
        <v>1</v>
      </c>
      <c r="L108" s="21">
        <f>O104</f>
        <v>852176.27577257913</v>
      </c>
      <c r="M108" s="35">
        <f>(L108/$L$121)</f>
        <v>0.24390243902439029</v>
      </c>
    </row>
    <row r="109" spans="2:16" ht="17.25">
      <c r="B109" s="52" t="s">
        <v>308</v>
      </c>
      <c r="C109" s="5">
        <f>'Escenario 2'!C90</f>
        <v>50</v>
      </c>
      <c r="D109" s="2" t="s">
        <v>33</v>
      </c>
      <c r="I109" s="1">
        <v>2</v>
      </c>
      <c r="J109" s="1" t="s">
        <v>386</v>
      </c>
      <c r="K109" s="1">
        <v>0.38</v>
      </c>
      <c r="L109" s="21">
        <f>K109*$L$108</f>
        <v>323826.98479358008</v>
      </c>
      <c r="M109" s="35">
        <f t="shared" ref="M109:M120" si="10">(L109/$L$121)</f>
        <v>9.2682926829268306E-2</v>
      </c>
    </row>
    <row r="110" spans="2:16" ht="17.25">
      <c r="B110" s="52" t="s">
        <v>277</v>
      </c>
      <c r="C110" s="5">
        <f>'Escenario 2'!C91</f>
        <v>0.05</v>
      </c>
      <c r="D110" s="2" t="s">
        <v>33</v>
      </c>
      <c r="I110" s="1">
        <v>3</v>
      </c>
      <c r="J110" s="1" t="s">
        <v>387</v>
      </c>
      <c r="K110" s="1">
        <v>0.12</v>
      </c>
      <c r="L110" s="21">
        <f>K110*$L$108</f>
        <v>102261.15309270949</v>
      </c>
      <c r="M110" s="35">
        <f t="shared" si="10"/>
        <v>2.9268292682926831E-2</v>
      </c>
    </row>
    <row r="111" spans="2:16" ht="18">
      <c r="B111" s="53" t="s">
        <v>143</v>
      </c>
      <c r="C111" s="5">
        <f>'Escenario 2'!C92</f>
        <v>0.1</v>
      </c>
      <c r="D111" s="2" t="s">
        <v>324</v>
      </c>
      <c r="I111" s="1">
        <v>4</v>
      </c>
      <c r="J111" s="1" t="s">
        <v>388</v>
      </c>
      <c r="K111" s="1">
        <v>0.31</v>
      </c>
      <c r="L111" s="21">
        <f>K111*$L$108</f>
        <v>264174.64548949955</v>
      </c>
      <c r="M111" s="35">
        <f t="shared" si="10"/>
        <v>7.5609756097561001E-2</v>
      </c>
    </row>
    <row r="112" spans="2:16">
      <c r="B112" s="52" t="s">
        <v>390</v>
      </c>
      <c r="C112" s="5">
        <f>'Escenario 2'!C93</f>
        <v>0.3</v>
      </c>
      <c r="D112" s="2" t="s">
        <v>324</v>
      </c>
      <c r="I112" s="1">
        <v>5</v>
      </c>
      <c r="J112" s="1" t="s">
        <v>389</v>
      </c>
      <c r="K112" s="1">
        <v>0.1</v>
      </c>
      <c r="L112" s="21">
        <f t="shared" ref="L112:L120" si="11">K112*$L$108</f>
        <v>85217.627577257925</v>
      </c>
      <c r="M112" s="35">
        <f t="shared" si="10"/>
        <v>2.4390243902439032E-2</v>
      </c>
    </row>
    <row r="113" spans="2:13">
      <c r="B113" s="52" t="s">
        <v>321</v>
      </c>
      <c r="C113" s="5">
        <f>'Escenario 2'!C94</f>
        <v>0.25</v>
      </c>
      <c r="D113" s="2" t="s">
        <v>9</v>
      </c>
      <c r="I113" s="1">
        <v>6</v>
      </c>
      <c r="J113" s="1" t="s">
        <v>391</v>
      </c>
      <c r="K113" s="1">
        <v>0.28999999999999998</v>
      </c>
      <c r="L113" s="21">
        <f t="shared" si="11"/>
        <v>247131.11997404794</v>
      </c>
      <c r="M113" s="35">
        <f t="shared" si="10"/>
        <v>7.0731707317073178E-2</v>
      </c>
    </row>
    <row r="114" spans="2:13">
      <c r="B114" s="52" t="s">
        <v>393</v>
      </c>
      <c r="C114" s="5">
        <f>'Escenario 2'!C95</f>
        <v>10</v>
      </c>
      <c r="D114" s="2" t="s">
        <v>324</v>
      </c>
      <c r="I114" s="1">
        <v>7</v>
      </c>
      <c r="J114" s="1" t="s">
        <v>392</v>
      </c>
      <c r="K114" s="1">
        <v>0.1</v>
      </c>
      <c r="L114" s="21">
        <f t="shared" si="11"/>
        <v>85217.627577257925</v>
      </c>
      <c r="M114" s="35">
        <f t="shared" si="10"/>
        <v>2.4390243902439032E-2</v>
      </c>
    </row>
    <row r="115" spans="2:13" ht="17.25">
      <c r="B115" s="52" t="s">
        <v>395</v>
      </c>
      <c r="C115" s="5">
        <f>'Escenario 2'!C96</f>
        <v>0.05</v>
      </c>
      <c r="D115" s="2" t="s">
        <v>33</v>
      </c>
      <c r="I115" s="1">
        <v>8</v>
      </c>
      <c r="J115" s="1" t="s">
        <v>394</v>
      </c>
      <c r="K115" s="1">
        <v>0.54</v>
      </c>
      <c r="L115" s="21">
        <f t="shared" si="11"/>
        <v>460175.18891719275</v>
      </c>
      <c r="M115" s="35">
        <f t="shared" si="10"/>
        <v>0.13170731707317077</v>
      </c>
    </row>
    <row r="116" spans="2:13">
      <c r="B116" s="52" t="s">
        <v>331</v>
      </c>
      <c r="C116" s="5">
        <f>'Escenario 2'!C97</f>
        <v>0.5</v>
      </c>
      <c r="D116" s="2" t="s">
        <v>324</v>
      </c>
      <c r="I116" s="1">
        <v>9</v>
      </c>
      <c r="J116" s="1" t="s">
        <v>396</v>
      </c>
      <c r="K116" s="1">
        <v>0.06</v>
      </c>
      <c r="L116" s="21">
        <f t="shared" si="11"/>
        <v>51130.576546354743</v>
      </c>
      <c r="M116" s="35">
        <f t="shared" si="10"/>
        <v>1.4634146341463415E-2</v>
      </c>
    </row>
    <row r="117" spans="2:13" ht="17.25">
      <c r="B117" s="52" t="s">
        <v>593</v>
      </c>
      <c r="C117" s="2">
        <v>0.6</v>
      </c>
      <c r="D117" s="2" t="s">
        <v>33</v>
      </c>
      <c r="E117" s="60"/>
      <c r="F117" s="62" t="s">
        <v>384</v>
      </c>
      <c r="G117" s="62" t="s">
        <v>385</v>
      </c>
      <c r="I117" s="1">
        <v>10</v>
      </c>
      <c r="J117" s="1" t="s">
        <v>397</v>
      </c>
      <c r="K117" s="1">
        <v>0.32</v>
      </c>
      <c r="L117" s="21">
        <f t="shared" si="11"/>
        <v>272696.40824722534</v>
      </c>
      <c r="M117" s="35">
        <f t="shared" si="10"/>
        <v>7.8048780487804892E-2</v>
      </c>
    </row>
    <row r="118" spans="2:13">
      <c r="B118" s="70" t="s">
        <v>655</v>
      </c>
      <c r="C118" s="65">
        <v>0.14000000000000001</v>
      </c>
      <c r="D118" s="65" t="s">
        <v>324</v>
      </c>
      <c r="F118" s="2">
        <v>24</v>
      </c>
      <c r="G118" s="2">
        <v>365</v>
      </c>
      <c r="I118" s="1">
        <v>11</v>
      </c>
      <c r="J118" s="1" t="s">
        <v>399</v>
      </c>
      <c r="K118" s="1">
        <v>0.34</v>
      </c>
      <c r="L118" s="21">
        <f t="shared" si="11"/>
        <v>289739.9337626769</v>
      </c>
      <c r="M118" s="35">
        <f t="shared" si="10"/>
        <v>8.2926829268292701E-2</v>
      </c>
    </row>
    <row r="119" spans="2:13">
      <c r="B119" s="310" t="s">
        <v>400</v>
      </c>
      <c r="C119" s="310"/>
      <c r="D119" s="310"/>
      <c r="E119" s="60"/>
      <c r="I119" s="1">
        <v>12</v>
      </c>
      <c r="J119" s="1" t="s">
        <v>401</v>
      </c>
      <c r="K119" s="1">
        <v>0.18</v>
      </c>
      <c r="L119" s="21">
        <f t="shared" si="11"/>
        <v>153391.72963906423</v>
      </c>
      <c r="M119" s="35">
        <f t="shared" si="10"/>
        <v>4.3902439024390248E-2</v>
      </c>
    </row>
    <row r="120" spans="2:13" ht="18" thickBot="1">
      <c r="B120" s="54" t="s">
        <v>402</v>
      </c>
      <c r="C120" s="2">
        <v>19</v>
      </c>
      <c r="D120" s="2" t="s">
        <v>403</v>
      </c>
      <c r="I120" s="1">
        <v>13</v>
      </c>
      <c r="J120" s="1" t="s">
        <v>404</v>
      </c>
      <c r="K120" s="1">
        <v>0.36</v>
      </c>
      <c r="L120" s="24">
        <f t="shared" si="11"/>
        <v>306783.45927812846</v>
      </c>
      <c r="M120" s="36">
        <f t="shared" si="10"/>
        <v>8.7804878048780496E-2</v>
      </c>
    </row>
    <row r="121" spans="2:13" ht="15.75" thickBot="1">
      <c r="B121" s="304" t="s">
        <v>405</v>
      </c>
      <c r="C121" s="9">
        <f>(C120*C148)/1000</f>
        <v>21.528509589041096</v>
      </c>
      <c r="D121" s="2" t="s">
        <v>349</v>
      </c>
      <c r="E121" s="75"/>
      <c r="L121" s="33">
        <f>SUM(L108:L120)</f>
        <v>3493922.7306675739</v>
      </c>
      <c r="M121" s="37">
        <f>SUM(M108:M120)</f>
        <v>1.0000000000000004</v>
      </c>
    </row>
    <row r="122" spans="2:13">
      <c r="B122" s="305"/>
      <c r="C122" s="9">
        <f>(C121*F118)</f>
        <v>516.68423013698634</v>
      </c>
      <c r="D122" s="2" t="s">
        <v>406</v>
      </c>
    </row>
    <row r="123" spans="2:13" ht="17.25">
      <c r="B123" s="54" t="s">
        <v>656</v>
      </c>
      <c r="C123" s="2">
        <v>1</v>
      </c>
      <c r="D123" s="2" t="s">
        <v>446</v>
      </c>
      <c r="I123" s="303" t="s">
        <v>409</v>
      </c>
      <c r="J123" s="303"/>
      <c r="K123" s="303"/>
      <c r="L123" s="303"/>
      <c r="M123" s="303"/>
    </row>
    <row r="124" spans="2:13">
      <c r="B124" s="304" t="s">
        <v>657</v>
      </c>
      <c r="C124" s="9">
        <f>C123*O73</f>
        <v>0.31617229874852015</v>
      </c>
      <c r="D124" s="2" t="s">
        <v>411</v>
      </c>
      <c r="I124" s="38" t="s">
        <v>341</v>
      </c>
      <c r="J124" s="38" t="s">
        <v>342</v>
      </c>
      <c r="K124" s="38" t="s">
        <v>380</v>
      </c>
      <c r="L124" s="38" t="s">
        <v>381</v>
      </c>
      <c r="M124" s="39" t="s">
        <v>17</v>
      </c>
    </row>
    <row r="125" spans="2:13">
      <c r="B125" s="305"/>
      <c r="C125" s="9">
        <f>C124*F118</f>
        <v>7.5881351699644837</v>
      </c>
      <c r="D125" s="2" t="s">
        <v>406</v>
      </c>
      <c r="I125" s="1">
        <v>1</v>
      </c>
      <c r="J125" s="1" t="s">
        <v>412</v>
      </c>
      <c r="K125" s="1">
        <v>10</v>
      </c>
      <c r="L125" s="1"/>
      <c r="M125" s="1"/>
    </row>
    <row r="126" spans="2:13" ht="17.25">
      <c r="B126" s="54" t="s">
        <v>658</v>
      </c>
      <c r="C126" s="2">
        <v>1</v>
      </c>
      <c r="D126" s="2" t="s">
        <v>446</v>
      </c>
      <c r="I126" s="1">
        <v>2</v>
      </c>
      <c r="J126" s="1" t="s">
        <v>414</v>
      </c>
      <c r="K126" s="1"/>
      <c r="L126" s="21">
        <f>(L121-L114)/K125</f>
        <v>340870.51030903158</v>
      </c>
      <c r="M126" s="35">
        <f>(L126/$L$130)</f>
        <v>0.82484431063636743</v>
      </c>
    </row>
    <row r="127" spans="2:13">
      <c r="B127" s="304" t="s">
        <v>659</v>
      </c>
      <c r="C127" s="9">
        <f>C126*O68</f>
        <v>0.72104795446480663</v>
      </c>
      <c r="D127" s="2" t="s">
        <v>411</v>
      </c>
      <c r="I127" s="1">
        <v>3</v>
      </c>
      <c r="J127" s="1" t="s">
        <v>416</v>
      </c>
      <c r="K127" s="1">
        <v>0.01</v>
      </c>
      <c r="L127" s="21">
        <f>K127*$L$126</f>
        <v>3408.7051030903158</v>
      </c>
      <c r="M127" s="35">
        <f>(L127/$L$130)</f>
        <v>8.2484431063636742E-3</v>
      </c>
    </row>
    <row r="128" spans="2:13">
      <c r="B128" s="305"/>
      <c r="C128" s="9">
        <f>C127*F118</f>
        <v>17.305150907155358</v>
      </c>
      <c r="D128" s="2" t="s">
        <v>406</v>
      </c>
      <c r="I128" s="1">
        <v>4</v>
      </c>
      <c r="J128" s="1" t="s">
        <v>418</v>
      </c>
      <c r="K128" s="1">
        <v>6.0000000000000001E-3</v>
      </c>
      <c r="L128" s="21">
        <f>K128*$L$126</f>
        <v>2045.2230618541896</v>
      </c>
      <c r="M128" s="35">
        <f>(L128/$L$130)</f>
        <v>4.9490658638182052E-3</v>
      </c>
    </row>
    <row r="129" spans="2:31" ht="15.75" thickBot="1">
      <c r="B129" s="54" t="s">
        <v>413</v>
      </c>
      <c r="C129" s="9">
        <f>C125+C122+C128</f>
        <v>541.57751621410625</v>
      </c>
      <c r="D129" s="2" t="s">
        <v>406</v>
      </c>
      <c r="I129" s="1">
        <v>5</v>
      </c>
      <c r="J129" s="1" t="s">
        <v>419</v>
      </c>
      <c r="K129" s="1">
        <v>0.21</v>
      </c>
      <c r="L129" s="24">
        <f>K129*SUM(L108:L119)/K125</f>
        <v>66929.924699178344</v>
      </c>
      <c r="M129" s="36">
        <f>(L129/$L$130)</f>
        <v>0.16195818039345072</v>
      </c>
    </row>
    <row r="130" spans="2:31" ht="17.100000000000001" customHeight="1" thickBot="1">
      <c r="B130" s="54" t="s">
        <v>415</v>
      </c>
      <c r="C130" s="2" t="s">
        <v>12</v>
      </c>
      <c r="D130" s="2" t="s">
        <v>403</v>
      </c>
      <c r="L130" s="33">
        <f>SUM(L126:L129)</f>
        <v>413254.36317315442</v>
      </c>
      <c r="M130" s="37">
        <f>SUM(M126:M129)</f>
        <v>1</v>
      </c>
    </row>
    <row r="131" spans="2:31">
      <c r="B131" s="304" t="s">
        <v>417</v>
      </c>
      <c r="C131" s="7" t="s">
        <v>12</v>
      </c>
      <c r="D131" s="2" t="s">
        <v>349</v>
      </c>
    </row>
    <row r="132" spans="2:31">
      <c r="B132" s="306"/>
      <c r="C132" s="9">
        <f>(C133/3600)*8</f>
        <v>49.834512937595122</v>
      </c>
      <c r="D132" s="2" t="s">
        <v>406</v>
      </c>
      <c r="I132" s="292" t="s">
        <v>424</v>
      </c>
      <c r="J132" s="292"/>
      <c r="K132" s="292"/>
      <c r="L132" s="292"/>
      <c r="M132" s="292"/>
      <c r="N132" s="292"/>
      <c r="Q132" s="300" t="s">
        <v>425</v>
      </c>
      <c r="R132" s="301"/>
      <c r="S132" s="302"/>
      <c r="U132" s="256" t="s">
        <v>426</v>
      </c>
      <c r="V132" s="256"/>
      <c r="W132" s="256"/>
      <c r="Z132" s="298" t="s">
        <v>135</v>
      </c>
      <c r="AA132" s="298"/>
      <c r="AB132" s="298" t="s">
        <v>427</v>
      </c>
      <c r="AC132" s="298"/>
      <c r="AD132" s="298" t="s">
        <v>428</v>
      </c>
      <c r="AE132" s="298"/>
    </row>
    <row r="133" spans="2:31" ht="16.5" customHeight="1" thickBot="1">
      <c r="B133" s="307"/>
      <c r="C133" s="109">
        <f>K68</f>
        <v>22425.530821917804</v>
      </c>
      <c r="D133" s="107" t="s">
        <v>420</v>
      </c>
      <c r="I133" s="31" t="s">
        <v>341</v>
      </c>
      <c r="J133" s="31" t="s">
        <v>429</v>
      </c>
      <c r="K133" s="31" t="s">
        <v>430</v>
      </c>
      <c r="L133" s="31" t="s">
        <v>431</v>
      </c>
      <c r="M133" s="31" t="s">
        <v>381</v>
      </c>
      <c r="N133" s="31" t="s">
        <v>17</v>
      </c>
      <c r="Q133" s="129" t="s">
        <v>135</v>
      </c>
      <c r="R133" s="86">
        <f>M141</f>
        <v>70561.556652852189</v>
      </c>
      <c r="S133" s="128">
        <f>(R133/$R$136)</f>
        <v>0.16492301618732941</v>
      </c>
      <c r="U133" s="29" t="s">
        <v>4</v>
      </c>
      <c r="V133" s="20">
        <f>C176</f>
        <v>3566306.5835316968</v>
      </c>
      <c r="W133" s="35">
        <f>V133/$V$135</f>
        <v>0.89288203927956133</v>
      </c>
      <c r="X133" s="60" t="s">
        <v>432</v>
      </c>
      <c r="Z133" s="55" t="s">
        <v>433</v>
      </c>
      <c r="AA133" s="130">
        <f>N134</f>
        <v>0.2197942581723514</v>
      </c>
      <c r="AB133" s="55" t="s">
        <v>434</v>
      </c>
      <c r="AC133" s="130">
        <f>N143+N144+N145+N146</f>
        <v>0.71914052378395188</v>
      </c>
      <c r="AD133" s="55" t="s">
        <v>428</v>
      </c>
      <c r="AE133" s="130">
        <f>N150</f>
        <v>0.23912188178840868</v>
      </c>
    </row>
    <row r="134" spans="2:31" ht="16.5" customHeight="1">
      <c r="B134" s="104" t="s">
        <v>421</v>
      </c>
      <c r="C134" s="105">
        <f>AC83</f>
        <v>4.1860839578651277</v>
      </c>
      <c r="D134" s="106" t="s">
        <v>349</v>
      </c>
      <c r="E134" s="60" t="s">
        <v>422</v>
      </c>
      <c r="I134" s="1">
        <v>1</v>
      </c>
      <c r="J134" s="1" t="s">
        <v>390</v>
      </c>
      <c r="K134" s="1">
        <f>I32*C152*G118</f>
        <v>51696.749999999985</v>
      </c>
      <c r="L134" s="1">
        <f>C112</f>
        <v>0.3</v>
      </c>
      <c r="M134" s="21">
        <f t="shared" ref="M134:M140" si="12">K134*L134</f>
        <v>15509.024999999994</v>
      </c>
      <c r="N134" s="35">
        <f t="shared" ref="N134:N140" si="13">(M134/$M$141)</f>
        <v>0.2197942581723514</v>
      </c>
      <c r="Q134" s="29" t="s">
        <v>427</v>
      </c>
      <c r="R134" s="20">
        <f>M148</f>
        <v>106365.79495182521</v>
      </c>
      <c r="S134" s="128">
        <f>(R134/$R$136)</f>
        <v>0.24860800349008391</v>
      </c>
      <c r="U134" s="29" t="s">
        <v>5</v>
      </c>
      <c r="V134" s="20">
        <f>C177</f>
        <v>427845.41711694235</v>
      </c>
      <c r="W134" s="35">
        <f>V134/$V$135</f>
        <v>0.10711796072043864</v>
      </c>
      <c r="X134" s="60" t="s">
        <v>437</v>
      </c>
      <c r="Z134" s="55" t="s">
        <v>127</v>
      </c>
      <c r="AA134" s="130">
        <f>N135</f>
        <v>5.7390722967225111E-2</v>
      </c>
      <c r="AB134" s="55" t="s">
        <v>660</v>
      </c>
      <c r="AC134" s="130">
        <f>N147</f>
        <v>0.28085947621604807</v>
      </c>
      <c r="AD134" s="55" t="s">
        <v>439</v>
      </c>
      <c r="AE134" s="130">
        <f t="shared" ref="AE134:AE141" si="14">N151</f>
        <v>4.7824376357681733E-2</v>
      </c>
    </row>
    <row r="135" spans="2:31" ht="17.25" customHeight="1">
      <c r="B135" s="293" t="s">
        <v>423</v>
      </c>
      <c r="C135" s="7">
        <f>AC93</f>
        <v>164.34664150476988</v>
      </c>
      <c r="D135" s="5" t="s">
        <v>274</v>
      </c>
      <c r="E135" s="60"/>
      <c r="I135" s="1">
        <v>2</v>
      </c>
      <c r="J135" s="1" t="s">
        <v>277</v>
      </c>
      <c r="K135" s="19">
        <f>(E28)*G118</f>
        <v>80991.574999999997</v>
      </c>
      <c r="L135" s="1">
        <f>C110</f>
        <v>0.05</v>
      </c>
      <c r="M135" s="21">
        <f t="shared" si="12"/>
        <v>4049.5787500000001</v>
      </c>
      <c r="N135" s="35">
        <f>(M135/$M$141)</f>
        <v>5.7390722967225111E-2</v>
      </c>
      <c r="Q135" s="29" t="s">
        <v>428</v>
      </c>
      <c r="R135" s="20">
        <f>M159</f>
        <v>250918.06551226493</v>
      </c>
      <c r="S135" s="128">
        <f>(R135/$R$136)</f>
        <v>0.58646898032258665</v>
      </c>
      <c r="U135" s="29" t="s">
        <v>125</v>
      </c>
      <c r="V135" s="299">
        <f>SUM(V133:V134)</f>
        <v>3994152.0006486392</v>
      </c>
      <c r="W135" s="299"/>
      <c r="Z135" s="56" t="s">
        <v>143</v>
      </c>
      <c r="AA135" s="130">
        <f>N136</f>
        <v>0.36632376362058583</v>
      </c>
      <c r="AD135" s="55" t="s">
        <v>443</v>
      </c>
      <c r="AE135" s="130">
        <f t="shared" si="14"/>
        <v>7.1736564536522607E-2</v>
      </c>
    </row>
    <row r="136" spans="2:31" ht="18">
      <c r="B136" s="294"/>
      <c r="C136" s="7">
        <f>C135/24</f>
        <v>6.8477767293654113</v>
      </c>
      <c r="D136" s="5" t="s">
        <v>352</v>
      </c>
      <c r="I136" s="1">
        <v>3</v>
      </c>
      <c r="J136" s="23" t="s">
        <v>143</v>
      </c>
      <c r="K136" s="1">
        <f>I32*C150*G118</f>
        <v>258483.74999999997</v>
      </c>
      <c r="L136" s="1">
        <f>C111</f>
        <v>0.1</v>
      </c>
      <c r="M136" s="21">
        <f t="shared" si="12"/>
        <v>25848.375</v>
      </c>
      <c r="N136" s="35">
        <f t="shared" si="13"/>
        <v>0.36632376362058583</v>
      </c>
      <c r="Q136" s="29" t="s">
        <v>125</v>
      </c>
      <c r="R136" s="299">
        <f>SUM(R133:R135)</f>
        <v>427845.41711694235</v>
      </c>
      <c r="S136" s="299"/>
      <c r="Z136" s="55" t="s">
        <v>48</v>
      </c>
      <c r="AA136" s="130">
        <f>N137</f>
        <v>0.39672863600109437</v>
      </c>
      <c r="AD136" s="55" t="s">
        <v>445</v>
      </c>
      <c r="AE136" s="130">
        <f t="shared" si="14"/>
        <v>0.13584932978545136</v>
      </c>
    </row>
    <row r="137" spans="2:31" ht="17.25" customHeight="1">
      <c r="B137" s="57" t="s">
        <v>435</v>
      </c>
      <c r="C137" s="7" t="str">
        <f>C131</f>
        <v>-</v>
      </c>
      <c r="D137" s="5" t="s">
        <v>349</v>
      </c>
      <c r="I137" s="1">
        <v>4</v>
      </c>
      <c r="J137" s="1" t="s">
        <v>393</v>
      </c>
      <c r="K137" s="19">
        <f>O66*G118</f>
        <v>2799.3790124999996</v>
      </c>
      <c r="L137" s="1">
        <f>C114</f>
        <v>10</v>
      </c>
      <c r="M137" s="21">
        <f t="shared" si="12"/>
        <v>27993.790124999996</v>
      </c>
      <c r="N137" s="35">
        <f t="shared" si="13"/>
        <v>0.39672863600109437</v>
      </c>
      <c r="Z137" s="55" t="s">
        <v>47</v>
      </c>
      <c r="AA137" s="130">
        <f>N139</f>
        <v>0.1692455418425152</v>
      </c>
      <c r="AD137" s="55" t="s">
        <v>448</v>
      </c>
      <c r="AE137" s="130">
        <f t="shared" si="14"/>
        <v>1.1248541472499616E-3</v>
      </c>
    </row>
    <row r="138" spans="2:31" ht="17.25">
      <c r="B138" s="293" t="s">
        <v>440</v>
      </c>
      <c r="C138" s="7">
        <f>(C134*0.86)/(200-25)</f>
        <v>2.0571612592937199E-2</v>
      </c>
      <c r="D138" s="5" t="s">
        <v>345</v>
      </c>
      <c r="E138" s="60" t="s">
        <v>570</v>
      </c>
      <c r="I138" s="1">
        <v>5</v>
      </c>
      <c r="J138" s="1" t="s">
        <v>449</v>
      </c>
      <c r="K138" s="125">
        <v>0</v>
      </c>
      <c r="L138" s="1">
        <v>0</v>
      </c>
      <c r="M138" s="21">
        <f t="shared" si="12"/>
        <v>0</v>
      </c>
      <c r="N138" s="35">
        <f t="shared" si="13"/>
        <v>0</v>
      </c>
      <c r="Z138" s="55" t="s">
        <v>152</v>
      </c>
      <c r="AA138" s="130">
        <f>N140</f>
        <v>1.031133556857945E-2</v>
      </c>
      <c r="AD138" s="55" t="s">
        <v>450</v>
      </c>
      <c r="AE138" s="130">
        <f t="shared" si="14"/>
        <v>0.23253757336234798</v>
      </c>
    </row>
    <row r="139" spans="2:31" ht="17.25">
      <c r="B139" s="294"/>
      <c r="C139" s="9">
        <f>C138*F118</f>
        <v>0.49371870223049275</v>
      </c>
      <c r="D139" s="2" t="s">
        <v>23</v>
      </c>
      <c r="I139" s="22">
        <v>6</v>
      </c>
      <c r="J139" s="22" t="s">
        <v>331</v>
      </c>
      <c r="K139" s="19">
        <f>O69*G118</f>
        <v>23884.457777926604</v>
      </c>
      <c r="L139" s="22">
        <f>C116</f>
        <v>0.5</v>
      </c>
      <c r="M139" s="24">
        <f t="shared" si="12"/>
        <v>11942.228888963302</v>
      </c>
      <c r="N139" s="36">
        <f t="shared" si="13"/>
        <v>0.1692455418425152</v>
      </c>
      <c r="AD139" s="55" t="s">
        <v>452</v>
      </c>
      <c r="AE139" s="130">
        <f t="shared" si="14"/>
        <v>0.17683978302029188</v>
      </c>
    </row>
    <row r="140" spans="2:31" ht="15.75" thickBot="1">
      <c r="B140" s="57" t="s">
        <v>661</v>
      </c>
      <c r="C140" s="9">
        <f>AC66</f>
        <v>10.704690054479327</v>
      </c>
      <c r="D140" s="5" t="s">
        <v>349</v>
      </c>
      <c r="E140" s="60" t="s">
        <v>662</v>
      </c>
      <c r="I140" s="1">
        <v>7</v>
      </c>
      <c r="J140" s="1" t="s">
        <v>593</v>
      </c>
      <c r="K140" s="19">
        <f>C154*G118</f>
        <v>1212.6398148148146</v>
      </c>
      <c r="L140" s="22">
        <f>C117</f>
        <v>0.6</v>
      </c>
      <c r="M140" s="24">
        <f t="shared" si="12"/>
        <v>727.58388888888874</v>
      </c>
      <c r="N140" s="36">
        <f t="shared" si="13"/>
        <v>1.031133556857945E-2</v>
      </c>
      <c r="AD140" s="55" t="s">
        <v>455</v>
      </c>
      <c r="AE140" s="130">
        <f t="shared" si="14"/>
        <v>3.525600104629157E-2</v>
      </c>
    </row>
    <row r="141" spans="2:31" ht="15.75" thickBot="1">
      <c r="B141" s="57" t="s">
        <v>663</v>
      </c>
      <c r="C141" s="9">
        <f>AC76</f>
        <v>420.26865120507745</v>
      </c>
      <c r="D141" s="5" t="s">
        <v>274</v>
      </c>
      <c r="L141" s="40" t="s">
        <v>454</v>
      </c>
      <c r="M141" s="41">
        <f>SUM(M135:M140)</f>
        <v>70561.556652852189</v>
      </c>
      <c r="N141" s="37">
        <f>SUM(N135:N140)</f>
        <v>0.99999999999999989</v>
      </c>
      <c r="AD141" s="55" t="s">
        <v>457</v>
      </c>
      <c r="AE141" s="130">
        <f t="shared" si="14"/>
        <v>5.9709635955754257E-2</v>
      </c>
    </row>
    <row r="142" spans="2:31" ht="17.25">
      <c r="B142" s="293" t="s">
        <v>687</v>
      </c>
      <c r="C142" s="5">
        <v>1</v>
      </c>
      <c r="D142" s="5" t="s">
        <v>446</v>
      </c>
      <c r="I142" s="31" t="s">
        <v>341</v>
      </c>
      <c r="J142" s="31" t="s">
        <v>427</v>
      </c>
      <c r="K142" s="31" t="s">
        <v>430</v>
      </c>
      <c r="L142" s="42" t="s">
        <v>431</v>
      </c>
      <c r="M142" s="42" t="s">
        <v>381</v>
      </c>
      <c r="N142" s="42" t="s">
        <v>17</v>
      </c>
      <c r="O142" s="93">
        <f>M143+M144+M145+M146</f>
        <v>76491.953494352012</v>
      </c>
    </row>
    <row r="143" spans="2:31">
      <c r="B143" s="294"/>
      <c r="C143" s="7">
        <f>(I28+O28)*C142</f>
        <v>243.64635434804666</v>
      </c>
      <c r="D143" s="5" t="s">
        <v>406</v>
      </c>
      <c r="I143" s="1">
        <v>1</v>
      </c>
      <c r="J143" s="1" t="s">
        <v>571</v>
      </c>
      <c r="K143" s="19">
        <f>C129*G118</f>
        <v>197675.79341814879</v>
      </c>
      <c r="L143" s="1">
        <f>C113</f>
        <v>0.25</v>
      </c>
      <c r="M143" s="21">
        <f>K143*L143</f>
        <v>49418.948354537199</v>
      </c>
      <c r="N143" s="35">
        <f>(M143/M148)</f>
        <v>0.46461316231331545</v>
      </c>
      <c r="O143" s="93"/>
    </row>
    <row r="144" spans="2:31">
      <c r="I144" s="1">
        <v>2</v>
      </c>
      <c r="J144" s="1" t="s">
        <v>572</v>
      </c>
      <c r="K144" s="19">
        <f>C132*G118</f>
        <v>18189.597222222219</v>
      </c>
      <c r="L144" s="1">
        <f>L143</f>
        <v>0.25</v>
      </c>
      <c r="M144" s="21">
        <f>K144*L144</f>
        <v>4547.3993055555547</v>
      </c>
      <c r="N144" s="35">
        <f>(M144/M148)</f>
        <v>4.2752459168054403E-2</v>
      </c>
    </row>
    <row r="145" spans="2:16">
      <c r="B145" s="322" t="s">
        <v>664</v>
      </c>
      <c r="C145" s="323"/>
      <c r="D145" s="324"/>
      <c r="I145" s="1">
        <v>3</v>
      </c>
      <c r="J145" s="1" t="s">
        <v>665</v>
      </c>
      <c r="K145" s="19">
        <f>(C170)*G118</f>
        <v>1171.5039999999999</v>
      </c>
      <c r="L145" s="1">
        <f>L143</f>
        <v>0.25</v>
      </c>
      <c r="M145" s="21">
        <f>K145*L145</f>
        <v>292.87599999999998</v>
      </c>
      <c r="N145" s="35">
        <f>(M145/M148)</f>
        <v>2.7534791624755708E-3</v>
      </c>
      <c r="O145" s="131">
        <f>(C170)*G118*L145</f>
        <v>292.87599999999998</v>
      </c>
      <c r="P145" t="s">
        <v>469</v>
      </c>
    </row>
    <row r="146" spans="2:16">
      <c r="B146" s="55" t="s">
        <v>456</v>
      </c>
      <c r="C146" s="2">
        <v>24</v>
      </c>
      <c r="D146" s="2" t="s">
        <v>317</v>
      </c>
      <c r="I146" s="1">
        <v>4</v>
      </c>
      <c r="J146" s="1" t="s">
        <v>688</v>
      </c>
      <c r="K146" s="19">
        <f>C143*G118</f>
        <v>88930.919337037034</v>
      </c>
      <c r="L146" s="1">
        <f>C113</f>
        <v>0.25</v>
      </c>
      <c r="M146" s="21">
        <f>K146*L146</f>
        <v>22232.729834259258</v>
      </c>
      <c r="N146" s="35">
        <f>(M146/M148)</f>
        <v>0.20902142314010647</v>
      </c>
      <c r="O146" s="131">
        <f>('Escenario 1'!C119)*G118*L145</f>
        <v>4308.0624999999936</v>
      </c>
      <c r="P146" t="s">
        <v>465</v>
      </c>
    </row>
    <row r="147" spans="2:16" ht="15.75" thickBot="1">
      <c r="B147" s="55" t="s">
        <v>458</v>
      </c>
      <c r="C147" s="9">
        <f>1/Y37</f>
        <v>0.33333333333333331</v>
      </c>
      <c r="D147" s="2" t="s">
        <v>459</v>
      </c>
      <c r="I147" s="1">
        <v>5</v>
      </c>
      <c r="J147" s="1" t="s">
        <v>398</v>
      </c>
      <c r="K147" s="19">
        <f>(C135+C141)*G118</f>
        <v>213384.58183909429</v>
      </c>
      <c r="L147" s="22">
        <f>C118</f>
        <v>0.14000000000000001</v>
      </c>
      <c r="M147" s="24">
        <f>K147*L147</f>
        <v>29873.841457473201</v>
      </c>
      <c r="N147" s="36">
        <f>(M147/M148)</f>
        <v>0.28085947621604807</v>
      </c>
    </row>
    <row r="148" spans="2:16" ht="18" thickBot="1">
      <c r="B148" s="55" t="s">
        <v>288</v>
      </c>
      <c r="C148" s="9">
        <f>C66</f>
        <v>1133.0794520547945</v>
      </c>
      <c r="D148" s="2" t="s">
        <v>289</v>
      </c>
      <c r="L148" s="40" t="s">
        <v>454</v>
      </c>
      <c r="M148" s="41">
        <f>SUM(M143:M147)</f>
        <v>106365.79495182521</v>
      </c>
      <c r="N148" s="37">
        <f>SUM(N143:N147)</f>
        <v>1</v>
      </c>
    </row>
    <row r="149" spans="2:16">
      <c r="B149" s="55" t="s">
        <v>462</v>
      </c>
      <c r="C149" s="2">
        <v>0.01</v>
      </c>
      <c r="D149" s="2" t="s">
        <v>463</v>
      </c>
      <c r="I149" s="31" t="s">
        <v>341</v>
      </c>
      <c r="J149" s="31" t="s">
        <v>472</v>
      </c>
      <c r="K149" s="31" t="s">
        <v>430</v>
      </c>
      <c r="L149" s="42" t="s">
        <v>431</v>
      </c>
      <c r="M149" s="42" t="s">
        <v>381</v>
      </c>
      <c r="N149" s="42" t="s">
        <v>17</v>
      </c>
    </row>
    <row r="150" spans="2:16" ht="18">
      <c r="B150" s="56" t="s">
        <v>466</v>
      </c>
      <c r="C150" s="2">
        <v>1.5</v>
      </c>
      <c r="D150" s="2" t="s">
        <v>467</v>
      </c>
      <c r="I150" s="1">
        <v>1</v>
      </c>
      <c r="J150" s="1" t="s">
        <v>473</v>
      </c>
      <c r="K150" s="1">
        <v>2</v>
      </c>
      <c r="L150" s="21">
        <v>30000</v>
      </c>
      <c r="M150" s="20">
        <f t="shared" ref="M150:M158" si="15">K150*L150</f>
        <v>60000</v>
      </c>
      <c r="N150" s="35">
        <f>(M150/$M$159)</f>
        <v>0.23912188178840868</v>
      </c>
    </row>
    <row r="151" spans="2:16">
      <c r="B151" s="55" t="s">
        <v>292</v>
      </c>
      <c r="C151" s="9">
        <f>I32/AC36</f>
        <v>0.41666666666666663</v>
      </c>
      <c r="D151" s="2" t="s">
        <v>470</v>
      </c>
      <c r="I151" s="1">
        <v>2</v>
      </c>
      <c r="J151" s="1" t="s">
        <v>475</v>
      </c>
      <c r="K151" s="1">
        <v>0.2</v>
      </c>
      <c r="L151" s="21">
        <f>M150</f>
        <v>60000</v>
      </c>
      <c r="M151" s="20">
        <f t="shared" si="15"/>
        <v>12000</v>
      </c>
      <c r="N151" s="35">
        <f t="shared" ref="N151:N158" si="16">(M151/$M$159)</f>
        <v>4.7824376357681733E-2</v>
      </c>
    </row>
    <row r="152" spans="2:16">
      <c r="B152" s="55" t="s">
        <v>390</v>
      </c>
      <c r="C152" s="2">
        <v>0.3</v>
      </c>
      <c r="D152" s="2" t="s">
        <v>467</v>
      </c>
      <c r="I152" s="1">
        <v>3</v>
      </c>
      <c r="J152" s="1" t="s">
        <v>477</v>
      </c>
      <c r="K152" s="1">
        <v>0.25</v>
      </c>
      <c r="L152" s="21">
        <f>M150+M151</f>
        <v>72000</v>
      </c>
      <c r="M152" s="20">
        <f t="shared" si="15"/>
        <v>18000</v>
      </c>
      <c r="N152" s="35">
        <f t="shared" si="16"/>
        <v>7.1736564536522607E-2</v>
      </c>
    </row>
    <row r="153" spans="2:16">
      <c r="B153" s="55" t="s">
        <v>471</v>
      </c>
      <c r="C153" s="2">
        <v>2</v>
      </c>
      <c r="D153" s="2" t="s">
        <v>17</v>
      </c>
      <c r="I153" s="1">
        <v>4</v>
      </c>
      <c r="J153" s="1" t="s">
        <v>479</v>
      </c>
      <c r="K153" s="1">
        <v>0.04</v>
      </c>
      <c r="L153" s="21">
        <f>O104</f>
        <v>852176.27577257913</v>
      </c>
      <c r="M153" s="20">
        <f t="shared" si="15"/>
        <v>34087.051030903167</v>
      </c>
      <c r="N153" s="35">
        <f t="shared" si="16"/>
        <v>0.13584932978545136</v>
      </c>
    </row>
    <row r="154" spans="2:16" ht="17.25">
      <c r="B154" s="55" t="s">
        <v>667</v>
      </c>
      <c r="C154" s="9">
        <f>AC50</f>
        <v>3.3223008625063413</v>
      </c>
      <c r="D154" s="2" t="s">
        <v>23</v>
      </c>
      <c r="I154" s="1">
        <v>5</v>
      </c>
      <c r="J154" s="1" t="s">
        <v>481</v>
      </c>
      <c r="K154" s="1">
        <v>4.0000000000000001E-3</v>
      </c>
      <c r="L154" s="21">
        <f>M141</f>
        <v>70561.556652852189</v>
      </c>
      <c r="M154" s="20">
        <f t="shared" si="15"/>
        <v>282.24622661140876</v>
      </c>
      <c r="N154" s="35">
        <f t="shared" si="16"/>
        <v>1.1248541472499616E-3</v>
      </c>
    </row>
    <row r="155" spans="2:16">
      <c r="I155" s="1">
        <v>6</v>
      </c>
      <c r="J155" s="1" t="s">
        <v>483</v>
      </c>
      <c r="K155" s="1">
        <v>0.55000000000000004</v>
      </c>
      <c r="L155" s="21">
        <f>M150+M151+M153</f>
        <v>106087.05103090317</v>
      </c>
      <c r="M155" s="20">
        <f t="shared" si="15"/>
        <v>58347.878066996745</v>
      </c>
      <c r="N155" s="35">
        <f t="shared" si="16"/>
        <v>0.23253757336234798</v>
      </c>
    </row>
    <row r="156" spans="2:16">
      <c r="B156" s="295" t="s">
        <v>574</v>
      </c>
      <c r="C156" s="296"/>
      <c r="D156" s="297"/>
      <c r="I156" s="1">
        <v>7</v>
      </c>
      <c r="J156" s="1" t="s">
        <v>485</v>
      </c>
      <c r="K156" s="1">
        <f>0.21</f>
        <v>0.21</v>
      </c>
      <c r="L156" s="21">
        <f>M141+M148+M153+M154</f>
        <v>211296.64886219197</v>
      </c>
      <c r="M156" s="20">
        <f t="shared" si="15"/>
        <v>44372.296261060314</v>
      </c>
      <c r="N156" s="35">
        <f t="shared" si="16"/>
        <v>0.17683978302029188</v>
      </c>
    </row>
    <row r="157" spans="2:16">
      <c r="B157" s="55" t="s">
        <v>476</v>
      </c>
      <c r="C157" s="9">
        <f>K220</f>
        <v>36.5</v>
      </c>
      <c r="D157" s="2" t="s">
        <v>313</v>
      </c>
      <c r="E157" s="60"/>
      <c r="I157" s="1">
        <v>8</v>
      </c>
      <c r="J157" s="1" t="s">
        <v>487</v>
      </c>
      <c r="K157" s="1">
        <v>0.05</v>
      </c>
      <c r="L157" s="21">
        <f>M141+M148</f>
        <v>176927.35160467739</v>
      </c>
      <c r="M157" s="20">
        <f t="shared" si="15"/>
        <v>8846.3675802338694</v>
      </c>
      <c r="N157" s="35">
        <f t="shared" si="16"/>
        <v>3.525600104629157E-2</v>
      </c>
    </row>
    <row r="158" spans="2:16" ht="15.75" thickBot="1">
      <c r="B158" s="55" t="s">
        <v>478</v>
      </c>
      <c r="C158" s="9">
        <f t="shared" ref="C158:C164" si="17">K221</f>
        <v>36.5</v>
      </c>
      <c r="D158" s="2" t="s">
        <v>313</v>
      </c>
      <c r="E158" s="60"/>
      <c r="I158" s="1">
        <v>9</v>
      </c>
      <c r="J158" s="1" t="s">
        <v>489</v>
      </c>
      <c r="K158" s="1">
        <v>0.05</v>
      </c>
      <c r="L158" s="24">
        <f>M141+M148+M151+M152+M153+M154+M155</f>
        <v>299644.52692918869</v>
      </c>
      <c r="M158" s="32">
        <f t="shared" si="15"/>
        <v>14982.226346459436</v>
      </c>
      <c r="N158" s="36">
        <f t="shared" si="16"/>
        <v>5.9709635955754257E-2</v>
      </c>
    </row>
    <row r="159" spans="2:16" ht="15.75" thickBot="1">
      <c r="B159" s="56" t="s">
        <v>480</v>
      </c>
      <c r="C159" s="9">
        <f t="shared" si="17"/>
        <v>36.57</v>
      </c>
      <c r="D159" s="2" t="s">
        <v>313</v>
      </c>
      <c r="E159" s="60"/>
      <c r="L159" s="40" t="s">
        <v>454</v>
      </c>
      <c r="M159" s="43">
        <f>SUM(M150:M158)</f>
        <v>250918.06551226493</v>
      </c>
      <c r="N159" s="37">
        <f>SUM(N150:N158)</f>
        <v>1</v>
      </c>
    </row>
    <row r="160" spans="2:16">
      <c r="B160" s="56" t="s">
        <v>482</v>
      </c>
      <c r="C160" s="9">
        <f t="shared" si="17"/>
        <v>36.57</v>
      </c>
      <c r="D160" s="2" t="s">
        <v>313</v>
      </c>
      <c r="E160" s="60"/>
    </row>
    <row r="161" spans="1:18">
      <c r="B161" s="56" t="s">
        <v>484</v>
      </c>
      <c r="C161" s="9">
        <f t="shared" si="17"/>
        <v>36.51</v>
      </c>
      <c r="D161" s="2" t="s">
        <v>313</v>
      </c>
      <c r="E161" s="60"/>
      <c r="I161" s="292" t="s">
        <v>492</v>
      </c>
      <c r="J161" s="292"/>
      <c r="K161" s="292"/>
      <c r="L161" s="292"/>
    </row>
    <row r="162" spans="1:18">
      <c r="B162" s="56" t="s">
        <v>486</v>
      </c>
      <c r="C162" s="9">
        <f t="shared" si="17"/>
        <v>36.51</v>
      </c>
      <c r="D162" s="2" t="s">
        <v>313</v>
      </c>
      <c r="E162" s="60"/>
      <c r="I162" s="31" t="s">
        <v>341</v>
      </c>
      <c r="J162" s="31" t="s">
        <v>342</v>
      </c>
      <c r="K162" s="31" t="s">
        <v>381</v>
      </c>
      <c r="L162" s="31" t="s">
        <v>17</v>
      </c>
    </row>
    <row r="163" spans="1:18">
      <c r="B163" s="56" t="s">
        <v>668</v>
      </c>
      <c r="C163" s="9">
        <f t="shared" si="17"/>
        <v>36.51</v>
      </c>
      <c r="D163" s="2" t="s">
        <v>313</v>
      </c>
      <c r="E163" s="60"/>
      <c r="I163" s="1">
        <v>1</v>
      </c>
      <c r="J163" s="1" t="s">
        <v>493</v>
      </c>
      <c r="K163" s="21">
        <f>L130</f>
        <v>413254.36317315442</v>
      </c>
      <c r="L163" s="35">
        <f>(K163/$K$167)</f>
        <v>0.49132620511519132</v>
      </c>
    </row>
    <row r="164" spans="1:18">
      <c r="B164" s="56" t="s">
        <v>669</v>
      </c>
      <c r="C164" s="9">
        <f t="shared" si="17"/>
        <v>36</v>
      </c>
      <c r="D164" s="65" t="s">
        <v>313</v>
      </c>
      <c r="E164" s="60"/>
      <c r="I164" s="1">
        <v>2</v>
      </c>
      <c r="J164" s="1" t="s">
        <v>429</v>
      </c>
      <c r="K164" s="21">
        <f>M141</f>
        <v>70561.556652852189</v>
      </c>
      <c r="L164" s="35">
        <f>(K164/$K$167)</f>
        <v>8.3892016507857589E-2</v>
      </c>
    </row>
    <row r="165" spans="1:18">
      <c r="B165" s="56" t="s">
        <v>670</v>
      </c>
      <c r="C165" s="9">
        <f>K229</f>
        <v>36.51</v>
      </c>
      <c r="D165" s="2" t="s">
        <v>313</v>
      </c>
      <c r="E165" s="60"/>
      <c r="I165" s="1">
        <v>3</v>
      </c>
      <c r="J165" s="1" t="s">
        <v>427</v>
      </c>
      <c r="K165" s="21">
        <f>M148</f>
        <v>106365.79495182521</v>
      </c>
      <c r="L165" s="35">
        <f>(K165/$K$167)</f>
        <v>0.12646037657403675</v>
      </c>
    </row>
    <row r="166" spans="1:18" ht="15.75" thickBot="1">
      <c r="B166" s="56" t="s">
        <v>671</v>
      </c>
      <c r="C166" s="9">
        <f t="shared" ref="C166:C167" si="18">K230</f>
        <v>36.51</v>
      </c>
      <c r="D166" s="2" t="s">
        <v>313</v>
      </c>
      <c r="I166" s="1">
        <v>4</v>
      </c>
      <c r="J166" s="1" t="s">
        <v>472</v>
      </c>
      <c r="K166" s="24">
        <f>M159</f>
        <v>250918.06551226493</v>
      </c>
      <c r="L166" s="36">
        <f>(K166/$K$167)</f>
        <v>0.29832140180291433</v>
      </c>
    </row>
    <row r="167" spans="1:18" ht="15.75" thickBot="1">
      <c r="B167" s="56" t="s">
        <v>672</v>
      </c>
      <c r="C167" s="9">
        <f t="shared" si="18"/>
        <v>36.51</v>
      </c>
      <c r="D167" s="2" t="s">
        <v>313</v>
      </c>
      <c r="K167" s="96">
        <f>SUM(K163:K166)</f>
        <v>841099.78029009677</v>
      </c>
      <c r="L167" s="37">
        <f>SUM(L163:L166)</f>
        <v>1</v>
      </c>
    </row>
    <row r="168" spans="1:18" ht="15.75" thickBot="1"/>
    <row r="169" spans="1:18">
      <c r="B169" s="325" t="s">
        <v>125</v>
      </c>
      <c r="C169" s="7">
        <f>SUM(C157:C167)</f>
        <v>401.19999999999993</v>
      </c>
      <c r="D169" s="2" t="s">
        <v>313</v>
      </c>
      <c r="J169" s="44" t="s">
        <v>494</v>
      </c>
      <c r="K169" s="45">
        <f>K167</f>
        <v>841099.78029009677</v>
      </c>
    </row>
    <row r="170" spans="1:18" ht="17.25">
      <c r="B170" s="326"/>
      <c r="C170" s="7">
        <f>(C169/1000)*8</f>
        <v>3.2095999999999996</v>
      </c>
      <c r="D170" s="5" t="s">
        <v>406</v>
      </c>
      <c r="J170" s="79" t="s">
        <v>495</v>
      </c>
      <c r="K170" s="80">
        <f>K169/(R28*G118)</f>
        <v>532.64671820829392</v>
      </c>
    </row>
    <row r="171" spans="1:18" ht="17.25">
      <c r="B171" s="75" t="s">
        <v>491</v>
      </c>
      <c r="J171" s="79" t="s">
        <v>673</v>
      </c>
      <c r="K171" s="80">
        <f>K169/(T28*G118)</f>
        <v>5105.4965358049512</v>
      </c>
    </row>
    <row r="172" spans="1:18" ht="18" thickBot="1">
      <c r="J172" s="77" t="s">
        <v>496</v>
      </c>
      <c r="K172" s="78">
        <f>(C176+C177)/(D28*G118)</f>
        <v>289.72943178115446</v>
      </c>
    </row>
    <row r="174" spans="1:18" ht="20.25" thickBot="1">
      <c r="B174" s="291" t="s">
        <v>497</v>
      </c>
      <c r="C174" s="291"/>
      <c r="D174" s="291"/>
      <c r="E174" s="291"/>
      <c r="F174" s="291"/>
      <c r="G174" s="291"/>
      <c r="H174" s="291"/>
      <c r="I174" s="291"/>
      <c r="J174" s="28"/>
      <c r="K174" s="291" t="s">
        <v>498</v>
      </c>
      <c r="L174" s="291"/>
      <c r="M174" s="291"/>
      <c r="N174" s="291"/>
      <c r="O174" s="291"/>
      <c r="P174" s="291"/>
      <c r="Q174" s="291"/>
      <c r="R174" s="291"/>
    </row>
    <row r="175" spans="1:18" ht="16.5" thickTop="1" thickBot="1"/>
    <row r="176" spans="1:18" ht="15.75" thickBot="1">
      <c r="A176" s="27" t="s">
        <v>499</v>
      </c>
      <c r="B176" s="25" t="s">
        <v>30</v>
      </c>
      <c r="C176" s="21">
        <f>L121+L127+L128+L129</f>
        <v>3566306.5835316968</v>
      </c>
      <c r="H176" s="25" t="s">
        <v>674</v>
      </c>
      <c r="I176" s="20">
        <f>C183*C192</f>
        <v>540936.85446447122</v>
      </c>
      <c r="K176" s="99"/>
      <c r="L176" s="133" t="s">
        <v>63</v>
      </c>
      <c r="M176" s="134" t="s">
        <v>501</v>
      </c>
      <c r="N176" s="133" t="s">
        <v>63</v>
      </c>
      <c r="O176" s="134" t="s">
        <v>502</v>
      </c>
      <c r="P176" s="133" t="s">
        <v>63</v>
      </c>
      <c r="Q176" s="134" t="s">
        <v>578</v>
      </c>
      <c r="R176" s="111" t="s">
        <v>579</v>
      </c>
    </row>
    <row r="177" spans="1:17">
      <c r="A177" s="27" t="s">
        <v>504</v>
      </c>
      <c r="B177" s="25" t="s">
        <v>505</v>
      </c>
      <c r="C177" s="21">
        <f>M141+M148+M159</f>
        <v>427845.41711694235</v>
      </c>
      <c r="H177" s="25" t="s">
        <v>675</v>
      </c>
      <c r="I177" s="20">
        <f>C181-I176</f>
        <v>348761.58094925352</v>
      </c>
      <c r="K177" s="146" t="s">
        <v>105</v>
      </c>
      <c r="L177" s="135">
        <f>(R36/R29)*100</f>
        <v>25.498859921443291</v>
      </c>
      <c r="M177" s="136">
        <v>30.8</v>
      </c>
      <c r="N177" s="143">
        <f>L177</f>
        <v>25.498859921443291</v>
      </c>
      <c r="O177" s="136" t="s">
        <v>12</v>
      </c>
      <c r="P177" s="143">
        <f>N177</f>
        <v>25.498859921443291</v>
      </c>
      <c r="Q177" s="136">
        <v>4</v>
      </c>
    </row>
    <row r="178" spans="1:17">
      <c r="B178" s="25" t="s">
        <v>16</v>
      </c>
      <c r="C178" s="2">
        <v>0.05</v>
      </c>
      <c r="H178" s="111" t="s">
        <v>676</v>
      </c>
      <c r="K178" s="147" t="s">
        <v>106</v>
      </c>
      <c r="L178" s="135">
        <f>(R38/R29)*100</f>
        <v>0.84902289967425815</v>
      </c>
      <c r="M178" s="136">
        <v>3.5</v>
      </c>
      <c r="N178" s="143">
        <f>L178</f>
        <v>0.84902289967425815</v>
      </c>
      <c r="O178" s="136">
        <v>12</v>
      </c>
      <c r="P178" s="143">
        <f>N178</f>
        <v>0.84902289967425815</v>
      </c>
      <c r="Q178" s="136">
        <v>12</v>
      </c>
    </row>
    <row r="179" spans="1:17">
      <c r="B179" s="25" t="s">
        <v>506</v>
      </c>
      <c r="C179" s="2">
        <f>K125</f>
        <v>10</v>
      </c>
      <c r="H179" t="s">
        <v>677</v>
      </c>
      <c r="K179" s="147" t="s">
        <v>107</v>
      </c>
      <c r="L179" s="135">
        <f>(R42/R29)*100</f>
        <v>1.5391324978989513</v>
      </c>
      <c r="M179" s="136" t="s">
        <v>12</v>
      </c>
      <c r="N179" s="143">
        <f>L179</f>
        <v>1.5391324978989513</v>
      </c>
      <c r="O179" s="136">
        <v>24</v>
      </c>
      <c r="P179" s="143">
        <f>N179</f>
        <v>1.5391324978989513</v>
      </c>
      <c r="Q179" s="136">
        <v>4</v>
      </c>
    </row>
    <row r="180" spans="1:17" ht="15.75" thickBot="1">
      <c r="K180" s="147" t="s">
        <v>678</v>
      </c>
      <c r="L180" s="137">
        <v>3124.9385726859573</v>
      </c>
      <c r="M180" s="138">
        <v>120</v>
      </c>
      <c r="N180" s="137">
        <v>935.59171249799249</v>
      </c>
      <c r="O180" s="138">
        <f>5*12</f>
        <v>60</v>
      </c>
      <c r="P180" s="137">
        <v>2935.4959705136998</v>
      </c>
      <c r="Q180" s="138">
        <f>5*12</f>
        <v>60</v>
      </c>
    </row>
    <row r="181" spans="1:17">
      <c r="B181" s="82" t="s">
        <v>7</v>
      </c>
      <c r="C181" s="47">
        <f>((C178*(1+C178)^C179)/((1+C178)^C179-1))*C176+C177</f>
        <v>889698.43541372474</v>
      </c>
      <c r="D181" s="48" t="s">
        <v>508</v>
      </c>
      <c r="K181" s="147" t="s">
        <v>509</v>
      </c>
      <c r="L181" s="135">
        <f>C183/1000</f>
        <v>0.34256130727919365</v>
      </c>
      <c r="M181" s="149">
        <f>'Escenario 1'!M160</f>
        <v>1.028125</v>
      </c>
      <c r="N181" s="143">
        <f>L181</f>
        <v>0.34256130727919365</v>
      </c>
      <c r="O181" s="144">
        <f>'Escenario 1'!O160</f>
        <v>6.3849999999999998</v>
      </c>
      <c r="P181" s="143">
        <f>N181</f>
        <v>0.34256130727919365</v>
      </c>
      <c r="Q181" s="151">
        <f>'Escenario 1'!Q160</f>
        <v>6.3849999999999998</v>
      </c>
    </row>
    <row r="182" spans="1:17" ht="17.25">
      <c r="B182" s="83" t="s">
        <v>679</v>
      </c>
      <c r="C182" s="81">
        <f>(C181-(C183*C192))/C191</f>
        <v>2116.9914498659596</v>
      </c>
      <c r="D182" s="84" t="s">
        <v>510</v>
      </c>
      <c r="K182" s="147" t="s">
        <v>511</v>
      </c>
      <c r="L182" s="139">
        <f>L$180*1*(L177/100)</f>
        <v>796.82370928034152</v>
      </c>
      <c r="M182" s="140">
        <f>M$180*1*(M177/100)</f>
        <v>36.96</v>
      </c>
      <c r="N182" s="139">
        <f>N$180*1*(N177/100)</f>
        <v>238.56522020649552</v>
      </c>
      <c r="O182" s="140" t="s">
        <v>12</v>
      </c>
      <c r="P182" s="139">
        <f t="shared" ref="P182:Q184" si="19">P$180*1*(P177/100)</f>
        <v>748.51800552090049</v>
      </c>
      <c r="Q182" s="140">
        <f t="shared" si="19"/>
        <v>2.4</v>
      </c>
    </row>
    <row r="183" spans="1:17" ht="18" thickBot="1">
      <c r="B183" s="49" t="s">
        <v>680</v>
      </c>
      <c r="C183" s="50">
        <f>'Escenario 2'!C161</f>
        <v>342.56130727919367</v>
      </c>
      <c r="D183" s="51" t="s">
        <v>510</v>
      </c>
      <c r="E183" s="60" t="s">
        <v>681</v>
      </c>
      <c r="K183" s="147" t="s">
        <v>512</v>
      </c>
      <c r="L183" s="139">
        <f t="shared" ref="L183:M184" si="20">L$180*1*(L178/100)</f>
        <v>26.531444082857689</v>
      </c>
      <c r="M183" s="140">
        <f t="shared" si="20"/>
        <v>4.2</v>
      </c>
      <c r="N183" s="139">
        <f>N$180*1*(N178/100)</f>
        <v>7.9433878865625047</v>
      </c>
      <c r="O183" s="140">
        <f>O$180*1*(O178/100)</f>
        <v>7.1999999999999993</v>
      </c>
      <c r="P183" s="139">
        <f t="shared" si="19"/>
        <v>24.92303300867642</v>
      </c>
      <c r="Q183" s="140">
        <f t="shared" si="19"/>
        <v>7.1999999999999993</v>
      </c>
    </row>
    <row r="184" spans="1:17">
      <c r="K184" s="147" t="s">
        <v>515</v>
      </c>
      <c r="L184" s="139">
        <f t="shared" si="20"/>
        <v>48.096945111589214</v>
      </c>
      <c r="M184" s="140" t="s">
        <v>12</v>
      </c>
      <c r="N184" s="139">
        <f>N$180*1*(N179/100)</f>
        <v>14.399996094705928</v>
      </c>
      <c r="O184" s="140">
        <f>O$180*1*(O179/100)</f>
        <v>14.399999999999999</v>
      </c>
      <c r="P184" s="139">
        <f t="shared" si="19"/>
        <v>45.181172456690575</v>
      </c>
      <c r="Q184" s="140">
        <f t="shared" si="19"/>
        <v>2.4</v>
      </c>
    </row>
    <row r="185" spans="1:17" ht="15.75" thickBot="1">
      <c r="B185" s="26" t="s">
        <v>580</v>
      </c>
      <c r="C185" s="267" t="s">
        <v>514</v>
      </c>
      <c r="D185" s="267"/>
      <c r="E185" s="267"/>
      <c r="F185" s="267"/>
      <c r="K185" s="148" t="s">
        <v>682</v>
      </c>
      <c r="L185" s="141">
        <f t="shared" ref="L185:Q185" si="21">L180*L181</f>
        <v>1070.4830426264791</v>
      </c>
      <c r="M185" s="142">
        <f t="shared" si="21"/>
        <v>123.375</v>
      </c>
      <c r="N185" s="141">
        <f t="shared" si="21"/>
        <v>320.49752011289183</v>
      </c>
      <c r="O185" s="142">
        <f t="shared" si="21"/>
        <v>383.09999999999997</v>
      </c>
      <c r="P185" s="141">
        <f t="shared" si="21"/>
        <v>1005.5873371719783</v>
      </c>
      <c r="Q185" s="142">
        <f t="shared" si="21"/>
        <v>383.09999999999997</v>
      </c>
    </row>
    <row r="186" spans="1:17" ht="15.75" thickBot="1">
      <c r="B186" s="26" t="s">
        <v>516</v>
      </c>
      <c r="C186" s="268" t="s">
        <v>517</v>
      </c>
      <c r="D186" s="321"/>
      <c r="E186" s="321"/>
      <c r="F186" s="269"/>
    </row>
    <row r="187" spans="1:17" ht="15.75" thickBot="1">
      <c r="B187" s="26" t="s">
        <v>519</v>
      </c>
      <c r="C187" s="268" t="s">
        <v>520</v>
      </c>
      <c r="D187" s="321"/>
      <c r="E187" s="321"/>
      <c r="F187" s="269"/>
      <c r="K187" s="99"/>
      <c r="L187" s="188" t="s">
        <v>61</v>
      </c>
    </row>
    <row r="188" spans="1:17">
      <c r="B188" s="26" t="s">
        <v>521</v>
      </c>
      <c r="C188" s="268" t="s">
        <v>522</v>
      </c>
      <c r="D188" s="321"/>
      <c r="E188" s="321"/>
      <c r="F188" s="269"/>
      <c r="H188" s="93"/>
      <c r="K188" s="146" t="s">
        <v>105</v>
      </c>
      <c r="L188" s="185">
        <f>(T36/T29)*100</f>
        <v>17.142858610775288</v>
      </c>
    </row>
    <row r="189" spans="1:17">
      <c r="B189" s="26" t="s">
        <v>7</v>
      </c>
      <c r="C189" s="268" t="s">
        <v>525</v>
      </c>
      <c r="D189" s="321"/>
      <c r="E189" s="321"/>
      <c r="F189" s="269"/>
      <c r="K189" s="147" t="s">
        <v>106</v>
      </c>
      <c r="L189" s="186">
        <f>(T38/T29)*100</f>
        <v>1.1573213427053732</v>
      </c>
    </row>
    <row r="190" spans="1:17" ht="15.75" thickBot="1">
      <c r="K190" s="148" t="s">
        <v>107</v>
      </c>
      <c r="L190" s="187">
        <f>(T42/T29)*100</f>
        <v>2.3226395961634849E-2</v>
      </c>
    </row>
    <row r="191" spans="1:17" ht="17.25">
      <c r="B191" s="26" t="s">
        <v>683</v>
      </c>
      <c r="C191" s="9">
        <f>T28*G118</f>
        <v>164.74397238181376</v>
      </c>
      <c r="D191" s="2" t="s">
        <v>528</v>
      </c>
    </row>
    <row r="192" spans="1:17" ht="17.25">
      <c r="B192" s="26" t="s">
        <v>684</v>
      </c>
      <c r="C192" s="9">
        <f>R28*G118</f>
        <v>1579.0950202779263</v>
      </c>
      <c r="D192" s="2" t="s">
        <v>528</v>
      </c>
      <c r="H192" s="75"/>
      <c r="K192">
        <f>2117/349.2</f>
        <v>6.0624284077892323</v>
      </c>
      <c r="L192">
        <f>1.05/0.7</f>
        <v>1.5000000000000002</v>
      </c>
    </row>
    <row r="193" spans="2:16">
      <c r="K193">
        <f>789/165</f>
        <v>4.7818181818181822</v>
      </c>
    </row>
    <row r="194" spans="2:16" ht="20.25" thickBot="1">
      <c r="B194" s="291" t="s">
        <v>581</v>
      </c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</row>
    <row r="195" spans="2:16" ht="15.75" thickTop="1"/>
    <row r="196" spans="2:16">
      <c r="B196" s="25" t="s">
        <v>531</v>
      </c>
      <c r="C196" s="29">
        <v>0</v>
      </c>
      <c r="D196" s="29">
        <v>1</v>
      </c>
      <c r="E196" s="29">
        <v>2</v>
      </c>
      <c r="F196" s="29">
        <v>3</v>
      </c>
      <c r="G196" s="29">
        <v>4</v>
      </c>
      <c r="H196" s="29">
        <v>5</v>
      </c>
      <c r="I196" s="29">
        <v>6</v>
      </c>
      <c r="J196" s="29">
        <v>7</v>
      </c>
      <c r="K196" s="29">
        <v>8</v>
      </c>
      <c r="L196" s="29">
        <v>9</v>
      </c>
      <c r="M196" s="29">
        <v>10</v>
      </c>
    </row>
    <row r="197" spans="2:16">
      <c r="B197" s="25" t="s">
        <v>532</v>
      </c>
      <c r="C197" s="21">
        <f>C176</f>
        <v>3566306.5835316968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6">
      <c r="B198" s="25" t="s">
        <v>533</v>
      </c>
      <c r="C198" s="1"/>
      <c r="D198" s="21">
        <f>(C210*C207)+(D207*C212)</f>
        <v>176001.69750718621</v>
      </c>
      <c r="E198" s="21">
        <f>$D$198</f>
        <v>176001.69750718621</v>
      </c>
      <c r="F198" s="21">
        <f t="shared" ref="F198:M198" si="22">$D$198</f>
        <v>176001.69750718621</v>
      </c>
      <c r="G198" s="21">
        <f t="shared" si="22"/>
        <v>176001.69750718621</v>
      </c>
      <c r="H198" s="21">
        <f t="shared" si="22"/>
        <v>176001.69750718621</v>
      </c>
      <c r="I198" s="21">
        <f t="shared" si="22"/>
        <v>176001.69750718621</v>
      </c>
      <c r="J198" s="21">
        <f t="shared" si="22"/>
        <v>176001.69750718621</v>
      </c>
      <c r="K198" s="21">
        <f t="shared" si="22"/>
        <v>176001.69750718621</v>
      </c>
      <c r="L198" s="21">
        <f t="shared" si="22"/>
        <v>176001.69750718621</v>
      </c>
      <c r="M198" s="21">
        <f t="shared" si="22"/>
        <v>176001.69750718621</v>
      </c>
    </row>
    <row r="199" spans="2:16">
      <c r="B199" s="25" t="s">
        <v>534</v>
      </c>
      <c r="C199" s="1"/>
      <c r="D199" s="21">
        <f>C177</f>
        <v>427845.41711694235</v>
      </c>
      <c r="E199" s="21">
        <f>$D$199</f>
        <v>427845.41711694235</v>
      </c>
      <c r="F199" s="21">
        <f t="shared" ref="F199:M199" si="23">$D$199</f>
        <v>427845.41711694235</v>
      </c>
      <c r="G199" s="21">
        <f t="shared" si="23"/>
        <v>427845.41711694235</v>
      </c>
      <c r="H199" s="21">
        <f t="shared" si="23"/>
        <v>427845.41711694235</v>
      </c>
      <c r="I199" s="21">
        <f t="shared" si="23"/>
        <v>427845.41711694235</v>
      </c>
      <c r="J199" s="21">
        <f t="shared" si="23"/>
        <v>427845.41711694235</v>
      </c>
      <c r="K199" s="21">
        <f t="shared" si="23"/>
        <v>427845.41711694235</v>
      </c>
      <c r="L199" s="21">
        <f t="shared" si="23"/>
        <v>427845.41711694235</v>
      </c>
      <c r="M199" s="21">
        <f t="shared" si="23"/>
        <v>427845.41711694235</v>
      </c>
    </row>
    <row r="200" spans="2:16">
      <c r="B200" s="25" t="s">
        <v>535</v>
      </c>
      <c r="C200" s="1"/>
      <c r="D200" s="21">
        <f>D198-D199</f>
        <v>-251843.71960975614</v>
      </c>
      <c r="E200" s="21">
        <f t="shared" ref="E200:M200" si="24">E198-E199</f>
        <v>-251843.71960975614</v>
      </c>
      <c r="F200" s="21">
        <f t="shared" si="24"/>
        <v>-251843.71960975614</v>
      </c>
      <c r="G200" s="21">
        <f t="shared" si="24"/>
        <v>-251843.71960975614</v>
      </c>
      <c r="H200" s="21">
        <f t="shared" si="24"/>
        <v>-251843.71960975614</v>
      </c>
      <c r="I200" s="21">
        <f t="shared" si="24"/>
        <v>-251843.71960975614</v>
      </c>
      <c r="J200" s="21">
        <f t="shared" si="24"/>
        <v>-251843.71960975614</v>
      </c>
      <c r="K200" s="21">
        <f t="shared" si="24"/>
        <v>-251843.71960975614</v>
      </c>
      <c r="L200" s="21">
        <f t="shared" si="24"/>
        <v>-251843.71960975614</v>
      </c>
      <c r="M200" s="21">
        <f t="shared" si="24"/>
        <v>-251843.71960975614</v>
      </c>
    </row>
    <row r="201" spans="2:16">
      <c r="B201" s="25" t="s">
        <v>536</v>
      </c>
      <c r="C201" s="1"/>
      <c r="D201" s="21">
        <f>D200/((1+$C$178)^$C$179)</f>
        <v>-154610.19728943211</v>
      </c>
      <c r="E201" s="21">
        <f t="shared" ref="E201:M201" si="25">E200/((1+$C$178)^$C$179)</f>
        <v>-154610.19728943211</v>
      </c>
      <c r="F201" s="21">
        <f t="shared" si="25"/>
        <v>-154610.19728943211</v>
      </c>
      <c r="G201" s="21">
        <f t="shared" si="25"/>
        <v>-154610.19728943211</v>
      </c>
      <c r="H201" s="21">
        <f t="shared" si="25"/>
        <v>-154610.19728943211</v>
      </c>
      <c r="I201" s="21">
        <f t="shared" si="25"/>
        <v>-154610.19728943211</v>
      </c>
      <c r="J201" s="21">
        <f t="shared" si="25"/>
        <v>-154610.19728943211</v>
      </c>
      <c r="K201" s="21">
        <f t="shared" si="25"/>
        <v>-154610.19728943211</v>
      </c>
      <c r="L201" s="21">
        <f t="shared" si="25"/>
        <v>-154610.19728943211</v>
      </c>
      <c r="M201" s="21">
        <f t="shared" si="25"/>
        <v>-154610.19728943211</v>
      </c>
    </row>
    <row r="202" spans="2:16" ht="15.75" thickBot="1"/>
    <row r="203" spans="2:16" ht="15.75" thickBot="1">
      <c r="B203" s="58" t="s">
        <v>537</v>
      </c>
      <c r="C203" s="59">
        <f>SUM(D201:M201)-C197</f>
        <v>-5112408.5564260185</v>
      </c>
    </row>
    <row r="204" spans="2:16" ht="15.75" thickBot="1">
      <c r="C204" s="85"/>
    </row>
    <row r="205" spans="2:16" ht="15.75" thickBot="1">
      <c r="C205" s="58" t="s">
        <v>67</v>
      </c>
      <c r="D205" s="87" t="s">
        <v>69</v>
      </c>
    </row>
    <row r="206" spans="2:16">
      <c r="B206" s="25" t="s">
        <v>538</v>
      </c>
      <c r="C206" s="86">
        <f>C182</f>
        <v>2116.9914498659596</v>
      </c>
      <c r="D206" s="88">
        <f>C183</f>
        <v>342.56130727919367</v>
      </c>
    </row>
    <row r="207" spans="2:16">
      <c r="B207" s="25" t="s">
        <v>539</v>
      </c>
      <c r="C207" s="20">
        <v>416.54474598466453</v>
      </c>
      <c r="D207" s="21">
        <f>'Escenario 1'!C183</f>
        <v>68</v>
      </c>
    </row>
    <row r="209" spans="2:16">
      <c r="B209" s="289" t="s">
        <v>683</v>
      </c>
      <c r="C209" s="9">
        <f>C210*1000</f>
        <v>164743.97238181377</v>
      </c>
      <c r="D209" s="5" t="s">
        <v>540</v>
      </c>
    </row>
    <row r="210" spans="2:16" ht="17.25">
      <c r="B210" s="290"/>
      <c r="C210" s="9">
        <f>C191</f>
        <v>164.74397238181376</v>
      </c>
      <c r="D210" s="2" t="s">
        <v>528</v>
      </c>
    </row>
    <row r="211" spans="2:16">
      <c r="B211" s="289" t="s">
        <v>684</v>
      </c>
      <c r="C211" s="2">
        <f>C212*1000</f>
        <v>1579095.0202779262</v>
      </c>
      <c r="D211" s="5" t="s">
        <v>540</v>
      </c>
    </row>
    <row r="212" spans="2:16" ht="17.25">
      <c r="B212" s="290"/>
      <c r="C212" s="9">
        <f>C192</f>
        <v>1579.0950202779263</v>
      </c>
      <c r="D212" s="2" t="s">
        <v>528</v>
      </c>
    </row>
    <row r="214" spans="2:16">
      <c r="B214" s="75" t="s">
        <v>541</v>
      </c>
    </row>
    <row r="216" spans="2:16" ht="20.25" thickBot="1">
      <c r="B216" s="291" t="s">
        <v>542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</row>
    <row r="217" spans="2:16" ht="15.75" thickTop="1"/>
    <row r="218" spans="2:16">
      <c r="B218" s="292" t="s">
        <v>543</v>
      </c>
      <c r="C218" s="292"/>
      <c r="D218" s="292"/>
      <c r="E218" s="292"/>
      <c r="F218" s="292"/>
      <c r="G218" s="292"/>
      <c r="H218" s="292"/>
      <c r="I218" s="292"/>
      <c r="J218" s="292"/>
      <c r="K218" s="292"/>
    </row>
    <row r="219" spans="2:16" ht="17.25">
      <c r="B219" s="2" t="s">
        <v>544</v>
      </c>
      <c r="C219" s="2" t="s">
        <v>545</v>
      </c>
      <c r="D219" s="2" t="s">
        <v>546</v>
      </c>
      <c r="E219" s="2" t="s">
        <v>547</v>
      </c>
      <c r="F219" s="2" t="s">
        <v>548</v>
      </c>
      <c r="G219" s="2" t="s">
        <v>549</v>
      </c>
      <c r="H219" s="2" t="s">
        <v>550</v>
      </c>
      <c r="I219" s="2" t="s">
        <v>551</v>
      </c>
      <c r="J219" s="2" t="s">
        <v>552</v>
      </c>
      <c r="K219" s="2" t="s">
        <v>553</v>
      </c>
    </row>
    <row r="220" spans="2:16">
      <c r="B220" s="2" t="s">
        <v>245</v>
      </c>
      <c r="C220" s="9">
        <f>D29/24</f>
        <v>1573.7214611872143</v>
      </c>
      <c r="D220" s="9">
        <f>((1000*3*9.81)+101325)/101325</f>
        <v>1.2904515173945226</v>
      </c>
      <c r="E220" s="2">
        <v>1.5</v>
      </c>
      <c r="F220" s="2">
        <v>25</v>
      </c>
      <c r="G220" s="2">
        <v>2.1480000000000001</v>
      </c>
      <c r="H220" s="2">
        <v>1.577</v>
      </c>
      <c r="I220" s="130">
        <v>0.75</v>
      </c>
      <c r="J220" s="91">
        <v>4780</v>
      </c>
      <c r="K220" s="2">
        <v>36.5</v>
      </c>
    </row>
    <row r="221" spans="2:16">
      <c r="B221" s="2" t="s">
        <v>246</v>
      </c>
      <c r="C221" s="9">
        <f>E29/24</f>
        <v>9245.6135844748842</v>
      </c>
      <c r="D221" s="9">
        <f>D220</f>
        <v>1.2904515173945226</v>
      </c>
      <c r="E221" s="2">
        <v>1.5</v>
      </c>
      <c r="F221" s="2">
        <v>25</v>
      </c>
      <c r="G221" s="2">
        <v>2.1480000000000001</v>
      </c>
      <c r="H221" s="2">
        <v>9.2639999999999993</v>
      </c>
      <c r="I221" s="130">
        <v>0.75</v>
      </c>
      <c r="J221" s="91">
        <v>5230</v>
      </c>
      <c r="K221" s="2">
        <v>36.5</v>
      </c>
    </row>
    <row r="222" spans="2:16">
      <c r="B222" s="2" t="s">
        <v>247</v>
      </c>
      <c r="C222" s="9">
        <f>F29/24</f>
        <v>4917.8795662100447</v>
      </c>
      <c r="D222" s="2">
        <v>0.5</v>
      </c>
      <c r="E222" s="2">
        <v>1.5</v>
      </c>
      <c r="F222" s="2">
        <v>25</v>
      </c>
      <c r="G222" s="2">
        <v>10.23</v>
      </c>
      <c r="H222" s="2">
        <v>4.9279999999999999</v>
      </c>
      <c r="I222" s="130">
        <v>0.75</v>
      </c>
      <c r="J222" s="91">
        <v>5000</v>
      </c>
      <c r="K222" s="2">
        <v>36.57</v>
      </c>
    </row>
    <row r="223" spans="2:16">
      <c r="B223" s="2" t="s">
        <v>250</v>
      </c>
      <c r="C223" s="9">
        <f>I29/24</f>
        <v>9835.7591324200894</v>
      </c>
      <c r="D223" s="2">
        <v>1</v>
      </c>
      <c r="E223" s="2">
        <v>1.5</v>
      </c>
      <c r="F223" s="2">
        <v>25</v>
      </c>
      <c r="G223" s="2">
        <v>5.1139999999999999</v>
      </c>
      <c r="H223" s="2">
        <v>9.8450000000000006</v>
      </c>
      <c r="I223" s="130">
        <v>0.75</v>
      </c>
      <c r="J223" s="91">
        <v>5340</v>
      </c>
      <c r="K223" s="2">
        <v>36.57</v>
      </c>
    </row>
    <row r="224" spans="2:16">
      <c r="B224" s="2" t="s">
        <v>253</v>
      </c>
      <c r="C224" s="9">
        <f>L29/24</f>
        <v>207.64380390664633</v>
      </c>
      <c r="D224" s="2">
        <v>0.5</v>
      </c>
      <c r="E224" s="2">
        <v>1</v>
      </c>
      <c r="F224" s="2">
        <v>25</v>
      </c>
      <c r="G224" s="2">
        <v>5.1139999999999999</v>
      </c>
      <c r="H224" s="2">
        <v>0.93630000000000002</v>
      </c>
      <c r="I224" s="130">
        <v>0.75</v>
      </c>
      <c r="J224" s="91">
        <v>4560</v>
      </c>
      <c r="K224" s="2">
        <v>36.51</v>
      </c>
    </row>
    <row r="225" spans="2:11">
      <c r="B225" s="2" t="s">
        <v>254</v>
      </c>
      <c r="C225" s="9">
        <f>M29/24</f>
        <v>207.64380390664633</v>
      </c>
      <c r="D225" s="2">
        <v>1</v>
      </c>
      <c r="E225" s="2">
        <v>1.29</v>
      </c>
      <c r="F225" s="2">
        <v>35</v>
      </c>
      <c r="G225" s="2">
        <v>2.9750000000000001</v>
      </c>
      <c r="H225" s="2">
        <v>0.93630000000000002</v>
      </c>
      <c r="I225" s="130">
        <v>0.75</v>
      </c>
      <c r="J225" s="91">
        <v>4780</v>
      </c>
      <c r="K225" s="2">
        <v>36.51</v>
      </c>
    </row>
    <row r="226" spans="2:11">
      <c r="B226" s="2" t="s">
        <v>610</v>
      </c>
      <c r="C226" s="9">
        <f>O29/24</f>
        <v>316.17229874852018</v>
      </c>
      <c r="D226" s="2">
        <v>1</v>
      </c>
      <c r="E226" s="2">
        <v>1.5</v>
      </c>
      <c r="F226" s="2">
        <v>35</v>
      </c>
      <c r="G226" s="2">
        <v>5.1360000000000001</v>
      </c>
      <c r="H226" s="2">
        <v>1.4033</v>
      </c>
      <c r="I226" s="130">
        <v>0.75</v>
      </c>
      <c r="J226" s="91">
        <v>4780</v>
      </c>
      <c r="K226" s="2">
        <v>36.51</v>
      </c>
    </row>
    <row r="227" spans="2:11">
      <c r="B227" s="2" t="s">
        <v>586</v>
      </c>
      <c r="C227" s="9">
        <f>P29/24</f>
        <v>138.6368464083375</v>
      </c>
      <c r="D227" s="2">
        <v>1</v>
      </c>
      <c r="E227" s="2">
        <v>1.5</v>
      </c>
      <c r="F227" s="2">
        <v>35</v>
      </c>
      <c r="G227" s="2">
        <v>3.081</v>
      </c>
      <c r="H227" s="2">
        <v>0.21329999999999999</v>
      </c>
      <c r="I227" s="130">
        <v>0.75</v>
      </c>
      <c r="J227" s="91">
        <v>4560</v>
      </c>
      <c r="K227" s="2">
        <v>36</v>
      </c>
    </row>
    <row r="228" spans="2:11">
      <c r="B228" s="2"/>
      <c r="C228" s="9"/>
      <c r="D228" s="2"/>
      <c r="E228" s="2"/>
      <c r="F228" s="2"/>
      <c r="G228" s="2"/>
      <c r="H228" s="2"/>
      <c r="I228" s="130"/>
      <c r="J228" s="91"/>
      <c r="K228" s="2"/>
    </row>
    <row r="229" spans="2:11">
      <c r="B229" s="2" t="s">
        <v>612</v>
      </c>
      <c r="C229" s="9">
        <f>R29/24</f>
        <v>180.26198861620165</v>
      </c>
      <c r="D229" s="2">
        <v>1</v>
      </c>
      <c r="E229" s="2">
        <v>1.29</v>
      </c>
      <c r="F229" s="2">
        <v>50</v>
      </c>
      <c r="G229" s="2">
        <v>5.1210000000000004</v>
      </c>
      <c r="H229" s="2">
        <v>0.6835</v>
      </c>
      <c r="I229" s="130">
        <v>0.75</v>
      </c>
      <c r="J229" s="91">
        <v>4780</v>
      </c>
      <c r="K229" s="2">
        <v>36.51</v>
      </c>
    </row>
    <row r="230" spans="2:11">
      <c r="B230" s="2" t="s">
        <v>611</v>
      </c>
      <c r="C230" s="9">
        <f>Q29/24</f>
        <v>177.53545234018262</v>
      </c>
      <c r="D230" s="2">
        <v>1</v>
      </c>
      <c r="E230" s="2">
        <v>1.5</v>
      </c>
      <c r="F230" s="2">
        <v>25</v>
      </c>
      <c r="G230" s="2">
        <v>5.1139999999999999</v>
      </c>
      <c r="H230" s="2">
        <v>0.88680000000000003</v>
      </c>
      <c r="I230" s="130">
        <v>0.75</v>
      </c>
      <c r="J230" s="91">
        <v>4780</v>
      </c>
      <c r="K230" s="2">
        <v>36.51</v>
      </c>
    </row>
    <row r="231" spans="2:11">
      <c r="B231" s="2" t="s">
        <v>614</v>
      </c>
      <c r="C231" s="9">
        <f>T29/24</f>
        <v>18.806389541302938</v>
      </c>
      <c r="D231" s="2">
        <v>1</v>
      </c>
      <c r="E231" s="2">
        <v>1.29</v>
      </c>
      <c r="F231" s="2">
        <v>96</v>
      </c>
      <c r="G231" s="2">
        <v>5.1360000000000001</v>
      </c>
      <c r="H231" s="2">
        <v>1.5678000000000001</v>
      </c>
      <c r="I231" s="130">
        <v>0.75</v>
      </c>
      <c r="J231" s="91">
        <v>4780</v>
      </c>
      <c r="K231" s="2">
        <v>36.51</v>
      </c>
    </row>
    <row r="233" spans="2:11">
      <c r="B233" s="292" t="s">
        <v>685</v>
      </c>
      <c r="C233" s="292"/>
      <c r="D233" s="292"/>
      <c r="E233" s="292"/>
      <c r="F233" s="292"/>
      <c r="G233" s="292"/>
      <c r="H233" s="292"/>
      <c r="I233" s="292"/>
      <c r="J233" s="292"/>
      <c r="K233" s="292"/>
    </row>
    <row r="234" spans="2:11" ht="17.25">
      <c r="B234" s="2" t="s">
        <v>555</v>
      </c>
      <c r="C234" s="2" t="s">
        <v>202</v>
      </c>
      <c r="D234" s="2" t="s">
        <v>548</v>
      </c>
      <c r="E234" s="2" t="s">
        <v>556</v>
      </c>
      <c r="F234" s="2" t="s">
        <v>557</v>
      </c>
      <c r="G234" s="2" t="s">
        <v>558</v>
      </c>
      <c r="H234" s="2" t="s">
        <v>559</v>
      </c>
      <c r="I234" s="2" t="s">
        <v>560</v>
      </c>
      <c r="J234" s="2" t="s">
        <v>561</v>
      </c>
      <c r="K234" s="2"/>
    </row>
    <row r="235" spans="2:11">
      <c r="B235" s="9">
        <f>O29/24</f>
        <v>316.17229874852018</v>
      </c>
      <c r="C235" s="2">
        <f>O72</f>
        <v>1</v>
      </c>
      <c r="D235" s="2">
        <v>35</v>
      </c>
      <c r="E235" s="9">
        <f>O73</f>
        <v>0.31617229874852015</v>
      </c>
      <c r="F235" s="2">
        <v>2.286</v>
      </c>
      <c r="G235" s="2">
        <v>0.30480000000000002</v>
      </c>
      <c r="H235" s="2"/>
      <c r="I235" s="2"/>
      <c r="J235" s="91">
        <v>47000</v>
      </c>
      <c r="K235" s="2"/>
    </row>
    <row r="237" spans="2:11">
      <c r="B237" s="292" t="s">
        <v>310</v>
      </c>
      <c r="C237" s="292"/>
      <c r="D237" s="292"/>
      <c r="E237" s="292"/>
      <c r="F237" s="292"/>
      <c r="G237" s="292"/>
      <c r="H237" s="292"/>
      <c r="I237" s="292"/>
      <c r="J237" s="292"/>
      <c r="K237" s="292"/>
    </row>
    <row r="238" spans="2:11" ht="17.25">
      <c r="B238" s="2" t="s">
        <v>555</v>
      </c>
      <c r="C238" s="2" t="s">
        <v>202</v>
      </c>
      <c r="D238" s="2" t="s">
        <v>548</v>
      </c>
      <c r="E238" s="2" t="s">
        <v>556</v>
      </c>
      <c r="F238" s="2" t="s">
        <v>557</v>
      </c>
      <c r="G238" s="2" t="s">
        <v>558</v>
      </c>
      <c r="H238" s="2" t="s">
        <v>559</v>
      </c>
      <c r="I238" s="2" t="s">
        <v>560</v>
      </c>
      <c r="J238" s="2" t="s">
        <v>561</v>
      </c>
      <c r="K238" s="2"/>
    </row>
    <row r="239" spans="2:11">
      <c r="B239" s="9">
        <f>R29/24</f>
        <v>180.26198861620165</v>
      </c>
      <c r="C239" s="2">
        <f>O67</f>
        <v>4</v>
      </c>
      <c r="D239" s="2">
        <v>50</v>
      </c>
      <c r="E239" s="9">
        <f>O68</f>
        <v>0.72104795446480663</v>
      </c>
      <c r="F239" s="2">
        <v>2.44</v>
      </c>
      <c r="G239" s="2">
        <v>0.4572</v>
      </c>
      <c r="H239" s="2"/>
      <c r="I239" s="2"/>
      <c r="J239" s="91">
        <v>64500</v>
      </c>
      <c r="K239" s="2"/>
    </row>
    <row r="241" spans="1:11">
      <c r="B241" s="292" t="s">
        <v>566</v>
      </c>
      <c r="C241" s="292"/>
      <c r="D241" s="292"/>
      <c r="E241" s="292"/>
      <c r="F241" s="292"/>
      <c r="G241" s="292"/>
      <c r="H241" s="292"/>
      <c r="I241" s="292"/>
      <c r="J241" s="292"/>
      <c r="K241" s="292"/>
    </row>
    <row r="242" spans="1:11">
      <c r="B242" s="2" t="s">
        <v>582</v>
      </c>
      <c r="C242" s="2" t="s">
        <v>583</v>
      </c>
      <c r="D242" s="2" t="s">
        <v>584</v>
      </c>
      <c r="E242" s="2"/>
      <c r="F242" s="2"/>
      <c r="G242" s="2" t="s">
        <v>558</v>
      </c>
      <c r="H242" s="2" t="s">
        <v>559</v>
      </c>
      <c r="I242" s="2"/>
      <c r="J242" s="2" t="s">
        <v>561</v>
      </c>
      <c r="K242" s="2"/>
    </row>
    <row r="243" spans="1:11">
      <c r="B243" s="9">
        <f>O29/24</f>
        <v>316.17229874852018</v>
      </c>
      <c r="C243" s="9">
        <f>Q29/24</f>
        <v>177.53545234018262</v>
      </c>
      <c r="D243" s="9">
        <f>P29/24</f>
        <v>138.6368464083375</v>
      </c>
      <c r="E243" s="9"/>
      <c r="F243" s="2"/>
      <c r="G243" s="2">
        <v>0.254</v>
      </c>
      <c r="H243" s="2">
        <v>44.91</v>
      </c>
      <c r="I243" s="2"/>
      <c r="J243" s="91">
        <v>274000</v>
      </c>
      <c r="K243" s="2"/>
    </row>
    <row r="245" spans="1:11">
      <c r="B245" s="292" t="s">
        <v>686</v>
      </c>
      <c r="C245" s="292"/>
      <c r="D245" s="292"/>
      <c r="E245" s="292"/>
      <c r="F245" s="292"/>
      <c r="G245" s="292"/>
      <c r="H245" s="292"/>
      <c r="I245" s="292"/>
      <c r="J245" s="292"/>
      <c r="K245" s="292"/>
    </row>
    <row r="246" spans="1:11" ht="17.25">
      <c r="B246" s="2" t="s">
        <v>555</v>
      </c>
      <c r="C246" s="2" t="s">
        <v>202</v>
      </c>
      <c r="D246" s="2" t="s">
        <v>548</v>
      </c>
      <c r="E246" s="2" t="s">
        <v>556</v>
      </c>
      <c r="F246" s="2" t="s">
        <v>557</v>
      </c>
      <c r="G246" s="2" t="s">
        <v>558</v>
      </c>
      <c r="H246" s="2" t="s">
        <v>559</v>
      </c>
      <c r="I246" s="2"/>
      <c r="J246" s="2" t="s">
        <v>561</v>
      </c>
      <c r="K246" s="2"/>
    </row>
    <row r="247" spans="1:11">
      <c r="A247" s="75" t="s">
        <v>67</v>
      </c>
      <c r="B247" s="9">
        <f>T29/24</f>
        <v>18.806389541302938</v>
      </c>
      <c r="C247" s="2">
        <v>24</v>
      </c>
      <c r="D247" s="2">
        <v>25</v>
      </c>
      <c r="E247" s="9">
        <f>T67</f>
        <v>0.45135334899127055</v>
      </c>
      <c r="F247" s="2">
        <v>1.8360000000000001</v>
      </c>
      <c r="G247" s="2">
        <v>1.224</v>
      </c>
      <c r="H247" s="2">
        <v>35.119999999999997</v>
      </c>
      <c r="I247" s="2"/>
      <c r="J247" s="91">
        <v>14400</v>
      </c>
      <c r="K247" s="2"/>
    </row>
    <row r="248" spans="1:11">
      <c r="A248" s="75" t="s">
        <v>69</v>
      </c>
      <c r="B248" s="9">
        <f>R29/24</f>
        <v>180.26198861620165</v>
      </c>
      <c r="C248" s="2">
        <v>24</v>
      </c>
      <c r="D248" s="2">
        <v>25</v>
      </c>
      <c r="E248" s="9">
        <f>T72</f>
        <v>4.3262877267888395</v>
      </c>
      <c r="F248" s="2">
        <v>3.806</v>
      </c>
      <c r="G248" s="2">
        <v>2.5369999999999999</v>
      </c>
      <c r="H248" s="2">
        <v>35.119999999999997</v>
      </c>
      <c r="I248" s="1"/>
      <c r="J248" s="91">
        <v>29500</v>
      </c>
      <c r="K248" s="1"/>
    </row>
  </sheetData>
  <mergeCells count="100">
    <mergeCell ref="B237:K237"/>
    <mergeCell ref="B241:K241"/>
    <mergeCell ref="B245:K245"/>
    <mergeCell ref="C189:F189"/>
    <mergeCell ref="B194:P194"/>
    <mergeCell ref="B209:B210"/>
    <mergeCell ref="B211:B212"/>
    <mergeCell ref="B216:P216"/>
    <mergeCell ref="B218:K218"/>
    <mergeCell ref="C185:F185"/>
    <mergeCell ref="C186:F186"/>
    <mergeCell ref="C187:F187"/>
    <mergeCell ref="B233:K233"/>
    <mergeCell ref="C188:F188"/>
    <mergeCell ref="B138:B139"/>
    <mergeCell ref="B142:B143"/>
    <mergeCell ref="B145:D145"/>
    <mergeCell ref="B156:D156"/>
    <mergeCell ref="B174:I174"/>
    <mergeCell ref="I161:L161"/>
    <mergeCell ref="B169:B170"/>
    <mergeCell ref="K174:R174"/>
    <mergeCell ref="Z132:AA132"/>
    <mergeCell ref="AB132:AC132"/>
    <mergeCell ref="AD132:AE132"/>
    <mergeCell ref="B135:B136"/>
    <mergeCell ref="V135:W135"/>
    <mergeCell ref="R136:S136"/>
    <mergeCell ref="U132:W132"/>
    <mergeCell ref="B124:B125"/>
    <mergeCell ref="B127:B128"/>
    <mergeCell ref="B131:B133"/>
    <mergeCell ref="I132:N132"/>
    <mergeCell ref="Q132:S132"/>
    <mergeCell ref="B106:D106"/>
    <mergeCell ref="I106:M106"/>
    <mergeCell ref="B108:D108"/>
    <mergeCell ref="B119:D119"/>
    <mergeCell ref="B121:B122"/>
    <mergeCell ref="I123:M123"/>
    <mergeCell ref="X81:X82"/>
    <mergeCell ref="AB81:AD81"/>
    <mergeCell ref="AB82:AB83"/>
    <mergeCell ref="AB89:AD89"/>
    <mergeCell ref="AB92:AB93"/>
    <mergeCell ref="B105:C105"/>
    <mergeCell ref="B77:G77"/>
    <mergeCell ref="I77:P77"/>
    <mergeCell ref="C78:D78"/>
    <mergeCell ref="F78:G78"/>
    <mergeCell ref="K78:L78"/>
    <mergeCell ref="X79:AD79"/>
    <mergeCell ref="J69:L69"/>
    <mergeCell ref="S69:U69"/>
    <mergeCell ref="F70:H70"/>
    <mergeCell ref="N70:P70"/>
    <mergeCell ref="AB72:AD72"/>
    <mergeCell ref="B75:P75"/>
    <mergeCell ref="AB75:AB76"/>
    <mergeCell ref="B62:P62"/>
    <mergeCell ref="X62:AD62"/>
    <mergeCell ref="B64:D64"/>
    <mergeCell ref="F64:H64"/>
    <mergeCell ref="J64:L64"/>
    <mergeCell ref="N64:P64"/>
    <mergeCell ref="S64:U64"/>
    <mergeCell ref="X64:X65"/>
    <mergeCell ref="AB64:AD64"/>
    <mergeCell ref="AB65:AB66"/>
    <mergeCell ref="B48:B49"/>
    <mergeCell ref="AB48:AD48"/>
    <mergeCell ref="AB49:AB50"/>
    <mergeCell ref="X51:Z51"/>
    <mergeCell ref="B52:D52"/>
    <mergeCell ref="AB52:AB54"/>
    <mergeCell ref="B54:E54"/>
    <mergeCell ref="B46:B47"/>
    <mergeCell ref="B34:B35"/>
    <mergeCell ref="X34:Z34"/>
    <mergeCell ref="AB34:AD34"/>
    <mergeCell ref="B36:B37"/>
    <mergeCell ref="B38:B39"/>
    <mergeCell ref="AB38:AD38"/>
    <mergeCell ref="B40:B41"/>
    <mergeCell ref="B42:B43"/>
    <mergeCell ref="X43:Z43"/>
    <mergeCell ref="AB43:AD43"/>
    <mergeCell ref="B44:B45"/>
    <mergeCell ref="B32:B33"/>
    <mergeCell ref="U3:AG3"/>
    <mergeCell ref="N5:O5"/>
    <mergeCell ref="V5:X5"/>
    <mergeCell ref="Y5:AA5"/>
    <mergeCell ref="AB5:AD5"/>
    <mergeCell ref="N10:O10"/>
    <mergeCell ref="AB11:AD11"/>
    <mergeCell ref="AB16:AD16"/>
    <mergeCell ref="X26:Z26"/>
    <mergeCell ref="AB26:AD26"/>
    <mergeCell ref="B28:B29"/>
  </mergeCells>
  <hyperlinks>
    <hyperlink ref="AA22" r:id="rId1" xr:uid="{753BB118-64B5-45EF-A7C7-6C13D4F91626}"/>
    <hyperlink ref="R176" r:id="rId2" display="https://blogs.worldbank.org/opendata/fertilizer-prices-expected-remain-higher-longer" xr:uid="{36EAF563-0B6B-4C06-BC33-4572CABA6B3B}"/>
    <hyperlink ref="H178" r:id="rId3" xr:uid="{E1C64A83-340C-4FB5-97CA-83DC0611915C}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3F370-BF69-47EB-A610-6D5EBCF17D4F}">
  <sheetPr codeName="Hoja12"/>
  <dimension ref="B2:P25"/>
  <sheetViews>
    <sheetView topLeftCell="A13" workbookViewId="0">
      <selection activeCell="E30" sqref="E30"/>
    </sheetView>
  </sheetViews>
  <sheetFormatPr defaultColWidth="11.42578125" defaultRowHeight="15"/>
  <sheetData>
    <row r="2" spans="2:12">
      <c r="B2" s="267" t="s">
        <v>689</v>
      </c>
      <c r="C2" s="267"/>
      <c r="D2" s="267"/>
    </row>
    <row r="4" spans="2:12">
      <c r="B4" s="2" t="s">
        <v>271</v>
      </c>
      <c r="C4" s="2">
        <v>100</v>
      </c>
      <c r="D4" s="2" t="s">
        <v>352</v>
      </c>
      <c r="F4" s="2" t="s">
        <v>271</v>
      </c>
      <c r="G4" s="2">
        <v>10</v>
      </c>
      <c r="H4" s="2" t="s">
        <v>352</v>
      </c>
      <c r="J4" s="2" t="s">
        <v>271</v>
      </c>
      <c r="K4" s="2">
        <v>1</v>
      </c>
      <c r="L4" s="2" t="s">
        <v>352</v>
      </c>
    </row>
    <row r="5" spans="2:12">
      <c r="B5" s="2" t="s">
        <v>312</v>
      </c>
      <c r="C5" s="2">
        <v>36.329000000000001</v>
      </c>
      <c r="D5" s="2" t="s">
        <v>349</v>
      </c>
      <c r="F5" s="2" t="s">
        <v>312</v>
      </c>
      <c r="G5" s="2">
        <v>36.329000000000001</v>
      </c>
      <c r="H5" s="2" t="s">
        <v>349</v>
      </c>
      <c r="J5" s="2" t="s">
        <v>312</v>
      </c>
      <c r="K5" s="2">
        <v>36.329000000000001</v>
      </c>
      <c r="L5" s="2" t="s">
        <v>349</v>
      </c>
    </row>
    <row r="6" spans="2:12">
      <c r="B6" s="2" t="s">
        <v>690</v>
      </c>
      <c r="C6" s="2">
        <v>4560</v>
      </c>
      <c r="D6" s="2" t="s">
        <v>228</v>
      </c>
      <c r="F6" s="2" t="s">
        <v>690</v>
      </c>
      <c r="G6" s="2">
        <v>4560</v>
      </c>
      <c r="H6" s="2" t="s">
        <v>228</v>
      </c>
      <c r="J6" s="2" t="s">
        <v>690</v>
      </c>
      <c r="K6" s="2">
        <v>4560</v>
      </c>
      <c r="L6" s="2" t="s">
        <v>228</v>
      </c>
    </row>
    <row r="9" spans="2:12">
      <c r="B9" s="267" t="s">
        <v>691</v>
      </c>
      <c r="C9" s="267"/>
      <c r="D9" s="267"/>
    </row>
    <row r="11" spans="2:12">
      <c r="B11" s="2" t="s">
        <v>271</v>
      </c>
      <c r="C11" s="2">
        <v>200</v>
      </c>
      <c r="D11" s="2" t="s">
        <v>352</v>
      </c>
      <c r="F11" s="2" t="s">
        <v>271</v>
      </c>
      <c r="G11" s="2">
        <v>100</v>
      </c>
      <c r="H11" s="2" t="s">
        <v>352</v>
      </c>
    </row>
    <row r="12" spans="2:12">
      <c r="B12" s="2" t="s">
        <v>312</v>
      </c>
      <c r="C12" s="2">
        <v>44.491</v>
      </c>
      <c r="D12" s="2" t="s">
        <v>349</v>
      </c>
      <c r="F12" s="2" t="s">
        <v>312</v>
      </c>
      <c r="G12" s="2">
        <v>44.491</v>
      </c>
      <c r="H12" s="2" t="s">
        <v>349</v>
      </c>
    </row>
    <row r="13" spans="2:12">
      <c r="B13" s="2" t="s">
        <v>690</v>
      </c>
      <c r="C13" s="2">
        <v>274000</v>
      </c>
      <c r="D13" s="2" t="s">
        <v>228</v>
      </c>
      <c r="F13" s="2" t="s">
        <v>690</v>
      </c>
      <c r="G13" s="2">
        <v>274000</v>
      </c>
      <c r="H13" s="2" t="s">
        <v>228</v>
      </c>
    </row>
    <row r="16" spans="2:12">
      <c r="B16" s="267" t="s">
        <v>692</v>
      </c>
      <c r="C16" s="267"/>
      <c r="D16" s="267"/>
    </row>
    <row r="18" spans="2:16">
      <c r="B18" s="2" t="s">
        <v>693</v>
      </c>
      <c r="C18" s="2">
        <v>5</v>
      </c>
      <c r="D18" s="2" t="s">
        <v>694</v>
      </c>
      <c r="F18" s="2" t="s">
        <v>693</v>
      </c>
      <c r="G18" s="2">
        <v>1</v>
      </c>
      <c r="H18" s="2" t="s">
        <v>694</v>
      </c>
      <c r="J18" s="2" t="s">
        <v>693</v>
      </c>
      <c r="K18" s="2">
        <v>0.1</v>
      </c>
      <c r="L18" s="2" t="s">
        <v>694</v>
      </c>
    </row>
    <row r="19" spans="2:16">
      <c r="B19" s="2" t="s">
        <v>690</v>
      </c>
      <c r="C19" s="2">
        <v>17200</v>
      </c>
      <c r="D19" s="2" t="s">
        <v>228</v>
      </c>
      <c r="F19" s="2" t="s">
        <v>690</v>
      </c>
      <c r="G19" s="2">
        <v>10400</v>
      </c>
      <c r="H19" s="2" t="s">
        <v>228</v>
      </c>
      <c r="J19" s="2" t="s">
        <v>690</v>
      </c>
      <c r="K19" s="2">
        <v>8500</v>
      </c>
      <c r="L19" s="2" t="s">
        <v>228</v>
      </c>
    </row>
    <row r="21" spans="2:16">
      <c r="B21" s="267" t="s">
        <v>695</v>
      </c>
      <c r="C21" s="267"/>
      <c r="D21" s="267"/>
    </row>
    <row r="23" spans="2:16">
      <c r="B23" s="2" t="s">
        <v>693</v>
      </c>
      <c r="C23" s="2">
        <v>0.83</v>
      </c>
      <c r="D23" s="2" t="s">
        <v>694</v>
      </c>
      <c r="F23" s="2" t="s">
        <v>693</v>
      </c>
      <c r="G23" s="2">
        <f>C23/2</f>
        <v>0.41499999999999998</v>
      </c>
      <c r="H23" s="2" t="s">
        <v>694</v>
      </c>
      <c r="J23" s="2" t="s">
        <v>693</v>
      </c>
      <c r="K23" s="2">
        <f>G23/4</f>
        <v>0.10375</v>
      </c>
      <c r="L23" s="2" t="s">
        <v>694</v>
      </c>
      <c r="N23" s="2" t="s">
        <v>693</v>
      </c>
      <c r="O23" s="2">
        <f>K23/4</f>
        <v>2.5937499999999999E-2</v>
      </c>
      <c r="P23" s="2" t="s">
        <v>694</v>
      </c>
    </row>
    <row r="24" spans="2:16">
      <c r="B24" s="2" t="s">
        <v>271</v>
      </c>
      <c r="C24" s="2">
        <v>211</v>
      </c>
      <c r="D24" s="2" t="s">
        <v>352</v>
      </c>
      <c r="F24" s="2" t="s">
        <v>271</v>
      </c>
      <c r="G24" s="2">
        <f>C24/2</f>
        <v>105.5</v>
      </c>
      <c r="H24" s="2" t="s">
        <v>352</v>
      </c>
      <c r="J24" s="2" t="s">
        <v>271</v>
      </c>
      <c r="K24" s="2">
        <f>G24/4</f>
        <v>26.375</v>
      </c>
      <c r="L24" s="2" t="s">
        <v>352</v>
      </c>
      <c r="N24" s="2" t="s">
        <v>271</v>
      </c>
      <c r="O24" s="2">
        <f>K24/4</f>
        <v>6.59375</v>
      </c>
      <c r="P24" s="2" t="s">
        <v>352</v>
      </c>
    </row>
    <row r="25" spans="2:16">
      <c r="B25" s="2" t="s">
        <v>690</v>
      </c>
      <c r="C25" s="2">
        <v>46400</v>
      </c>
      <c r="D25" s="2" t="s">
        <v>228</v>
      </c>
      <c r="F25" s="2" t="s">
        <v>690</v>
      </c>
      <c r="G25" s="2">
        <v>40500</v>
      </c>
      <c r="H25" s="2" t="s">
        <v>228</v>
      </c>
      <c r="J25" s="2" t="s">
        <v>690</v>
      </c>
      <c r="K25" s="2">
        <v>31000</v>
      </c>
      <c r="L25" s="2" t="s">
        <v>228</v>
      </c>
      <c r="N25" s="2" t="s">
        <v>690</v>
      </c>
      <c r="O25" s="2">
        <v>30800</v>
      </c>
      <c r="P25" s="2" t="s">
        <v>228</v>
      </c>
    </row>
  </sheetData>
  <mergeCells count="4">
    <mergeCell ref="B2:D2"/>
    <mergeCell ref="B9:D9"/>
    <mergeCell ref="B16:D16"/>
    <mergeCell ref="B21:D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A1:AA204"/>
  <sheetViews>
    <sheetView topLeftCell="A97" zoomScale="80" zoomScaleNormal="80" workbookViewId="0">
      <selection activeCell="J115" sqref="J115"/>
    </sheetView>
  </sheetViews>
  <sheetFormatPr defaultColWidth="11.42578125" defaultRowHeight="15"/>
  <cols>
    <col min="6" max="9" width="14.5703125" bestFit="1" customWidth="1"/>
    <col min="11" max="12" width="14.5703125" bestFit="1" customWidth="1"/>
    <col min="16" max="16" width="13.7109375" bestFit="1" customWidth="1"/>
    <col min="20" max="20" width="14.85546875" bestFit="1" customWidth="1"/>
    <col min="21" max="21" width="14.5703125" bestFit="1" customWidth="1"/>
    <col min="23" max="23" width="13.7109375" bestFit="1" customWidth="1"/>
  </cols>
  <sheetData>
    <row r="1" spans="2:12" hidden="1"/>
    <row r="2" spans="2:12" hidden="1">
      <c r="B2" s="255" t="s">
        <v>0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</row>
    <row r="3" spans="2:12" hidden="1"/>
    <row r="4" spans="2:12" hidden="1">
      <c r="B4" s="153" t="s">
        <v>1</v>
      </c>
      <c r="C4" s="153" t="s">
        <v>2</v>
      </c>
      <c r="D4" s="153" t="s">
        <v>3</v>
      </c>
      <c r="G4" s="152" t="s">
        <v>1</v>
      </c>
      <c r="H4" s="152" t="s">
        <v>2</v>
      </c>
      <c r="I4" s="152" t="s">
        <v>3</v>
      </c>
    </row>
    <row r="5" spans="2:12" hidden="1">
      <c r="B5" s="2">
        <v>3</v>
      </c>
      <c r="C5" s="2">
        <v>5</v>
      </c>
      <c r="D5" s="2">
        <v>4</v>
      </c>
      <c r="F5" s="73" t="s">
        <v>30</v>
      </c>
      <c r="G5" s="21">
        <v>1948780.2527287067</v>
      </c>
      <c r="H5" s="21">
        <v>1952317.1315276378</v>
      </c>
      <c r="I5" s="21">
        <v>1951011.3025658811</v>
      </c>
    </row>
    <row r="6" spans="2:12" hidden="1">
      <c r="F6" s="73" t="s">
        <v>5</v>
      </c>
      <c r="G6" s="21">
        <v>349842.33818520117</v>
      </c>
      <c r="H6" s="21">
        <v>394772.44033789821</v>
      </c>
      <c r="I6" s="21">
        <v>377924.01208196522</v>
      </c>
    </row>
    <row r="7" spans="2:12" hidden="1">
      <c r="B7" s="251" t="s">
        <v>6</v>
      </c>
      <c r="C7" s="252"/>
      <c r="D7" s="252"/>
      <c r="F7" s="73" t="s">
        <v>7</v>
      </c>
      <c r="G7" s="21">
        <v>602218.29651590763</v>
      </c>
      <c r="H7" s="21">
        <v>647606.44065416453</v>
      </c>
      <c r="I7" s="21">
        <v>630588.90157356171</v>
      </c>
    </row>
    <row r="8" spans="2:12" ht="15" hidden="1" customHeight="1">
      <c r="B8" s="94" t="s">
        <v>8</v>
      </c>
      <c r="C8" s="5">
        <v>0.25</v>
      </c>
      <c r="D8" s="5" t="s">
        <v>9</v>
      </c>
      <c r="F8" s="73" t="s">
        <v>10</v>
      </c>
      <c r="G8" s="21">
        <v>406.13151632089352</v>
      </c>
      <c r="H8" s="21">
        <v>311.95781525415345</v>
      </c>
      <c r="I8" s="21">
        <v>340.21155219342614</v>
      </c>
    </row>
    <row r="9" spans="2:12" ht="17.25" hidden="1">
      <c r="B9" s="94" t="s">
        <v>11</v>
      </c>
      <c r="C9" s="7" t="s">
        <v>12</v>
      </c>
      <c r="D9" s="5" t="s">
        <v>13</v>
      </c>
      <c r="F9" s="73" t="s">
        <v>14</v>
      </c>
      <c r="G9" s="21">
        <v>1482.8159655555555</v>
      </c>
      <c r="H9" s="9">
        <v>2075.9423517777768</v>
      </c>
      <c r="I9" s="9">
        <v>1853.5199569444442</v>
      </c>
      <c r="J9" s="60" t="s">
        <v>15</v>
      </c>
    </row>
    <row r="10" spans="2:12" hidden="1">
      <c r="B10" s="94" t="s">
        <v>16</v>
      </c>
      <c r="C10" s="5">
        <v>5</v>
      </c>
      <c r="D10" s="5" t="s">
        <v>17</v>
      </c>
    </row>
    <row r="11" spans="2:12" hidden="1">
      <c r="B11" s="94" t="s">
        <v>18</v>
      </c>
      <c r="C11" s="5">
        <v>2</v>
      </c>
      <c r="D11" s="5" t="s">
        <v>19</v>
      </c>
    </row>
    <row r="12" spans="2:12" ht="17.25" hidden="1">
      <c r="B12" s="94" t="s">
        <v>20</v>
      </c>
      <c r="C12" s="5">
        <v>5</v>
      </c>
      <c r="D12" s="5" t="s">
        <v>21</v>
      </c>
    </row>
    <row r="13" spans="2:12" ht="17.25" hidden="1">
      <c r="B13" s="94" t="s">
        <v>22</v>
      </c>
      <c r="C13" s="5">
        <v>37.770000000000003</v>
      </c>
      <c r="D13" s="5" t="s">
        <v>23</v>
      </c>
    </row>
    <row r="14" spans="2:12" hidden="1">
      <c r="B14" s="94" t="s">
        <v>24</v>
      </c>
      <c r="C14" s="5">
        <v>50</v>
      </c>
      <c r="D14" s="5" t="s">
        <v>17</v>
      </c>
    </row>
    <row r="15" spans="2:12" ht="17.25" hidden="1" customHeight="1">
      <c r="B15" s="94" t="s">
        <v>25</v>
      </c>
      <c r="C15" s="5">
        <v>3</v>
      </c>
      <c r="D15" s="5" t="s">
        <v>26</v>
      </c>
    </row>
    <row r="16" spans="2:12" hidden="1"/>
    <row r="17" spans="2:27" hidden="1"/>
    <row r="18" spans="2:27" hidden="1"/>
    <row r="19" spans="2:27" hidden="1"/>
    <row r="20" spans="2:27" hidden="1"/>
    <row r="21" spans="2:27" hidden="1">
      <c r="Q21" s="74" t="s">
        <v>1</v>
      </c>
      <c r="R21" s="74" t="s">
        <v>2</v>
      </c>
      <c r="S21" s="74" t="s">
        <v>3</v>
      </c>
      <c r="T21" s="74" t="s">
        <v>1</v>
      </c>
      <c r="X21" s="74" t="s">
        <v>1</v>
      </c>
      <c r="Y21" s="74" t="s">
        <v>2</v>
      </c>
      <c r="Z21" s="74" t="s">
        <v>3</v>
      </c>
      <c r="AA21" s="74" t="s">
        <v>1</v>
      </c>
    </row>
    <row r="22" spans="2:27" ht="17.25" hidden="1">
      <c r="B22" s="255" t="s">
        <v>27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O22">
        <v>1</v>
      </c>
      <c r="P22" s="73" t="s">
        <v>28</v>
      </c>
      <c r="Q22" s="21">
        <f>G8</f>
        <v>406.13151632089352</v>
      </c>
      <c r="R22" s="21">
        <f>H8</f>
        <v>311.95781525415345</v>
      </c>
      <c r="S22" s="21">
        <f>I8</f>
        <v>340.21155219342614</v>
      </c>
      <c r="T22" s="21">
        <f>Q22</f>
        <v>406.13151632089352</v>
      </c>
      <c r="W22" s="73" t="s">
        <v>28</v>
      </c>
      <c r="X22" s="9">
        <f>G9</f>
        <v>1482.8159655555555</v>
      </c>
      <c r="Y22" s="9">
        <f t="shared" ref="Y22:Z22" si="0">H9</f>
        <v>2075.9423517777768</v>
      </c>
      <c r="Z22" s="9">
        <f t="shared" si="0"/>
        <v>1853.5199569444442</v>
      </c>
      <c r="AA22" s="9">
        <f>X22</f>
        <v>1482.8159655555555</v>
      </c>
    </row>
    <row r="23" spans="2:27" hidden="1">
      <c r="O23">
        <v>2</v>
      </c>
      <c r="P23" s="73" t="s">
        <v>22</v>
      </c>
      <c r="Q23" s="21">
        <f>G28</f>
        <v>542.28460873470783</v>
      </c>
      <c r="R23" s="21">
        <f>H28</f>
        <v>272.38874926482589</v>
      </c>
      <c r="S23" s="21">
        <f>I28</f>
        <v>340.21155219342614</v>
      </c>
      <c r="T23" s="21">
        <f>Q23</f>
        <v>542.28460873470783</v>
      </c>
      <c r="W23" s="73" t="s">
        <v>22</v>
      </c>
      <c r="X23" s="9">
        <f>G29</f>
        <v>926.75997847222106</v>
      </c>
      <c r="Y23" s="9">
        <f t="shared" ref="Y23:Z23" si="1">H29</f>
        <v>2780.2799354166623</v>
      </c>
      <c r="Z23" s="9">
        <f t="shared" si="1"/>
        <v>1853.5199569444421</v>
      </c>
      <c r="AA23" s="9">
        <f t="shared" ref="AA23:AA26" si="2">X23</f>
        <v>926.75997847222106</v>
      </c>
    </row>
    <row r="24" spans="2:27" hidden="1">
      <c r="B24" s="153" t="s">
        <v>1</v>
      </c>
      <c r="C24" s="153" t="s">
        <v>2</v>
      </c>
      <c r="D24" s="153" t="s">
        <v>3</v>
      </c>
      <c r="G24" s="152" t="s">
        <v>1</v>
      </c>
      <c r="H24" s="152" t="s">
        <v>2</v>
      </c>
      <c r="I24" s="152" t="s">
        <v>3</v>
      </c>
      <c r="O24">
        <v>3</v>
      </c>
      <c r="P24" s="73" t="s">
        <v>29</v>
      </c>
      <c r="Q24" s="21">
        <f>G48</f>
        <v>340.82285119657689</v>
      </c>
      <c r="R24" s="21">
        <f>H48</f>
        <v>339.60025319027557</v>
      </c>
      <c r="S24" s="21">
        <f>I48</f>
        <v>340.21155219342614</v>
      </c>
      <c r="T24" s="21">
        <f>Q24</f>
        <v>340.82285119657689</v>
      </c>
      <c r="W24" s="73" t="s">
        <v>29</v>
      </c>
      <c r="X24" s="9">
        <f>G49</f>
        <v>1853.5199569444421</v>
      </c>
      <c r="Y24" s="9">
        <f t="shared" ref="Y24:Z24" si="3">H49</f>
        <v>1853.5199569444421</v>
      </c>
      <c r="Z24" s="9">
        <f t="shared" si="3"/>
        <v>1853.5199569444421</v>
      </c>
      <c r="AA24" s="9">
        <f t="shared" si="2"/>
        <v>1853.5199569444421</v>
      </c>
    </row>
    <row r="25" spans="2:27" hidden="1">
      <c r="B25" s="9">
        <f>D25/D26</f>
        <v>18.884657534246575</v>
      </c>
      <c r="C25" s="9">
        <f>B25*C26</f>
        <v>56.653972602739728</v>
      </c>
      <c r="D25" s="9">
        <v>37.76931506849315</v>
      </c>
      <c r="F25" s="73" t="s">
        <v>30</v>
      </c>
      <c r="G25" s="21">
        <v>1794930.4006134567</v>
      </c>
      <c r="H25" s="21">
        <v>2098299.2613486834</v>
      </c>
      <c r="I25" s="21">
        <f>I5</f>
        <v>1951011.3025658811</v>
      </c>
      <c r="O25">
        <v>4</v>
      </c>
      <c r="P25" s="73" t="s">
        <v>25</v>
      </c>
      <c r="Q25" s="21">
        <f>G68</f>
        <v>282.836852648069</v>
      </c>
      <c r="R25" s="21">
        <f>H68</f>
        <v>425.9559222288064</v>
      </c>
      <c r="S25" s="21">
        <f>I68</f>
        <v>340.21155219342614</v>
      </c>
      <c r="T25" s="21">
        <f>Q25</f>
        <v>282.836852648069</v>
      </c>
      <c r="W25" s="73" t="s">
        <v>25</v>
      </c>
      <c r="X25" s="9">
        <f>G69</f>
        <v>2224.2239483333301</v>
      </c>
      <c r="Y25" s="9">
        <f t="shared" ref="Y25:Z25" si="4">H69</f>
        <v>1482.8159655555532</v>
      </c>
      <c r="Z25" s="9">
        <f t="shared" si="4"/>
        <v>1853.5199569444421</v>
      </c>
      <c r="AA25" s="9">
        <f t="shared" si="2"/>
        <v>2224.2239483333301</v>
      </c>
    </row>
    <row r="26" spans="2:27" hidden="1">
      <c r="B26" s="2">
        <v>1</v>
      </c>
      <c r="C26" s="2">
        <v>3</v>
      </c>
      <c r="D26" s="2">
        <v>2</v>
      </c>
      <c r="F26" s="73" t="s">
        <v>5</v>
      </c>
      <c r="G26" s="21">
        <v>270115.97369277198</v>
      </c>
      <c r="H26" s="21">
        <v>485577.6202229425</v>
      </c>
      <c r="I26" s="21">
        <f t="shared" ref="I26:I28" si="5">I6</f>
        <v>377924.01208196522</v>
      </c>
      <c r="O26">
        <v>5</v>
      </c>
      <c r="P26" s="73" t="s">
        <v>31</v>
      </c>
      <c r="Q26" s="21">
        <f>G88</f>
        <v>289.17120864658756</v>
      </c>
      <c r="R26" s="21">
        <f>H88</f>
        <v>423.47788060057809</v>
      </c>
      <c r="S26" s="21">
        <f>I88</f>
        <v>340.21155219342614</v>
      </c>
      <c r="T26" s="21">
        <f>Q26</f>
        <v>289.17120864658756</v>
      </c>
      <c r="W26" s="73" t="s">
        <v>31</v>
      </c>
      <c r="X26" s="9">
        <f>G89</f>
        <v>2298.3647466111083</v>
      </c>
      <c r="Y26" s="9">
        <f t="shared" ref="Y26:Z26" si="6">H89</f>
        <v>1408.6751672777759</v>
      </c>
      <c r="Z26" s="9">
        <f t="shared" si="6"/>
        <v>1853.5199569444421</v>
      </c>
      <c r="AA26" s="9">
        <f t="shared" si="2"/>
        <v>2298.3647466111083</v>
      </c>
    </row>
    <row r="27" spans="2:27" hidden="1">
      <c r="F27" s="73" t="s">
        <v>7</v>
      </c>
      <c r="G27" s="21">
        <v>502567.67231679463</v>
      </c>
      <c r="H27" s="21">
        <v>757316.97421423555</v>
      </c>
      <c r="I27" s="21">
        <f t="shared" si="5"/>
        <v>630588.90157356171</v>
      </c>
    </row>
    <row r="28" spans="2:27" ht="17.25" hidden="1">
      <c r="B28" s="251" t="s">
        <v>6</v>
      </c>
      <c r="C28" s="252"/>
      <c r="D28" s="252"/>
      <c r="F28" s="73" t="s">
        <v>10</v>
      </c>
      <c r="G28" s="21">
        <v>542.28460873470783</v>
      </c>
      <c r="H28" s="21">
        <v>272.38874926482589</v>
      </c>
      <c r="I28" s="21">
        <f t="shared" si="5"/>
        <v>340.21155219342614</v>
      </c>
      <c r="P28" s="256" t="s">
        <v>32</v>
      </c>
      <c r="Q28" s="256"/>
      <c r="R28" s="256"/>
      <c r="S28" s="256"/>
      <c r="T28" s="256"/>
      <c r="U28" s="256"/>
    </row>
    <row r="29" spans="2:27" ht="17.25" hidden="1">
      <c r="B29" s="94" t="s">
        <v>8</v>
      </c>
      <c r="C29" s="5">
        <v>0.25</v>
      </c>
      <c r="D29" s="5" t="s">
        <v>9</v>
      </c>
      <c r="F29" s="73" t="s">
        <v>14</v>
      </c>
      <c r="G29" s="9">
        <v>926.75997847222106</v>
      </c>
      <c r="H29" s="9">
        <v>2780.2799354166623</v>
      </c>
      <c r="I29" s="9">
        <v>1853.5199569444421</v>
      </c>
      <c r="J29" s="60" t="s">
        <v>15</v>
      </c>
    </row>
    <row r="30" spans="2:27" ht="17.25" hidden="1">
      <c r="B30" s="94" t="s">
        <v>11</v>
      </c>
      <c r="C30" s="7" t="s">
        <v>12</v>
      </c>
      <c r="D30" s="5" t="s">
        <v>33</v>
      </c>
      <c r="P30" s="89" t="s">
        <v>28</v>
      </c>
      <c r="Q30" s="2">
        <v>3</v>
      </c>
      <c r="R30" s="2" t="s">
        <v>34</v>
      </c>
      <c r="T30" s="89" t="s">
        <v>30</v>
      </c>
      <c r="U30" s="21">
        <v>1823356.0214267233</v>
      </c>
    </row>
    <row r="31" spans="2:27" ht="17.25" hidden="1">
      <c r="B31" s="94" t="s">
        <v>16</v>
      </c>
      <c r="C31" s="5">
        <v>5</v>
      </c>
      <c r="D31" s="5" t="s">
        <v>17</v>
      </c>
      <c r="P31" s="89" t="s">
        <v>22</v>
      </c>
      <c r="Q31" s="9">
        <f>C25</f>
        <v>56.653972602739728</v>
      </c>
      <c r="R31" s="5" t="s">
        <v>23</v>
      </c>
      <c r="T31" s="89" t="s">
        <v>5</v>
      </c>
      <c r="U31" s="21">
        <v>218341.27092159318</v>
      </c>
    </row>
    <row r="32" spans="2:27" hidden="1">
      <c r="B32" s="94" t="s">
        <v>18</v>
      </c>
      <c r="C32" s="5">
        <v>2</v>
      </c>
      <c r="D32" s="5" t="s">
        <v>19</v>
      </c>
      <c r="P32" s="89" t="s">
        <v>29</v>
      </c>
      <c r="Q32" s="2">
        <v>30</v>
      </c>
      <c r="R32" s="2" t="s">
        <v>17</v>
      </c>
      <c r="T32" s="89" t="s">
        <v>7</v>
      </c>
      <c r="U32" s="21">
        <v>454474.2174871671</v>
      </c>
    </row>
    <row r="33" spans="2:21" ht="17.25" hidden="1">
      <c r="B33" s="94" t="s">
        <v>20</v>
      </c>
      <c r="C33" s="5">
        <v>5</v>
      </c>
      <c r="D33" s="5" t="s">
        <v>21</v>
      </c>
      <c r="P33" s="89" t="s">
        <v>25</v>
      </c>
      <c r="Q33" s="2">
        <v>4</v>
      </c>
      <c r="R33" s="5" t="s">
        <v>26</v>
      </c>
      <c r="T33" s="153" t="s">
        <v>35</v>
      </c>
      <c r="U33" s="162">
        <v>4597.4102118285473</v>
      </c>
    </row>
    <row r="34" spans="2:21" ht="17.25" hidden="1">
      <c r="B34" s="94" t="s">
        <v>36</v>
      </c>
      <c r="C34" s="5">
        <v>4</v>
      </c>
      <c r="D34" s="5" t="s">
        <v>34</v>
      </c>
      <c r="P34" s="89" t="s">
        <v>31</v>
      </c>
      <c r="Q34" s="2">
        <v>7</v>
      </c>
      <c r="R34" s="106" t="s">
        <v>21</v>
      </c>
      <c r="T34" s="89" t="s">
        <v>14</v>
      </c>
      <c r="U34" s="9">
        <v>98.854397703703526</v>
      </c>
    </row>
    <row r="35" spans="2:21" hidden="1">
      <c r="B35" s="94" t="s">
        <v>24</v>
      </c>
      <c r="C35" s="5">
        <v>50</v>
      </c>
      <c r="D35" s="5" t="s">
        <v>17</v>
      </c>
    </row>
    <row r="36" spans="2:21" hidden="1">
      <c r="B36" s="94" t="s">
        <v>25</v>
      </c>
      <c r="C36" s="5">
        <v>3</v>
      </c>
      <c r="D36" s="5" t="s">
        <v>26</v>
      </c>
    </row>
    <row r="37" spans="2:21" hidden="1"/>
    <row r="38" spans="2:21" hidden="1">
      <c r="P38" s="257" t="s">
        <v>37</v>
      </c>
      <c r="Q38" s="257"/>
      <c r="R38" s="257"/>
      <c r="S38" s="257"/>
      <c r="T38" s="257"/>
      <c r="U38" s="257"/>
    </row>
    <row r="39" spans="2:21" hidden="1"/>
    <row r="40" spans="2:21" hidden="1">
      <c r="P40" s="163" t="s">
        <v>28</v>
      </c>
      <c r="Q40" s="63">
        <v>5</v>
      </c>
      <c r="R40" s="2" t="s">
        <v>34</v>
      </c>
      <c r="T40" s="163" t="s">
        <v>30</v>
      </c>
      <c r="U40" s="21">
        <v>2016161.3256245563</v>
      </c>
    </row>
    <row r="41" spans="2:21" ht="17.25" hidden="1">
      <c r="C41" s="100"/>
      <c r="P41" s="163" t="s">
        <v>22</v>
      </c>
      <c r="Q41" s="9">
        <f>D25</f>
        <v>37.76931506849315</v>
      </c>
      <c r="R41" s="5" t="s">
        <v>23</v>
      </c>
      <c r="T41" s="163" t="s">
        <v>5</v>
      </c>
      <c r="U41" s="21">
        <v>536670.47058009612</v>
      </c>
    </row>
    <row r="42" spans="2:21" hidden="1">
      <c r="B42" s="255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P42" s="163" t="s">
        <v>29</v>
      </c>
      <c r="Q42" s="2">
        <v>70</v>
      </c>
      <c r="R42" s="2" t="s">
        <v>17</v>
      </c>
      <c r="T42" s="163" t="s">
        <v>7</v>
      </c>
      <c r="U42" s="21">
        <v>797772.58611689601</v>
      </c>
    </row>
    <row r="43" spans="2:21" ht="17.25" hidden="1">
      <c r="P43" s="163" t="s">
        <v>25</v>
      </c>
      <c r="Q43" s="2">
        <v>2</v>
      </c>
      <c r="R43" s="5" t="s">
        <v>26</v>
      </c>
      <c r="T43" s="164" t="s">
        <v>35</v>
      </c>
      <c r="U43" s="162">
        <v>203.7923738817594</v>
      </c>
    </row>
    <row r="44" spans="2:21" ht="17.25" hidden="1">
      <c r="B44" s="153" t="s">
        <v>1</v>
      </c>
      <c r="C44" s="153" t="s">
        <v>2</v>
      </c>
      <c r="D44" s="153" t="s">
        <v>3</v>
      </c>
      <c r="G44" s="152" t="s">
        <v>1</v>
      </c>
      <c r="H44" s="152" t="s">
        <v>2</v>
      </c>
      <c r="I44" s="152" t="s">
        <v>3</v>
      </c>
      <c r="P44" s="163" t="s">
        <v>31</v>
      </c>
      <c r="Q44" s="2">
        <v>3</v>
      </c>
      <c r="R44" s="106" t="s">
        <v>21</v>
      </c>
      <c r="T44" s="163" t="s">
        <v>14</v>
      </c>
      <c r="U44" s="9">
        <v>3914.6341490666609</v>
      </c>
    </row>
    <row r="45" spans="2:21" hidden="1">
      <c r="B45" s="9">
        <v>30</v>
      </c>
      <c r="C45" s="9">
        <v>70</v>
      </c>
      <c r="D45" s="9">
        <v>50</v>
      </c>
      <c r="F45" s="73" t="s">
        <v>30</v>
      </c>
      <c r="G45" s="21">
        <v>1951011.3025658799</v>
      </c>
      <c r="H45" s="21">
        <v>1951011.3025658799</v>
      </c>
      <c r="I45" s="21">
        <f>I5</f>
        <v>1951011.3025658811</v>
      </c>
    </row>
    <row r="46" spans="2:21" hidden="1">
      <c r="F46" s="73" t="s">
        <v>5</v>
      </c>
      <c r="G46" s="21">
        <v>379057.06698396499</v>
      </c>
      <c r="H46" s="21">
        <v>376790.95717996499</v>
      </c>
      <c r="I46" s="21">
        <f t="shared" ref="I46:I48" si="7">I6</f>
        <v>377924.01208196522</v>
      </c>
    </row>
    <row r="47" spans="2:21" hidden="1">
      <c r="B47" s="251" t="s">
        <v>6</v>
      </c>
      <c r="C47" s="252"/>
      <c r="D47" s="252"/>
      <c r="F47" s="73" t="s">
        <v>7</v>
      </c>
      <c r="G47" s="21">
        <v>631721.95647556125</v>
      </c>
      <c r="H47" s="21">
        <v>629455.84667156124</v>
      </c>
      <c r="I47" s="21">
        <f t="shared" si="7"/>
        <v>630588.90157356171</v>
      </c>
    </row>
    <row r="48" spans="2:21" ht="17.25" hidden="1">
      <c r="B48" s="94" t="s">
        <v>8</v>
      </c>
      <c r="C48" s="5">
        <v>0.25</v>
      </c>
      <c r="D48" s="5" t="s">
        <v>9</v>
      </c>
      <c r="F48" s="73" t="s">
        <v>10</v>
      </c>
      <c r="G48" s="21">
        <v>340.82285119657689</v>
      </c>
      <c r="H48" s="21">
        <v>339.60025319027557</v>
      </c>
      <c r="I48" s="21">
        <f t="shared" si="7"/>
        <v>340.21155219342614</v>
      </c>
    </row>
    <row r="49" spans="2:12" ht="17.25" hidden="1">
      <c r="B49" s="94" t="s">
        <v>11</v>
      </c>
      <c r="C49" s="7" t="s">
        <v>12</v>
      </c>
      <c r="D49" s="5" t="s">
        <v>33</v>
      </c>
      <c r="F49" s="73" t="s">
        <v>14</v>
      </c>
      <c r="G49" s="9">
        <v>1853.5199569444421</v>
      </c>
      <c r="H49" s="9">
        <v>1853.5199569444421</v>
      </c>
      <c r="I49" s="9">
        <v>1853.5199569444421</v>
      </c>
      <c r="J49" s="60" t="s">
        <v>15</v>
      </c>
    </row>
    <row r="50" spans="2:12" hidden="1">
      <c r="B50" s="94" t="s">
        <v>16</v>
      </c>
      <c r="C50" s="5">
        <v>5</v>
      </c>
      <c r="D50" s="5" t="s">
        <v>17</v>
      </c>
    </row>
    <row r="51" spans="2:12" hidden="1">
      <c r="B51" s="94" t="s">
        <v>18</v>
      </c>
      <c r="C51" s="5">
        <v>2</v>
      </c>
      <c r="D51" s="5" t="s">
        <v>19</v>
      </c>
    </row>
    <row r="52" spans="2:12" ht="17.25" hidden="1">
      <c r="B52" s="94" t="s">
        <v>20</v>
      </c>
      <c r="C52" s="5">
        <v>5</v>
      </c>
      <c r="D52" s="5" t="s">
        <v>21</v>
      </c>
    </row>
    <row r="53" spans="2:12" hidden="1">
      <c r="B53" s="94" t="s">
        <v>36</v>
      </c>
      <c r="C53" s="5">
        <v>4</v>
      </c>
      <c r="D53" s="5" t="s">
        <v>34</v>
      </c>
    </row>
    <row r="54" spans="2:12" ht="17.25" hidden="1">
      <c r="B54" s="94" t="s">
        <v>22</v>
      </c>
      <c r="C54" s="5">
        <v>37.770000000000003</v>
      </c>
      <c r="D54" s="5" t="s">
        <v>23</v>
      </c>
    </row>
    <row r="55" spans="2:12" hidden="1">
      <c r="B55" s="94" t="s">
        <v>25</v>
      </c>
      <c r="C55" s="5">
        <v>3</v>
      </c>
      <c r="D55" s="5" t="s">
        <v>26</v>
      </c>
    </row>
    <row r="56" spans="2:12" hidden="1"/>
    <row r="57" spans="2:12" hidden="1"/>
    <row r="58" spans="2:12" hidden="1"/>
    <row r="59" spans="2:12" hidden="1"/>
    <row r="60" spans="2:12" hidden="1"/>
    <row r="61" spans="2:12" hidden="1"/>
    <row r="62" spans="2:12" hidden="1">
      <c r="B62" s="255" t="s">
        <v>39</v>
      </c>
      <c r="C62" s="255"/>
      <c r="D62" s="255"/>
      <c r="E62" s="255"/>
      <c r="F62" s="255"/>
      <c r="G62" s="255"/>
      <c r="H62" s="255"/>
      <c r="I62" s="255"/>
      <c r="J62" s="255"/>
      <c r="K62" s="255"/>
      <c r="L62" s="255"/>
    </row>
    <row r="63" spans="2:12" hidden="1"/>
    <row r="64" spans="2:12" hidden="1">
      <c r="B64" s="153" t="s">
        <v>1</v>
      </c>
      <c r="C64" s="153" t="s">
        <v>2</v>
      </c>
      <c r="D64" s="153" t="s">
        <v>3</v>
      </c>
      <c r="G64" s="152" t="s">
        <v>1</v>
      </c>
      <c r="H64" s="152" t="s">
        <v>2</v>
      </c>
      <c r="I64" s="152" t="s">
        <v>3</v>
      </c>
    </row>
    <row r="65" spans="2:10" hidden="1">
      <c r="B65" s="9">
        <v>2</v>
      </c>
      <c r="C65" s="9">
        <v>4</v>
      </c>
      <c r="D65" s="9">
        <v>3</v>
      </c>
      <c r="F65" s="73" t="s">
        <v>30</v>
      </c>
      <c r="G65" s="21">
        <v>1890146.9127155044</v>
      </c>
      <c r="H65" s="21">
        <v>2008672.6750969738</v>
      </c>
      <c r="I65" s="21">
        <f>I5</f>
        <v>1951011.3025658811</v>
      </c>
    </row>
    <row r="66" spans="2:10" hidden="1">
      <c r="F66" s="73" t="s">
        <v>5</v>
      </c>
      <c r="G66" s="21">
        <v>384309.82857756875</v>
      </c>
      <c r="H66" s="21">
        <v>371481.94107065315</v>
      </c>
      <c r="I66" s="21">
        <f t="shared" ref="I66:I68" si="8">I6</f>
        <v>377924.01208196522</v>
      </c>
    </row>
    <row r="67" spans="2:10" hidden="1">
      <c r="B67" s="251" t="s">
        <v>6</v>
      </c>
      <c r="C67" s="252"/>
      <c r="D67" s="252"/>
      <c r="F67" s="73" t="s">
        <v>7</v>
      </c>
      <c r="G67" s="21">
        <v>629092.5011310603</v>
      </c>
      <c r="H67" s="21">
        <v>631614.24210381368</v>
      </c>
      <c r="I67" s="21">
        <f t="shared" si="8"/>
        <v>630588.90157356171</v>
      </c>
    </row>
    <row r="68" spans="2:10" ht="17.25" hidden="1">
      <c r="B68" s="94" t="s">
        <v>8</v>
      </c>
      <c r="C68" s="5">
        <v>0.25</v>
      </c>
      <c r="D68" s="5" t="s">
        <v>9</v>
      </c>
      <c r="F68" s="73" t="s">
        <v>10</v>
      </c>
      <c r="G68" s="21">
        <v>282.836852648069</v>
      </c>
      <c r="H68" s="21">
        <v>425.9559222288064</v>
      </c>
      <c r="I68" s="21">
        <f t="shared" si="8"/>
        <v>340.21155219342614</v>
      </c>
    </row>
    <row r="69" spans="2:10" ht="17.25" hidden="1">
      <c r="B69" s="94" t="s">
        <v>11</v>
      </c>
      <c r="C69" s="7" t="s">
        <v>12</v>
      </c>
      <c r="D69" s="5" t="s">
        <v>33</v>
      </c>
      <c r="F69" s="73" t="s">
        <v>14</v>
      </c>
      <c r="G69" s="9">
        <v>2224.2239483333301</v>
      </c>
      <c r="H69" s="9">
        <v>1482.8159655555532</v>
      </c>
      <c r="I69" s="9">
        <v>1853.5199569444421</v>
      </c>
      <c r="J69" s="60" t="s">
        <v>15</v>
      </c>
    </row>
    <row r="70" spans="2:10" hidden="1">
      <c r="B70" s="94" t="s">
        <v>16</v>
      </c>
      <c r="C70" s="5">
        <v>5</v>
      </c>
      <c r="D70" s="5" t="s">
        <v>17</v>
      </c>
    </row>
    <row r="71" spans="2:10" ht="17.25" hidden="1">
      <c r="B71" s="94" t="s">
        <v>18</v>
      </c>
      <c r="C71" s="5">
        <v>30</v>
      </c>
      <c r="D71" s="5" t="s">
        <v>40</v>
      </c>
    </row>
    <row r="72" spans="2:10" ht="17.25" hidden="1">
      <c r="B72" s="94" t="s">
        <v>20</v>
      </c>
      <c r="C72" s="5">
        <v>5</v>
      </c>
      <c r="D72" s="5" t="s">
        <v>21</v>
      </c>
    </row>
    <row r="73" spans="2:10" hidden="1">
      <c r="B73" s="94" t="s">
        <v>36</v>
      </c>
      <c r="C73" s="5">
        <v>4</v>
      </c>
      <c r="D73" s="5" t="s">
        <v>34</v>
      </c>
    </row>
    <row r="74" spans="2:10" ht="17.25" hidden="1">
      <c r="B74" s="94" t="s">
        <v>22</v>
      </c>
      <c r="C74" s="5">
        <v>37.770000000000003</v>
      </c>
      <c r="D74" s="5" t="s">
        <v>23</v>
      </c>
    </row>
    <row r="75" spans="2:10" hidden="1">
      <c r="B75" s="94" t="s">
        <v>41</v>
      </c>
      <c r="C75" s="5">
        <v>50</v>
      </c>
      <c r="D75" s="5" t="s">
        <v>17</v>
      </c>
    </row>
    <row r="76" spans="2:10" hidden="1"/>
    <row r="77" spans="2:10" hidden="1"/>
    <row r="78" spans="2:10" hidden="1"/>
    <row r="79" spans="2:10" hidden="1"/>
    <row r="80" spans="2:10" hidden="1"/>
    <row r="81" spans="2:12" hidden="1"/>
    <row r="82" spans="2:12" ht="17.25" hidden="1">
      <c r="B82" s="255" t="s">
        <v>42</v>
      </c>
      <c r="C82" s="255"/>
      <c r="D82" s="255"/>
      <c r="E82" s="255"/>
      <c r="F82" s="255"/>
      <c r="G82" s="255"/>
      <c r="H82" s="255"/>
      <c r="I82" s="255"/>
      <c r="J82" s="255"/>
      <c r="K82" s="255"/>
      <c r="L82" s="255"/>
    </row>
    <row r="83" spans="2:12" hidden="1"/>
    <row r="84" spans="2:12" hidden="1">
      <c r="B84" s="153" t="s">
        <v>1</v>
      </c>
      <c r="C84" s="153" t="s">
        <v>2</v>
      </c>
      <c r="D84" s="153" t="s">
        <v>3</v>
      </c>
      <c r="G84" s="152" t="s">
        <v>1</v>
      </c>
      <c r="H84" s="152" t="s">
        <v>2</v>
      </c>
      <c r="I84" s="152" t="s">
        <v>3</v>
      </c>
    </row>
    <row r="85" spans="2:12" hidden="1">
      <c r="B85" s="9">
        <v>3</v>
      </c>
      <c r="C85" s="9">
        <v>7</v>
      </c>
      <c r="D85" s="9">
        <v>5</v>
      </c>
      <c r="F85" s="73" t="s">
        <v>30</v>
      </c>
      <c r="G85" s="21">
        <v>1953602.0990110554</v>
      </c>
      <c r="H85" s="21">
        <v>1948324.5150924432</v>
      </c>
      <c r="I85" s="21">
        <f>I5</f>
        <v>1951011.3025658811</v>
      </c>
    </row>
    <row r="86" spans="2:12" hidden="1">
      <c r="F86" s="73" t="s">
        <v>5</v>
      </c>
      <c r="G86" s="21">
        <v>411620.50220419135</v>
      </c>
      <c r="H86" s="21">
        <v>344225.83607163094</v>
      </c>
      <c r="I86" s="21">
        <f t="shared" ref="I86:I88" si="9">I6</f>
        <v>377924.01208196522</v>
      </c>
    </row>
    <row r="87" spans="2:12" hidden="1">
      <c r="B87" s="251" t="s">
        <v>6</v>
      </c>
      <c r="C87" s="252"/>
      <c r="D87" s="252"/>
      <c r="F87" s="73" t="s">
        <v>7</v>
      </c>
      <c r="G87" s="21">
        <v>664620.91168824211</v>
      </c>
      <c r="H87" s="21">
        <v>596542.77429345739</v>
      </c>
      <c r="I87" s="21">
        <f t="shared" si="9"/>
        <v>630588.90157356171</v>
      </c>
    </row>
    <row r="88" spans="2:12" ht="17.25" hidden="1">
      <c r="B88" s="94" t="s">
        <v>8</v>
      </c>
      <c r="C88" s="5">
        <v>0.25</v>
      </c>
      <c r="D88" s="5" t="s">
        <v>9</v>
      </c>
      <c r="F88" s="73" t="s">
        <v>10</v>
      </c>
      <c r="G88" s="21">
        <v>289.17120864658756</v>
      </c>
      <c r="H88" s="21">
        <v>423.47788060057809</v>
      </c>
      <c r="I88" s="21">
        <f t="shared" si="9"/>
        <v>340.21155219342614</v>
      </c>
    </row>
    <row r="89" spans="2:12" ht="17.25" hidden="1">
      <c r="B89" s="94" t="s">
        <v>11</v>
      </c>
      <c r="C89" s="7" t="s">
        <v>12</v>
      </c>
      <c r="D89" s="5" t="s">
        <v>33</v>
      </c>
      <c r="F89" s="73" t="s">
        <v>14</v>
      </c>
      <c r="G89" s="9">
        <v>2298.3647466111083</v>
      </c>
      <c r="H89" s="9">
        <v>1408.6751672777759</v>
      </c>
      <c r="I89" s="9">
        <v>1853.5199569444421</v>
      </c>
      <c r="J89" s="60" t="s">
        <v>15</v>
      </c>
    </row>
    <row r="90" spans="2:12" hidden="1">
      <c r="B90" s="94" t="s">
        <v>16</v>
      </c>
      <c r="C90" s="5">
        <v>5</v>
      </c>
      <c r="D90" s="5" t="s">
        <v>17</v>
      </c>
    </row>
    <row r="91" spans="2:12" ht="17.25" hidden="1">
      <c r="B91" s="94" t="s">
        <v>18</v>
      </c>
      <c r="C91" s="5">
        <v>30</v>
      </c>
      <c r="D91" s="5" t="s">
        <v>40</v>
      </c>
    </row>
    <row r="92" spans="2:12" hidden="1">
      <c r="B92" s="94" t="s">
        <v>20</v>
      </c>
      <c r="C92" s="5">
        <v>4</v>
      </c>
      <c r="D92" s="5" t="s">
        <v>34</v>
      </c>
    </row>
    <row r="93" spans="2:12" ht="17.25" hidden="1">
      <c r="B93" s="94" t="s">
        <v>36</v>
      </c>
      <c r="C93" s="5">
        <v>37.770000000000003</v>
      </c>
      <c r="D93" s="5" t="s">
        <v>23</v>
      </c>
    </row>
    <row r="94" spans="2:12" hidden="1">
      <c r="B94" s="94" t="s">
        <v>41</v>
      </c>
      <c r="C94" s="5">
        <v>50</v>
      </c>
      <c r="D94" s="5" t="s">
        <v>17</v>
      </c>
    </row>
    <row r="95" spans="2:12" hidden="1">
      <c r="B95" s="94" t="s">
        <v>25</v>
      </c>
      <c r="C95" s="5">
        <v>3</v>
      </c>
      <c r="D95" s="5" t="s">
        <v>26</v>
      </c>
    </row>
    <row r="96" spans="2:12" hidden="1"/>
    <row r="98" spans="1:19" s="253" customFormat="1">
      <c r="A98" s="253" t="s">
        <v>45</v>
      </c>
    </row>
    <row r="99" spans="1:19" s="254" customFormat="1" ht="15.75" thickBot="1"/>
    <row r="101" spans="1:19" ht="17.25">
      <c r="B101" s="250" t="s">
        <v>27</v>
      </c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Q101" s="74" t="s">
        <v>2</v>
      </c>
      <c r="R101" s="74" t="s">
        <v>3</v>
      </c>
      <c r="S101" s="74" t="s">
        <v>1</v>
      </c>
    </row>
    <row r="102" spans="1:19">
      <c r="P102" s="73" t="s">
        <v>22</v>
      </c>
      <c r="Q102" s="21">
        <f>H107</f>
        <v>283.46936303878692</v>
      </c>
      <c r="R102" s="21">
        <f>I107</f>
        <v>342.56130727919367</v>
      </c>
      <c r="S102" s="21">
        <f>G107</f>
        <v>547.63567724885252</v>
      </c>
    </row>
    <row r="103" spans="1:19">
      <c r="B103" s="153" t="s">
        <v>1</v>
      </c>
      <c r="C103" s="153" t="s">
        <v>2</v>
      </c>
      <c r="D103" s="153" t="s">
        <v>3</v>
      </c>
      <c r="G103" s="152" t="s">
        <v>1</v>
      </c>
      <c r="H103" s="152" t="s">
        <v>2</v>
      </c>
      <c r="I103" s="152" t="s">
        <v>3</v>
      </c>
      <c r="P103" s="73" t="s">
        <v>8</v>
      </c>
      <c r="Q103" s="21">
        <f>H123</f>
        <v>374.54550786974545</v>
      </c>
      <c r="R103" s="21">
        <f>I123</f>
        <v>342.56130727919367</v>
      </c>
      <c r="S103" s="21">
        <f>G123</f>
        <v>310.57710668864189</v>
      </c>
    </row>
    <row r="104" spans="1:19">
      <c r="B104" s="9">
        <f>D104/D105</f>
        <v>18.884657534246575</v>
      </c>
      <c r="C104" s="9">
        <f>B104*C105</f>
        <v>56.653972602739728</v>
      </c>
      <c r="D104" s="9">
        <v>37.76931506849315</v>
      </c>
      <c r="F104" s="94" t="s">
        <v>30</v>
      </c>
      <c r="G104" s="189">
        <v>1794930.4006134567</v>
      </c>
      <c r="H104" s="189">
        <v>2285791.2351147402</v>
      </c>
      <c r="I104" s="189">
        <f>'Escenario 2'!C155</f>
        <v>1951154.2795626507</v>
      </c>
      <c r="P104" s="73" t="s">
        <v>46</v>
      </c>
      <c r="Q104" s="21">
        <f>H139</f>
        <v>344.51952819029509</v>
      </c>
      <c r="R104" s="21">
        <f>I139</f>
        <v>342.56130727919367</v>
      </c>
      <c r="S104" s="21">
        <f>G155</f>
        <v>337.21911931324962</v>
      </c>
    </row>
    <row r="105" spans="1:19">
      <c r="B105" s="2">
        <v>1</v>
      </c>
      <c r="C105" s="2">
        <v>3</v>
      </c>
      <c r="D105" s="2">
        <v>2</v>
      </c>
      <c r="F105" s="94" t="s">
        <v>5</v>
      </c>
      <c r="G105" s="189">
        <v>285946.83825476549</v>
      </c>
      <c r="H105" s="189">
        <v>487934.44934109447</v>
      </c>
      <c r="I105" s="189">
        <f>'Escenario 2'!C156</f>
        <v>380714.21380318428</v>
      </c>
      <c r="P105" s="73" t="s">
        <v>47</v>
      </c>
      <c r="Q105" s="21">
        <f>H155</f>
        <v>347.90349524513766</v>
      </c>
      <c r="R105" s="21">
        <f>I155</f>
        <v>342.56130727919367</v>
      </c>
      <c r="S105" s="21">
        <f>G155</f>
        <v>337.21911931324962</v>
      </c>
    </row>
    <row r="106" spans="1:19">
      <c r="F106" s="94" t="s">
        <v>7</v>
      </c>
      <c r="G106" s="189">
        <v>518398.53687878815</v>
      </c>
      <c r="H106" s="189">
        <v>783954.87170439516</v>
      </c>
      <c r="I106" s="189">
        <f>'Escenario 2'!C160</f>
        <v>633397.61946997722</v>
      </c>
      <c r="P106" s="73" t="s">
        <v>48</v>
      </c>
      <c r="Q106" s="21">
        <f>H171</f>
        <v>354.2043485124197</v>
      </c>
      <c r="R106" s="21">
        <f>I171</f>
        <v>342.56130727919367</v>
      </c>
      <c r="S106" s="21">
        <f>G171</f>
        <v>330.91826604596764</v>
      </c>
    </row>
    <row r="107" spans="1:19" ht="18">
      <c r="B107" s="251" t="s">
        <v>6</v>
      </c>
      <c r="C107" s="252"/>
      <c r="D107" s="252"/>
      <c r="F107" s="94" t="s">
        <v>10</v>
      </c>
      <c r="G107" s="189">
        <v>547.63567724885252</v>
      </c>
      <c r="H107" s="189">
        <v>283.46936303878692</v>
      </c>
      <c r="I107" s="189">
        <f>'Escenario 2'!C161</f>
        <v>342.56130727919367</v>
      </c>
      <c r="P107" s="73" t="s">
        <v>49</v>
      </c>
      <c r="Q107" s="21">
        <f>H187</f>
        <v>351.75318193700372</v>
      </c>
      <c r="R107" s="21">
        <f>I187</f>
        <v>342.56130727919367</v>
      </c>
      <c r="S107" s="21">
        <f>G187</f>
        <v>333.36943262138368</v>
      </c>
    </row>
    <row r="108" spans="1:19" ht="17.25">
      <c r="B108" s="94" t="s">
        <v>8</v>
      </c>
      <c r="C108" s="5">
        <v>0.25</v>
      </c>
      <c r="D108" s="5" t="s">
        <v>9</v>
      </c>
      <c r="F108" s="94" t="s">
        <v>14</v>
      </c>
      <c r="G108" s="7">
        <v>946.61206056379945</v>
      </c>
      <c r="H108" s="7">
        <v>2765.571782786019</v>
      </c>
      <c r="I108" s="7">
        <f>'Escenario 2'!C169</f>
        <v>1849.0051445119771</v>
      </c>
      <c r="J108" s="60" t="s">
        <v>15</v>
      </c>
    </row>
    <row r="109" spans="1:19" ht="17.25">
      <c r="B109" s="94" t="s">
        <v>11</v>
      </c>
      <c r="C109" s="7" t="s">
        <v>12</v>
      </c>
      <c r="D109" s="5" t="s">
        <v>33</v>
      </c>
    </row>
    <row r="110" spans="1:19">
      <c r="B110" s="94" t="s">
        <v>16</v>
      </c>
      <c r="C110" s="5">
        <v>5</v>
      </c>
      <c r="D110" s="5" t="s">
        <v>17</v>
      </c>
    </row>
    <row r="111" spans="1:19">
      <c r="B111" s="94" t="s">
        <v>18</v>
      </c>
      <c r="C111" s="5">
        <v>2</v>
      </c>
      <c r="D111" s="5" t="s">
        <v>19</v>
      </c>
    </row>
    <row r="112" spans="1:19" ht="17.25">
      <c r="B112" s="94" t="s">
        <v>20</v>
      </c>
      <c r="C112" s="5">
        <v>5</v>
      </c>
      <c r="D112" s="5" t="s">
        <v>21</v>
      </c>
    </row>
    <row r="113" spans="2:19">
      <c r="B113" s="94" t="s">
        <v>36</v>
      </c>
      <c r="C113" s="5">
        <v>4</v>
      </c>
      <c r="D113" s="5" t="s">
        <v>34</v>
      </c>
    </row>
    <row r="114" spans="2:19">
      <c r="B114" s="94" t="s">
        <v>24</v>
      </c>
      <c r="C114" s="5">
        <v>50</v>
      </c>
      <c r="D114" s="5" t="s">
        <v>17</v>
      </c>
    </row>
    <row r="115" spans="2:19">
      <c r="B115" s="94" t="s">
        <v>25</v>
      </c>
      <c r="C115" s="5">
        <v>3</v>
      </c>
      <c r="D115" s="5" t="s">
        <v>26</v>
      </c>
    </row>
    <row r="117" spans="2:19">
      <c r="B117" s="250" t="s">
        <v>50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</row>
    <row r="119" spans="2:19">
      <c r="B119" s="153" t="s">
        <v>1</v>
      </c>
      <c r="C119" s="153" t="s">
        <v>2</v>
      </c>
      <c r="D119" s="153" t="s">
        <v>3</v>
      </c>
      <c r="G119" s="152" t="s">
        <v>1</v>
      </c>
      <c r="H119" s="152" t="s">
        <v>2</v>
      </c>
      <c r="I119" s="152" t="s">
        <v>3</v>
      </c>
    </row>
    <row r="120" spans="2:19">
      <c r="B120" s="9">
        <v>0.1</v>
      </c>
      <c r="C120" s="9">
        <v>0.4</v>
      </c>
      <c r="D120" s="9">
        <v>0.25</v>
      </c>
      <c r="F120" s="73" t="s">
        <v>30</v>
      </c>
      <c r="G120" s="21">
        <v>1951154.2795626507</v>
      </c>
      <c r="H120" s="21">
        <v>1951154.2795626507</v>
      </c>
      <c r="I120" s="21">
        <f>'Escenario 2'!C155</f>
        <v>1951154.2795626507</v>
      </c>
    </row>
    <row r="121" spans="2:19">
      <c r="F121" s="73" t="s">
        <v>5</v>
      </c>
      <c r="G121" s="21">
        <v>321575.26236815099</v>
      </c>
      <c r="H121" s="21">
        <v>439853.16523821757</v>
      </c>
      <c r="I121" s="21">
        <f>'Escenario 2'!C156</f>
        <v>380714.21380318428</v>
      </c>
    </row>
    <row r="122" spans="2:19">
      <c r="F122" s="73" t="s">
        <v>7</v>
      </c>
      <c r="G122" s="21">
        <v>574258.66803494398</v>
      </c>
      <c r="H122" s="21">
        <v>692536.57090501057</v>
      </c>
      <c r="I122" s="21">
        <f>'Escenario 2'!C160</f>
        <v>633397.61946997722</v>
      </c>
    </row>
    <row r="123" spans="2:19" ht="17.25">
      <c r="B123" s="251" t="s">
        <v>6</v>
      </c>
      <c r="C123" s="252"/>
      <c r="D123" s="252"/>
      <c r="F123" s="73" t="s">
        <v>10</v>
      </c>
      <c r="G123" s="21">
        <v>310.57710668864189</v>
      </c>
      <c r="H123" s="21">
        <v>374.54550786974545</v>
      </c>
      <c r="I123" s="21">
        <f>'Escenario 2'!C161</f>
        <v>342.56130727919367</v>
      </c>
    </row>
    <row r="124" spans="2:19" ht="17.25">
      <c r="B124" s="94" t="s">
        <v>22</v>
      </c>
      <c r="C124" s="5">
        <v>37.770000000000003</v>
      </c>
      <c r="D124" s="5" t="s">
        <v>23</v>
      </c>
      <c r="F124" s="73" t="s">
        <v>14</v>
      </c>
      <c r="G124" s="7">
        <f>I108</f>
        <v>1849.0051445119771</v>
      </c>
      <c r="H124" s="7">
        <f>I108</f>
        <v>1849.0051445119771</v>
      </c>
      <c r="I124" s="7">
        <f>'Escenario 2'!C169</f>
        <v>1849.0051445119771</v>
      </c>
      <c r="J124" s="60" t="s">
        <v>15</v>
      </c>
    </row>
    <row r="125" spans="2:19" ht="17.25">
      <c r="B125" s="94" t="s">
        <v>11</v>
      </c>
      <c r="C125" s="7" t="s">
        <v>12</v>
      </c>
      <c r="D125" s="5" t="s">
        <v>33</v>
      </c>
    </row>
    <row r="126" spans="2:19">
      <c r="B126" s="94" t="s">
        <v>16</v>
      </c>
      <c r="C126" s="5">
        <v>5</v>
      </c>
      <c r="D126" s="5" t="s">
        <v>17</v>
      </c>
    </row>
    <row r="127" spans="2:19">
      <c r="B127" s="94" t="s">
        <v>18</v>
      </c>
      <c r="C127" s="5">
        <v>2</v>
      </c>
      <c r="D127" s="5" t="s">
        <v>19</v>
      </c>
      <c r="Q127" s="74" t="s">
        <v>2</v>
      </c>
      <c r="R127" s="74" t="s">
        <v>3</v>
      </c>
      <c r="S127" s="74" t="s">
        <v>1</v>
      </c>
    </row>
    <row r="128" spans="2:19" ht="17.25">
      <c r="B128" s="94" t="s">
        <v>20</v>
      </c>
      <c r="C128" s="5">
        <v>5</v>
      </c>
      <c r="D128" s="5" t="s">
        <v>21</v>
      </c>
      <c r="P128" s="73" t="s">
        <v>22</v>
      </c>
      <c r="Q128" s="9">
        <f>H108</f>
        <v>2765.571782786019</v>
      </c>
      <c r="R128" s="9">
        <f>I108</f>
        <v>1849.0051445119771</v>
      </c>
      <c r="S128" s="9">
        <f>G108</f>
        <v>946.61206056379945</v>
      </c>
    </row>
    <row r="129" spans="2:19">
      <c r="B129" s="94" t="s">
        <v>36</v>
      </c>
      <c r="C129" s="5">
        <v>4</v>
      </c>
      <c r="D129" s="5" t="s">
        <v>34</v>
      </c>
      <c r="P129" s="73" t="s">
        <v>8</v>
      </c>
      <c r="Q129" s="9">
        <f>$R$128</f>
        <v>1849.0051445119771</v>
      </c>
      <c r="R129" s="9">
        <f>R128</f>
        <v>1849.0051445119771</v>
      </c>
      <c r="S129" s="9">
        <f>$R$128</f>
        <v>1849.0051445119771</v>
      </c>
    </row>
    <row r="130" spans="2:19">
      <c r="B130" s="94" t="s">
        <v>24</v>
      </c>
      <c r="C130" s="5">
        <v>50</v>
      </c>
      <c r="D130" s="5" t="s">
        <v>17</v>
      </c>
      <c r="P130" s="73" t="s">
        <v>46</v>
      </c>
      <c r="Q130" s="9">
        <f t="shared" ref="Q130:Q133" si="10">$R$128</f>
        <v>1849.0051445119771</v>
      </c>
      <c r="R130" s="9">
        <f t="shared" ref="R130:R133" si="11">R129</f>
        <v>1849.0051445119771</v>
      </c>
      <c r="S130" s="9">
        <f t="shared" ref="S130:S133" si="12">$R$128</f>
        <v>1849.0051445119771</v>
      </c>
    </row>
    <row r="131" spans="2:19">
      <c r="B131" s="94" t="s">
        <v>25</v>
      </c>
      <c r="C131" s="5">
        <v>3</v>
      </c>
      <c r="D131" s="5" t="s">
        <v>26</v>
      </c>
      <c r="P131" s="73" t="s">
        <v>47</v>
      </c>
      <c r="Q131" s="9">
        <f t="shared" si="10"/>
        <v>1849.0051445119771</v>
      </c>
      <c r="R131" s="9">
        <f t="shared" si="11"/>
        <v>1849.0051445119771</v>
      </c>
      <c r="S131" s="9">
        <f t="shared" si="12"/>
        <v>1849.0051445119771</v>
      </c>
    </row>
    <row r="132" spans="2:19">
      <c r="P132" s="73" t="s">
        <v>48</v>
      </c>
      <c r="Q132" s="9">
        <f t="shared" si="10"/>
        <v>1849.0051445119771</v>
      </c>
      <c r="R132" s="9">
        <f t="shared" si="11"/>
        <v>1849.0051445119771</v>
      </c>
      <c r="S132" s="9">
        <f t="shared" si="12"/>
        <v>1849.0051445119771</v>
      </c>
    </row>
    <row r="133" spans="2:19" ht="18">
      <c r="B133" s="250" t="s">
        <v>51</v>
      </c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P133" s="73" t="s">
        <v>49</v>
      </c>
      <c r="Q133" s="9">
        <f t="shared" si="10"/>
        <v>1849.0051445119771</v>
      </c>
      <c r="R133" s="9">
        <f t="shared" si="11"/>
        <v>1849.0051445119771</v>
      </c>
      <c r="S133" s="9">
        <f t="shared" si="12"/>
        <v>1849.0051445119771</v>
      </c>
    </row>
    <row r="135" spans="2:19">
      <c r="B135" s="153" t="s">
        <v>1</v>
      </c>
      <c r="C135" s="153" t="s">
        <v>2</v>
      </c>
      <c r="D135" s="153" t="s">
        <v>3</v>
      </c>
      <c r="G135" s="152" t="s">
        <v>1</v>
      </c>
      <c r="H135" s="152" t="s">
        <v>2</v>
      </c>
      <c r="I135" s="152" t="s">
        <v>3</v>
      </c>
    </row>
    <row r="136" spans="2:19">
      <c r="B136" s="9">
        <v>0.1</v>
      </c>
      <c r="C136" s="9">
        <v>0.18</v>
      </c>
      <c r="D136" s="9">
        <v>0.14000000000000001</v>
      </c>
      <c r="F136" s="73" t="s">
        <v>30</v>
      </c>
      <c r="G136" s="21">
        <v>1951154.2795626507</v>
      </c>
      <c r="H136" s="21">
        <v>1951154.2795626507</v>
      </c>
      <c r="I136" s="21">
        <f>I120</f>
        <v>1951154.2795626507</v>
      </c>
    </row>
    <row r="137" spans="2:19">
      <c r="F137" s="73" t="s">
        <v>5</v>
      </c>
      <c r="G137" s="21">
        <v>377093.45326446684</v>
      </c>
      <c r="H137" s="21">
        <v>384334.97434190172</v>
      </c>
      <c r="I137" s="21">
        <f t="shared" ref="I137:I140" si="13">I121</f>
        <v>380714.21380318428</v>
      </c>
    </row>
    <row r="138" spans="2:19">
      <c r="F138" s="73" t="s">
        <v>7</v>
      </c>
      <c r="G138" s="21">
        <v>629776.85893125983</v>
      </c>
      <c r="H138" s="21">
        <v>637018.38000869472</v>
      </c>
      <c r="I138" s="21">
        <f t="shared" si="13"/>
        <v>633397.61946997722</v>
      </c>
    </row>
    <row r="139" spans="2:19" ht="17.25">
      <c r="B139" s="251" t="s">
        <v>6</v>
      </c>
      <c r="C139" s="252"/>
      <c r="D139" s="252"/>
      <c r="F139" s="73" t="s">
        <v>10</v>
      </c>
      <c r="G139" s="21">
        <v>340.60308636809225</v>
      </c>
      <c r="H139" s="21">
        <v>344.51952819029509</v>
      </c>
      <c r="I139" s="21">
        <f t="shared" si="13"/>
        <v>342.56130727919367</v>
      </c>
    </row>
    <row r="140" spans="2:19" ht="17.25">
      <c r="B140" s="94" t="s">
        <v>22</v>
      </c>
      <c r="C140" s="5">
        <v>37.770000000000003</v>
      </c>
      <c r="D140" s="5" t="s">
        <v>23</v>
      </c>
      <c r="F140" s="73" t="s">
        <v>14</v>
      </c>
      <c r="G140" s="7">
        <f>I124</f>
        <v>1849.0051445119771</v>
      </c>
      <c r="H140" s="7">
        <f>I124</f>
        <v>1849.0051445119771</v>
      </c>
      <c r="I140" s="7">
        <f t="shared" si="13"/>
        <v>1849.0051445119771</v>
      </c>
      <c r="J140" s="60" t="s">
        <v>15</v>
      </c>
    </row>
    <row r="141" spans="2:19" ht="17.25">
      <c r="B141" s="94" t="s">
        <v>11</v>
      </c>
      <c r="C141" s="7" t="s">
        <v>12</v>
      </c>
      <c r="D141" s="5" t="s">
        <v>33</v>
      </c>
    </row>
    <row r="142" spans="2:19">
      <c r="B142" s="94" t="s">
        <v>16</v>
      </c>
      <c r="C142" s="5">
        <v>5</v>
      </c>
      <c r="D142" s="5" t="s">
        <v>17</v>
      </c>
    </row>
    <row r="143" spans="2:19">
      <c r="B143" s="94" t="s">
        <v>18</v>
      </c>
      <c r="C143" s="5">
        <v>2</v>
      </c>
      <c r="D143" s="5" t="s">
        <v>19</v>
      </c>
    </row>
    <row r="144" spans="2:19" ht="17.25">
      <c r="B144" s="94" t="s">
        <v>20</v>
      </c>
      <c r="C144" s="5">
        <v>5</v>
      </c>
      <c r="D144" s="5" t="s">
        <v>21</v>
      </c>
    </row>
    <row r="145" spans="2:12">
      <c r="B145" s="94" t="s">
        <v>36</v>
      </c>
      <c r="C145" s="5">
        <v>4</v>
      </c>
      <c r="D145" s="5" t="s">
        <v>34</v>
      </c>
    </row>
    <row r="146" spans="2:12">
      <c r="B146" s="94" t="s">
        <v>24</v>
      </c>
      <c r="C146" s="5">
        <v>50</v>
      </c>
      <c r="D146" s="5" t="s">
        <v>17</v>
      </c>
    </row>
    <row r="147" spans="2:12">
      <c r="B147" s="94" t="s">
        <v>25</v>
      </c>
      <c r="C147" s="5">
        <v>3</v>
      </c>
      <c r="D147" s="5" t="s">
        <v>26</v>
      </c>
    </row>
    <row r="149" spans="2:12">
      <c r="B149" s="250" t="s">
        <v>52</v>
      </c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</row>
    <row r="151" spans="2:12">
      <c r="B151" s="153" t="s">
        <v>1</v>
      </c>
      <c r="C151" s="153" t="s">
        <v>2</v>
      </c>
      <c r="D151" s="153" t="s">
        <v>3</v>
      </c>
      <c r="G151" s="152" t="s">
        <v>1</v>
      </c>
      <c r="H151" s="152" t="s">
        <v>2</v>
      </c>
      <c r="I151" s="152" t="s">
        <v>3</v>
      </c>
    </row>
    <row r="152" spans="2:12">
      <c r="B152" s="9">
        <v>0.25</v>
      </c>
      <c r="C152" s="9">
        <v>0.75</v>
      </c>
      <c r="D152" s="9">
        <v>0.5</v>
      </c>
      <c r="F152" s="73" t="s">
        <v>30</v>
      </c>
      <c r="G152" s="21">
        <v>1951154.2795626507</v>
      </c>
      <c r="H152" s="21">
        <v>1951154.2795626507</v>
      </c>
      <c r="I152" s="21">
        <f>I136</f>
        <v>1951154.2795626507</v>
      </c>
    </row>
    <row r="153" spans="2:12">
      <c r="F153" s="73" t="s">
        <v>5</v>
      </c>
      <c r="G153" s="21">
        <v>370836.48077120382</v>
      </c>
      <c r="H153" s="21">
        <v>390591.94683516474</v>
      </c>
      <c r="I153" s="21">
        <f t="shared" ref="I153:I156" si="14">I137</f>
        <v>380714.21380318428</v>
      </c>
    </row>
    <row r="154" spans="2:12">
      <c r="F154" s="73" t="s">
        <v>7</v>
      </c>
      <c r="G154" s="21">
        <v>623519.88643799676</v>
      </c>
      <c r="H154" s="21">
        <v>643275.35250195768</v>
      </c>
      <c r="I154" s="21">
        <f t="shared" si="14"/>
        <v>633397.61946997722</v>
      </c>
    </row>
    <row r="155" spans="2:12" ht="17.25">
      <c r="B155" s="251" t="s">
        <v>6</v>
      </c>
      <c r="C155" s="252"/>
      <c r="D155" s="252"/>
      <c r="F155" s="73" t="s">
        <v>10</v>
      </c>
      <c r="G155" s="21">
        <v>337.21911931324962</v>
      </c>
      <c r="H155" s="21">
        <v>347.90349524513766</v>
      </c>
      <c r="I155" s="21">
        <f t="shared" si="14"/>
        <v>342.56130727919367</v>
      </c>
    </row>
    <row r="156" spans="2:12" ht="17.25">
      <c r="B156" s="94" t="s">
        <v>22</v>
      </c>
      <c r="C156" s="5">
        <v>37.770000000000003</v>
      </c>
      <c r="D156" s="5" t="s">
        <v>23</v>
      </c>
      <c r="F156" s="73" t="s">
        <v>14</v>
      </c>
      <c r="G156" s="7">
        <f>I140</f>
        <v>1849.0051445119771</v>
      </c>
      <c r="H156" s="7">
        <f>I140</f>
        <v>1849.0051445119771</v>
      </c>
      <c r="I156" s="7">
        <f t="shared" si="14"/>
        <v>1849.0051445119771</v>
      </c>
      <c r="J156" s="60" t="s">
        <v>15</v>
      </c>
    </row>
    <row r="157" spans="2:12" ht="17.25">
      <c r="B157" s="94" t="s">
        <v>11</v>
      </c>
      <c r="C157" s="7" t="s">
        <v>12</v>
      </c>
      <c r="D157" s="5" t="s">
        <v>33</v>
      </c>
    </row>
    <row r="158" spans="2:12">
      <c r="B158" s="94" t="s">
        <v>16</v>
      </c>
      <c r="C158" s="5">
        <v>5</v>
      </c>
      <c r="D158" s="5" t="s">
        <v>17</v>
      </c>
    </row>
    <row r="159" spans="2:12">
      <c r="B159" s="94" t="s">
        <v>18</v>
      </c>
      <c r="C159" s="5">
        <v>2</v>
      </c>
      <c r="D159" s="5" t="s">
        <v>19</v>
      </c>
    </row>
    <row r="160" spans="2:12" ht="17.25">
      <c r="B160" s="94" t="s">
        <v>20</v>
      </c>
      <c r="C160" s="5">
        <v>5</v>
      </c>
      <c r="D160" s="5" t="s">
        <v>21</v>
      </c>
    </row>
    <row r="161" spans="2:12">
      <c r="B161" s="94" t="s">
        <v>36</v>
      </c>
      <c r="C161" s="5">
        <v>4</v>
      </c>
      <c r="D161" s="5" t="s">
        <v>34</v>
      </c>
    </row>
    <row r="162" spans="2:12">
      <c r="B162" s="94" t="s">
        <v>24</v>
      </c>
      <c r="C162" s="5">
        <v>50</v>
      </c>
      <c r="D162" s="5" t="s">
        <v>17</v>
      </c>
    </row>
    <row r="163" spans="2:12">
      <c r="B163" s="94" t="s">
        <v>25</v>
      </c>
      <c r="C163" s="5">
        <v>3</v>
      </c>
      <c r="D163" s="5" t="s">
        <v>26</v>
      </c>
    </row>
    <row r="165" spans="2:12">
      <c r="B165" s="250" t="s">
        <v>53</v>
      </c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</row>
    <row r="167" spans="2:12">
      <c r="B167" s="153" t="s">
        <v>1</v>
      </c>
      <c r="C167" s="153" t="s">
        <v>2</v>
      </c>
      <c r="D167" s="153" t="s">
        <v>3</v>
      </c>
      <c r="G167" s="152" t="s">
        <v>1</v>
      </c>
      <c r="H167" s="152" t="s">
        <v>2</v>
      </c>
      <c r="I167" s="152" t="s">
        <v>3</v>
      </c>
    </row>
    <row r="168" spans="2:12">
      <c r="B168" s="9">
        <v>5</v>
      </c>
      <c r="C168" s="9">
        <v>15</v>
      </c>
      <c r="D168" s="9">
        <v>10</v>
      </c>
      <c r="F168" s="73" t="s">
        <v>30</v>
      </c>
      <c r="G168" s="21">
        <v>1951154.2795626507</v>
      </c>
      <c r="H168" s="21">
        <v>1951154.2795626507</v>
      </c>
      <c r="I168" s="21">
        <f>I152</f>
        <v>1951154.2795626507</v>
      </c>
    </row>
    <row r="169" spans="2:12">
      <c r="F169" s="73" t="s">
        <v>5</v>
      </c>
      <c r="G169" s="21">
        <v>359186.17066518433</v>
      </c>
      <c r="H169" s="21">
        <v>402242.25694118429</v>
      </c>
      <c r="I169" s="21">
        <f t="shared" ref="I169:I172" si="15">I153</f>
        <v>380714.21380318428</v>
      </c>
    </row>
    <row r="170" spans="2:12">
      <c r="F170" s="73" t="s">
        <v>7</v>
      </c>
      <c r="G170" s="21">
        <v>611869.57633197727</v>
      </c>
      <c r="H170" s="21">
        <v>654925.66260797728</v>
      </c>
      <c r="I170" s="21">
        <f t="shared" si="15"/>
        <v>633397.61946997722</v>
      </c>
    </row>
    <row r="171" spans="2:12" ht="17.25">
      <c r="B171" s="251" t="s">
        <v>6</v>
      </c>
      <c r="C171" s="252"/>
      <c r="D171" s="252"/>
      <c r="F171" s="73" t="s">
        <v>10</v>
      </c>
      <c r="G171" s="21">
        <v>330.91826604596764</v>
      </c>
      <c r="H171" s="21">
        <v>354.2043485124197</v>
      </c>
      <c r="I171" s="21">
        <f t="shared" si="15"/>
        <v>342.56130727919367</v>
      </c>
    </row>
    <row r="172" spans="2:12" ht="17.25">
      <c r="B172" s="94" t="s">
        <v>22</v>
      </c>
      <c r="C172" s="5">
        <v>37.770000000000003</v>
      </c>
      <c r="D172" s="5" t="s">
        <v>23</v>
      </c>
      <c r="F172" s="73" t="s">
        <v>14</v>
      </c>
      <c r="G172" s="7">
        <f>I156</f>
        <v>1849.0051445119771</v>
      </c>
      <c r="H172" s="7">
        <f>I156</f>
        <v>1849.0051445119771</v>
      </c>
      <c r="I172" s="7">
        <f t="shared" si="15"/>
        <v>1849.0051445119771</v>
      </c>
      <c r="J172" s="60" t="s">
        <v>15</v>
      </c>
    </row>
    <row r="173" spans="2:12" ht="17.25">
      <c r="B173" s="94" t="s">
        <v>11</v>
      </c>
      <c r="C173" s="7" t="s">
        <v>12</v>
      </c>
      <c r="D173" s="5" t="s">
        <v>33</v>
      </c>
    </row>
    <row r="174" spans="2:12">
      <c r="B174" s="94" t="s">
        <v>16</v>
      </c>
      <c r="C174" s="5">
        <v>5</v>
      </c>
      <c r="D174" s="5" t="s">
        <v>17</v>
      </c>
    </row>
    <row r="175" spans="2:12">
      <c r="B175" s="94" t="s">
        <v>18</v>
      </c>
      <c r="C175" s="5">
        <v>2</v>
      </c>
      <c r="D175" s="5" t="s">
        <v>19</v>
      </c>
    </row>
    <row r="176" spans="2:12" ht="17.25">
      <c r="B176" s="94" t="s">
        <v>20</v>
      </c>
      <c r="C176" s="5">
        <v>5</v>
      </c>
      <c r="D176" s="5" t="s">
        <v>21</v>
      </c>
    </row>
    <row r="177" spans="2:12">
      <c r="B177" s="94" t="s">
        <v>36</v>
      </c>
      <c r="C177" s="5">
        <v>4</v>
      </c>
      <c r="D177" s="5" t="s">
        <v>34</v>
      </c>
    </row>
    <row r="178" spans="2:12">
      <c r="B178" s="94" t="s">
        <v>24</v>
      </c>
      <c r="C178" s="5">
        <v>50</v>
      </c>
      <c r="D178" s="5" t="s">
        <v>17</v>
      </c>
    </row>
    <row r="179" spans="2:12">
      <c r="B179" s="94" t="s">
        <v>25</v>
      </c>
      <c r="C179" s="5">
        <v>3</v>
      </c>
      <c r="D179" s="5" t="s">
        <v>26</v>
      </c>
    </row>
    <row r="181" spans="2:12" ht="18">
      <c r="B181" s="250" t="s">
        <v>54</v>
      </c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</row>
    <row r="183" spans="2:12">
      <c r="B183" s="153" t="s">
        <v>1</v>
      </c>
      <c r="C183" s="153" t="s">
        <v>2</v>
      </c>
      <c r="D183" s="153" t="s">
        <v>3</v>
      </c>
      <c r="G183" s="152" t="s">
        <v>1</v>
      </c>
      <c r="H183" s="152" t="s">
        <v>2</v>
      </c>
      <c r="I183" s="152" t="s">
        <v>3</v>
      </c>
    </row>
    <row r="184" spans="2:12">
      <c r="B184" s="9">
        <v>0.05</v>
      </c>
      <c r="C184" s="9">
        <v>0.15</v>
      </c>
      <c r="D184" s="9">
        <v>0.1</v>
      </c>
      <c r="F184" s="73" t="s">
        <v>30</v>
      </c>
      <c r="G184" s="21">
        <v>1951154.2795626507</v>
      </c>
      <c r="H184" s="21">
        <v>1951154.2795626507</v>
      </c>
      <c r="I184" s="21">
        <f>I168</f>
        <v>1951154.2795626507</v>
      </c>
    </row>
    <row r="185" spans="2:12">
      <c r="F185" s="73" t="s">
        <v>5</v>
      </c>
      <c r="G185" s="21">
        <v>363718.39027318428</v>
      </c>
      <c r="H185" s="21">
        <v>397710.03733318427</v>
      </c>
      <c r="I185" s="21">
        <f t="shared" ref="I185:I188" si="16">I169</f>
        <v>380714.21380318428</v>
      </c>
    </row>
    <row r="186" spans="2:12">
      <c r="F186" s="73" t="s">
        <v>7</v>
      </c>
      <c r="G186" s="21">
        <v>616401.79593997728</v>
      </c>
      <c r="H186" s="21">
        <v>650393.44299997727</v>
      </c>
      <c r="I186" s="21">
        <f t="shared" si="16"/>
        <v>633397.61946997722</v>
      </c>
    </row>
    <row r="187" spans="2:12" ht="17.25">
      <c r="B187" s="251" t="s">
        <v>6</v>
      </c>
      <c r="C187" s="252"/>
      <c r="D187" s="252"/>
      <c r="F187" s="73" t="s">
        <v>10</v>
      </c>
      <c r="G187" s="21">
        <v>333.36943262138368</v>
      </c>
      <c r="H187" s="21">
        <v>351.75318193700372</v>
      </c>
      <c r="I187" s="21">
        <f t="shared" si="16"/>
        <v>342.56130727919367</v>
      </c>
    </row>
    <row r="188" spans="2:12" ht="17.25">
      <c r="B188" s="94" t="s">
        <v>22</v>
      </c>
      <c r="C188" s="5">
        <v>37.770000000000003</v>
      </c>
      <c r="D188" s="5" t="s">
        <v>23</v>
      </c>
      <c r="F188" s="73" t="s">
        <v>14</v>
      </c>
      <c r="G188" s="7">
        <f>I172</f>
        <v>1849.0051445119771</v>
      </c>
      <c r="H188" s="7">
        <f>I172</f>
        <v>1849.0051445119771</v>
      </c>
      <c r="I188" s="7">
        <f t="shared" si="16"/>
        <v>1849.0051445119771</v>
      </c>
      <c r="J188" s="60" t="s">
        <v>15</v>
      </c>
    </row>
    <row r="189" spans="2:12" ht="17.25">
      <c r="B189" s="94" t="s">
        <v>11</v>
      </c>
      <c r="C189" s="7" t="s">
        <v>12</v>
      </c>
      <c r="D189" s="5" t="s">
        <v>33</v>
      </c>
    </row>
    <row r="190" spans="2:12">
      <c r="B190" s="94" t="s">
        <v>16</v>
      </c>
      <c r="C190" s="5">
        <v>5</v>
      </c>
      <c r="D190" s="5" t="s">
        <v>17</v>
      </c>
    </row>
    <row r="191" spans="2:12">
      <c r="B191" s="94" t="s">
        <v>18</v>
      </c>
      <c r="C191" s="5">
        <v>2</v>
      </c>
      <c r="D191" s="5" t="s">
        <v>19</v>
      </c>
    </row>
    <row r="192" spans="2:12" ht="17.25">
      <c r="B192" s="94" t="s">
        <v>20</v>
      </c>
      <c r="C192" s="5">
        <v>5</v>
      </c>
      <c r="D192" s="5" t="s">
        <v>21</v>
      </c>
    </row>
    <row r="193" spans="2:12">
      <c r="B193" s="94" t="s">
        <v>36</v>
      </c>
      <c r="C193" s="5">
        <v>4</v>
      </c>
      <c r="D193" s="5" t="s">
        <v>34</v>
      </c>
    </row>
    <row r="194" spans="2:12">
      <c r="B194" s="94" t="s">
        <v>24</v>
      </c>
      <c r="C194" s="5">
        <v>50</v>
      </c>
      <c r="D194" s="5" t="s">
        <v>17</v>
      </c>
    </row>
    <row r="195" spans="2:12">
      <c r="B195" s="94" t="s">
        <v>25</v>
      </c>
      <c r="C195" s="5">
        <v>3</v>
      </c>
      <c r="D195" s="5" t="s">
        <v>26</v>
      </c>
    </row>
    <row r="197" spans="2:12" ht="17.25">
      <c r="B197" s="250" t="s">
        <v>27</v>
      </c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</row>
    <row r="199" spans="2:12">
      <c r="B199" s="153" t="s">
        <v>1</v>
      </c>
      <c r="C199" s="153" t="s">
        <v>2</v>
      </c>
      <c r="D199" s="153" t="s">
        <v>3</v>
      </c>
      <c r="G199" s="152" t="s">
        <v>1</v>
      </c>
      <c r="H199" s="152" t="s">
        <v>2</v>
      </c>
      <c r="I199" s="152" t="s">
        <v>3</v>
      </c>
    </row>
    <row r="200" spans="2:12">
      <c r="B200" s="9">
        <f>D200*0.9</f>
        <v>33.992383561643834</v>
      </c>
      <c r="C200" s="9">
        <f>D200*1.1</f>
        <v>41.546246575342465</v>
      </c>
      <c r="D200" s="9">
        <v>37.76931506849315</v>
      </c>
      <c r="F200" s="94" t="s">
        <v>30</v>
      </c>
      <c r="G200" s="189">
        <v>1951154.2795626507</v>
      </c>
      <c r="H200" s="189">
        <v>1951154.2795626507</v>
      </c>
      <c r="I200" s="189">
        <f>I104</f>
        <v>1951154.2795626507</v>
      </c>
    </row>
    <row r="201" spans="2:12">
      <c r="F201" s="94" t="s">
        <v>5</v>
      </c>
      <c r="G201" s="189">
        <v>360852.65059467603</v>
      </c>
      <c r="H201" s="189">
        <v>401234.27031620033</v>
      </c>
      <c r="I201" s="189">
        <f t="shared" ref="I201:I204" si="17">I105</f>
        <v>380714.21380318428</v>
      </c>
    </row>
    <row r="202" spans="2:12">
      <c r="F202" s="94" t="s">
        <v>7</v>
      </c>
      <c r="G202" s="189">
        <v>613536.05626146903</v>
      </c>
      <c r="H202" s="189">
        <v>653917.67598299333</v>
      </c>
      <c r="I202" s="189">
        <f t="shared" si="17"/>
        <v>633397.61946997722</v>
      </c>
    </row>
    <row r="203" spans="2:12" ht="17.25">
      <c r="F203" s="94" t="s">
        <v>10</v>
      </c>
      <c r="G203" s="189">
        <v>368.02392216388836</v>
      </c>
      <c r="H203" s="189">
        <v>321.98400532396636</v>
      </c>
      <c r="I203" s="189">
        <f t="shared" si="17"/>
        <v>342.56130727919367</v>
      </c>
    </row>
    <row r="204" spans="2:12" ht="17.25">
      <c r="F204" s="94" t="s">
        <v>14</v>
      </c>
      <c r="G204" s="7">
        <v>1667.1091722897547</v>
      </c>
      <c r="H204" s="7">
        <v>2030.9011167341985</v>
      </c>
      <c r="I204" s="7">
        <f t="shared" si="17"/>
        <v>1849.0051445119771</v>
      </c>
      <c r="J204" s="60" t="s">
        <v>15</v>
      </c>
    </row>
  </sheetData>
  <mergeCells count="26">
    <mergeCell ref="P28:U28"/>
    <mergeCell ref="P38:U38"/>
    <mergeCell ref="B22:L22"/>
    <mergeCell ref="B2:L2"/>
    <mergeCell ref="B7:D7"/>
    <mergeCell ref="B82:L82"/>
    <mergeCell ref="B87:D87"/>
    <mergeCell ref="B62:L62"/>
    <mergeCell ref="B67:D67"/>
    <mergeCell ref="B28:D28"/>
    <mergeCell ref="B42:L42"/>
    <mergeCell ref="B47:D47"/>
    <mergeCell ref="B197:L197"/>
    <mergeCell ref="B181:L181"/>
    <mergeCell ref="B187:D187"/>
    <mergeCell ref="A98:XFD99"/>
    <mergeCell ref="B139:D139"/>
    <mergeCell ref="B149:L149"/>
    <mergeCell ref="B155:D155"/>
    <mergeCell ref="B165:L165"/>
    <mergeCell ref="B171:D171"/>
    <mergeCell ref="B101:L101"/>
    <mergeCell ref="B107:D107"/>
    <mergeCell ref="B117:L117"/>
    <mergeCell ref="B123:D123"/>
    <mergeCell ref="B133:L13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2:AB206"/>
  <sheetViews>
    <sheetView zoomScale="80" zoomScaleNormal="80" workbookViewId="0">
      <selection activeCell="I124" sqref="I124"/>
    </sheetView>
  </sheetViews>
  <sheetFormatPr defaultColWidth="11.42578125" defaultRowHeight="15"/>
  <cols>
    <col min="6" max="12" width="14.5703125" bestFit="1" customWidth="1"/>
    <col min="16" max="16" width="13.7109375" bestFit="1" customWidth="1"/>
    <col min="20" max="20" width="14.85546875" bestFit="1" customWidth="1"/>
    <col min="21" max="22" width="14.5703125" bestFit="1" customWidth="1"/>
    <col min="23" max="23" width="13.7109375" bestFit="1" customWidth="1"/>
  </cols>
  <sheetData>
    <row r="2" spans="2:12" hidden="1">
      <c r="B2" s="255" t="s">
        <v>55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</row>
    <row r="3" spans="2:12" hidden="1"/>
    <row r="4" spans="2:12" hidden="1">
      <c r="B4" s="89" t="s">
        <v>56</v>
      </c>
      <c r="C4" s="89" t="s">
        <v>57</v>
      </c>
      <c r="D4" s="89" t="s">
        <v>58</v>
      </c>
      <c r="G4" s="74" t="s">
        <v>56</v>
      </c>
      <c r="H4" s="74" t="s">
        <v>57</v>
      </c>
      <c r="I4" s="74" t="s">
        <v>58</v>
      </c>
    </row>
    <row r="5" spans="2:12" hidden="1">
      <c r="B5" s="2">
        <v>3</v>
      </c>
      <c r="C5" s="2">
        <v>5</v>
      </c>
      <c r="D5" s="2">
        <v>4</v>
      </c>
      <c r="F5" s="73" t="s">
        <v>30</v>
      </c>
      <c r="G5" s="21">
        <v>2881381.6885108254</v>
      </c>
      <c r="H5" s="21">
        <v>2914899.0449037827</v>
      </c>
      <c r="I5" s="21">
        <v>2902524.310798482</v>
      </c>
    </row>
    <row r="6" spans="2:12" hidden="1">
      <c r="F6" s="73" t="s">
        <v>5</v>
      </c>
      <c r="G6" s="21">
        <v>651850.86463079718</v>
      </c>
      <c r="H6" s="21">
        <v>809245.94468536053</v>
      </c>
      <c r="I6" s="21">
        <v>750226.20170398266</v>
      </c>
    </row>
    <row r="7" spans="2:12" hidden="1">
      <c r="B7" s="252" t="s">
        <v>59</v>
      </c>
      <c r="C7" s="252"/>
      <c r="D7" s="252"/>
      <c r="F7" s="73" t="s">
        <v>7</v>
      </c>
      <c r="G7" s="21">
        <v>1025002.9755146415</v>
      </c>
      <c r="H7" s="21">
        <v>1186738.7065628406</v>
      </c>
      <c r="I7" s="21">
        <v>1126116.3789008451</v>
      </c>
    </row>
    <row r="8" spans="2:12" ht="15" hidden="1" customHeight="1">
      <c r="B8" s="94" t="s">
        <v>60</v>
      </c>
      <c r="C8" s="5">
        <v>0.25</v>
      </c>
      <c r="D8" s="5" t="s">
        <v>9</v>
      </c>
      <c r="F8" s="73" t="s">
        <v>43</v>
      </c>
      <c r="G8" s="21">
        <v>466.2240306650512</v>
      </c>
      <c r="H8" s="21">
        <v>330.88217407291006</v>
      </c>
      <c r="I8" s="21">
        <v>371.50217587507586</v>
      </c>
      <c r="J8" s="258" t="s">
        <v>61</v>
      </c>
    </row>
    <row r="9" spans="2:12" hidden="1">
      <c r="B9" s="94" t="s">
        <v>62</v>
      </c>
      <c r="C9" s="7" t="s">
        <v>12</v>
      </c>
      <c r="D9" s="5" t="s">
        <v>13</v>
      </c>
      <c r="F9" s="73" t="s">
        <v>44</v>
      </c>
      <c r="G9" s="21">
        <v>1310.2559348014372</v>
      </c>
      <c r="H9" s="9">
        <v>1834.3583087220106</v>
      </c>
      <c r="I9" s="9">
        <v>1637.8199185017947</v>
      </c>
      <c r="J9" s="258"/>
    </row>
    <row r="10" spans="2:12" hidden="1">
      <c r="B10" s="94" t="s">
        <v>16</v>
      </c>
      <c r="C10" s="5">
        <v>5</v>
      </c>
      <c r="D10" s="5" t="s">
        <v>17</v>
      </c>
      <c r="F10" s="73" t="s">
        <v>43</v>
      </c>
      <c r="G10" s="21">
        <v>73.968221262556014</v>
      </c>
      <c r="H10" s="21">
        <v>73.968221262556014</v>
      </c>
      <c r="I10" s="21">
        <v>73.968221262556014</v>
      </c>
      <c r="J10" s="258" t="s">
        <v>63</v>
      </c>
    </row>
    <row r="11" spans="2:12" hidden="1">
      <c r="B11" s="94" t="s">
        <v>18</v>
      </c>
      <c r="C11" s="5">
        <v>2</v>
      </c>
      <c r="D11" s="5" t="s">
        <v>19</v>
      </c>
      <c r="F11" s="73" t="s">
        <v>44</v>
      </c>
      <c r="G11" s="9">
        <v>5598.7580249999974</v>
      </c>
      <c r="H11" s="9">
        <v>7838.2612349999981</v>
      </c>
      <c r="I11" s="9">
        <v>6998.4475312499999</v>
      </c>
      <c r="J11" s="258"/>
    </row>
    <row r="12" spans="2:12" ht="17.25" hidden="1">
      <c r="B12" s="94" t="s">
        <v>20</v>
      </c>
      <c r="C12" s="5">
        <v>5</v>
      </c>
      <c r="D12" s="5" t="s">
        <v>21</v>
      </c>
    </row>
    <row r="13" spans="2:12" ht="17.25" hidden="1">
      <c r="B13" s="94" t="s">
        <v>64</v>
      </c>
      <c r="C13" s="5">
        <v>37.770000000000003</v>
      </c>
      <c r="D13" s="5" t="s">
        <v>23</v>
      </c>
    </row>
    <row r="14" spans="2:12" hidden="1">
      <c r="B14" s="94" t="s">
        <v>24</v>
      </c>
      <c r="C14" s="5">
        <v>50</v>
      </c>
      <c r="D14" s="5" t="s">
        <v>17</v>
      </c>
    </row>
    <row r="15" spans="2:12" ht="17.25" hidden="1" customHeight="1">
      <c r="B15" s="94" t="s">
        <v>65</v>
      </c>
      <c r="C15" s="5">
        <v>3</v>
      </c>
      <c r="D15" s="5" t="s">
        <v>26</v>
      </c>
      <c r="F15" t="s">
        <v>66</v>
      </c>
    </row>
    <row r="16" spans="2:12" hidden="1"/>
    <row r="17" spans="2:28" hidden="1"/>
    <row r="18" spans="2:28" hidden="1"/>
    <row r="19" spans="2:28" hidden="1"/>
    <row r="20" spans="2:28" hidden="1"/>
    <row r="21" spans="2:28" hidden="1">
      <c r="Q21" s="74" t="s">
        <v>1</v>
      </c>
      <c r="R21" s="74" t="s">
        <v>2</v>
      </c>
      <c r="S21" s="74" t="s">
        <v>3</v>
      </c>
      <c r="T21" s="74" t="s">
        <v>1</v>
      </c>
      <c r="X21" s="74" t="s">
        <v>1</v>
      </c>
      <c r="Y21" s="74" t="s">
        <v>2</v>
      </c>
      <c r="Z21" s="74" t="s">
        <v>3</v>
      </c>
      <c r="AA21" s="74" t="s">
        <v>1</v>
      </c>
      <c r="AB21" s="60" t="s">
        <v>67</v>
      </c>
    </row>
    <row r="22" spans="2:28" ht="17.25" hidden="1">
      <c r="B22" s="255" t="s">
        <v>68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O22">
        <v>1</v>
      </c>
      <c r="P22" s="73" t="s">
        <v>28</v>
      </c>
      <c r="Q22" s="21">
        <f>G8</f>
        <v>466.2240306650512</v>
      </c>
      <c r="R22" s="21">
        <f>H8</f>
        <v>330.88217407291006</v>
      </c>
      <c r="S22" s="21">
        <f>I8</f>
        <v>371.50217587507586</v>
      </c>
      <c r="T22" s="21">
        <f>Q22</f>
        <v>466.2240306650512</v>
      </c>
      <c r="W22" s="73" t="s">
        <v>28</v>
      </c>
      <c r="X22" s="9">
        <f>G9</f>
        <v>1310.2559348014372</v>
      </c>
      <c r="Y22" s="9">
        <f t="shared" ref="Y22:Z22" si="0">H9</f>
        <v>1834.3583087220106</v>
      </c>
      <c r="Z22" s="9">
        <f t="shared" si="0"/>
        <v>1637.8199185017947</v>
      </c>
      <c r="AA22" s="9">
        <f>X22</f>
        <v>1310.2559348014372</v>
      </c>
    </row>
    <row r="23" spans="2:28" hidden="1">
      <c r="O23">
        <v>2</v>
      </c>
      <c r="P23" s="73" t="s">
        <v>22</v>
      </c>
      <c r="Q23" s="21">
        <f>G28</f>
        <v>680.40793032021941</v>
      </c>
      <c r="R23" s="21">
        <f>H28</f>
        <v>267.78622162750736</v>
      </c>
      <c r="S23" s="21">
        <f>I28</f>
        <v>371.50217587507586</v>
      </c>
      <c r="T23" s="21">
        <f>Q23</f>
        <v>680.40793032021941</v>
      </c>
      <c r="W23" s="73" t="s">
        <v>22</v>
      </c>
      <c r="X23" s="9">
        <f>G29</f>
        <v>818.90995925089669</v>
      </c>
      <c r="Y23" s="9">
        <f t="shared" ref="Y23:Z23" si="1">H29</f>
        <v>2456.7298777526903</v>
      </c>
      <c r="Z23" s="9">
        <f t="shared" si="1"/>
        <v>1637.8199185017947</v>
      </c>
      <c r="AA23" s="9">
        <f t="shared" ref="AA23:AA26" si="2">X23</f>
        <v>818.90995925089669</v>
      </c>
    </row>
    <row r="24" spans="2:28" hidden="1">
      <c r="B24" s="89" t="s">
        <v>56</v>
      </c>
      <c r="C24" s="89" t="s">
        <v>57</v>
      </c>
      <c r="D24" s="89" t="s">
        <v>58</v>
      </c>
      <c r="G24" s="74" t="s">
        <v>56</v>
      </c>
      <c r="H24" s="74" t="s">
        <v>57</v>
      </c>
      <c r="I24" s="74" t="s">
        <v>58</v>
      </c>
      <c r="O24">
        <v>3</v>
      </c>
      <c r="P24" s="73" t="s">
        <v>29</v>
      </c>
      <c r="Q24" s="21">
        <f>G48</f>
        <v>372.19398264161998</v>
      </c>
      <c r="R24" s="21">
        <f>H48</f>
        <v>370.81036910853209</v>
      </c>
      <c r="S24" s="21">
        <f>I48</f>
        <v>371.50217587507586</v>
      </c>
      <c r="T24" s="21">
        <f>Q24</f>
        <v>372.19398264161998</v>
      </c>
      <c r="W24" s="73" t="s">
        <v>29</v>
      </c>
      <c r="X24" s="9">
        <f>G49</f>
        <v>1637.8199185017934</v>
      </c>
      <c r="Y24" s="9">
        <f t="shared" ref="Y24:Z24" si="3">H49</f>
        <v>1637.8199185017934</v>
      </c>
      <c r="Z24" s="9">
        <f t="shared" si="3"/>
        <v>1637.8199185017947</v>
      </c>
      <c r="AA24" s="9">
        <f t="shared" si="2"/>
        <v>1637.8199185017934</v>
      </c>
    </row>
    <row r="25" spans="2:28" hidden="1">
      <c r="B25" s="9">
        <f>D25/D26</f>
        <v>18.884657534246575</v>
      </c>
      <c r="C25" s="9">
        <f>B25*C26</f>
        <v>56.653972602739728</v>
      </c>
      <c r="D25" s="9">
        <v>37.76931506849315</v>
      </c>
      <c r="F25" s="73" t="s">
        <v>30</v>
      </c>
      <c r="G25" s="21">
        <v>2697709.5980668697</v>
      </c>
      <c r="H25" s="21">
        <v>3094854.3876952566</v>
      </c>
      <c r="I25" s="21">
        <f>I5</f>
        <v>2902524.310798482</v>
      </c>
      <c r="O25">
        <v>4</v>
      </c>
      <c r="P25" s="73" t="s">
        <v>25</v>
      </c>
      <c r="Q25" s="21">
        <f>G68</f>
        <v>293.11562389817686</v>
      </c>
      <c r="R25" s="21">
        <f>H68</f>
        <v>488.65930060516598</v>
      </c>
      <c r="S25" s="21">
        <f>I68</f>
        <v>371.50217587507586</v>
      </c>
      <c r="T25" s="21">
        <f>Q25</f>
        <v>293.11562389817686</v>
      </c>
      <c r="W25" s="73" t="s">
        <v>25</v>
      </c>
      <c r="X25" s="9">
        <f>G69</f>
        <v>1965.3839022021521</v>
      </c>
      <c r="Y25" s="9">
        <f t="shared" ref="Y25:Z25" si="4">H69</f>
        <v>1310.2559348014347</v>
      </c>
      <c r="Z25" s="9">
        <f t="shared" si="4"/>
        <v>1637.8199185017947</v>
      </c>
      <c r="AA25" s="9">
        <f t="shared" si="2"/>
        <v>1965.3839022021521</v>
      </c>
    </row>
    <row r="26" spans="2:28" hidden="1">
      <c r="B26" s="2">
        <v>1</v>
      </c>
      <c r="C26" s="2">
        <v>3</v>
      </c>
      <c r="D26" s="2">
        <v>2</v>
      </c>
      <c r="F26" s="73" t="s">
        <v>5</v>
      </c>
      <c r="G26" s="21">
        <v>466658.4533575789</v>
      </c>
      <c r="H26" s="21">
        <v>1033574.6826931802</v>
      </c>
      <c r="I26" s="21">
        <f t="shared" ref="I26:I31" si="5">I6</f>
        <v>750226.20170398266</v>
      </c>
      <c r="O26">
        <v>5</v>
      </c>
      <c r="P26" s="73" t="s">
        <v>31</v>
      </c>
      <c r="Q26" s="21">
        <f>G88</f>
        <v>298.10979203758427</v>
      </c>
      <c r="R26" s="21">
        <f>H88</f>
        <v>491.14016679432154</v>
      </c>
      <c r="S26" s="21">
        <f>I88</f>
        <v>371.50217587507586</v>
      </c>
      <c r="T26" s="21">
        <f>Q26</f>
        <v>298.10979203758427</v>
      </c>
      <c r="W26" s="73" t="s">
        <v>31</v>
      </c>
      <c r="X26" s="9">
        <f>G89</f>
        <v>2030.8966989422242</v>
      </c>
      <c r="Y26" s="9">
        <f t="shared" ref="Y26:Z26" si="6">H89</f>
        <v>1244.7431380613627</v>
      </c>
      <c r="Z26" s="9">
        <f t="shared" si="6"/>
        <v>1637.8199185017947</v>
      </c>
      <c r="AA26" s="9">
        <f t="shared" si="2"/>
        <v>2030.8966989422242</v>
      </c>
    </row>
    <row r="27" spans="2:28" hidden="1">
      <c r="F27" s="73" t="s">
        <v>7</v>
      </c>
      <c r="G27" s="21">
        <v>816024.18823546194</v>
      </c>
      <c r="H27" s="21">
        <v>1434372.4847516331</v>
      </c>
      <c r="I27" s="21">
        <f t="shared" si="5"/>
        <v>1126116.3789008451</v>
      </c>
    </row>
    <row r="28" spans="2:28" hidden="1">
      <c r="B28" s="252" t="s">
        <v>59</v>
      </c>
      <c r="C28" s="252"/>
      <c r="D28" s="252"/>
      <c r="F28" s="73" t="s">
        <v>43</v>
      </c>
      <c r="G28" s="21">
        <v>680.40793032021941</v>
      </c>
      <c r="H28" s="21">
        <v>267.78622162750736</v>
      </c>
      <c r="I28" s="21">
        <f t="shared" si="5"/>
        <v>371.50217587507586</v>
      </c>
      <c r="J28" s="258" t="s">
        <v>61</v>
      </c>
      <c r="P28" s="256" t="s">
        <v>32</v>
      </c>
      <c r="Q28" s="256"/>
      <c r="R28" s="256"/>
      <c r="S28" s="256"/>
      <c r="T28" s="256"/>
      <c r="U28" s="256"/>
      <c r="X28" s="74" t="s">
        <v>1</v>
      </c>
      <c r="Y28" s="74" t="s">
        <v>2</v>
      </c>
      <c r="Z28" s="74" t="s">
        <v>3</v>
      </c>
      <c r="AA28" s="74" t="s">
        <v>1</v>
      </c>
      <c r="AB28" s="60" t="s">
        <v>69</v>
      </c>
    </row>
    <row r="29" spans="2:28" hidden="1">
      <c r="B29" s="94" t="s">
        <v>60</v>
      </c>
      <c r="C29" s="5">
        <v>0.25</v>
      </c>
      <c r="D29" s="5" t="s">
        <v>9</v>
      </c>
      <c r="F29" s="73" t="s">
        <v>44</v>
      </c>
      <c r="G29" s="9">
        <v>818.90995925089669</v>
      </c>
      <c r="H29" s="9">
        <v>2456.7298777526903</v>
      </c>
      <c r="I29" s="21">
        <f t="shared" si="5"/>
        <v>1637.8199185017947</v>
      </c>
      <c r="J29" s="258"/>
      <c r="W29" s="73" t="s">
        <v>28</v>
      </c>
      <c r="X29" s="9">
        <f>G11</f>
        <v>5598.7580249999974</v>
      </c>
      <c r="Y29" s="9">
        <f t="shared" ref="Y29:Z29" si="7">H11</f>
        <v>7838.2612349999981</v>
      </c>
      <c r="Z29" s="9">
        <f t="shared" si="7"/>
        <v>6998.4475312499999</v>
      </c>
      <c r="AA29" s="9">
        <f>X29</f>
        <v>5598.7580249999974</v>
      </c>
    </row>
    <row r="30" spans="2:28" ht="17.25" hidden="1">
      <c r="B30" s="94" t="s">
        <v>62</v>
      </c>
      <c r="C30" s="7" t="s">
        <v>12</v>
      </c>
      <c r="D30" s="5" t="s">
        <v>33</v>
      </c>
      <c r="F30" s="73" t="s">
        <v>43</v>
      </c>
      <c r="G30" s="21">
        <f>G10</f>
        <v>73.968221262556014</v>
      </c>
      <c r="H30" s="21">
        <f t="shared" ref="H30" si="8">H10</f>
        <v>73.968221262556014</v>
      </c>
      <c r="I30" s="21">
        <f t="shared" si="5"/>
        <v>73.968221262556014</v>
      </c>
      <c r="J30" s="258" t="s">
        <v>63</v>
      </c>
      <c r="P30" s="89" t="s">
        <v>28</v>
      </c>
      <c r="Q30" s="2">
        <v>3</v>
      </c>
      <c r="R30" s="2" t="s">
        <v>34</v>
      </c>
      <c r="T30" s="89" t="s">
        <v>30</v>
      </c>
      <c r="U30" s="21">
        <v>2690517.438826723</v>
      </c>
      <c r="W30" s="73" t="s">
        <v>22</v>
      </c>
      <c r="X30" s="9">
        <f>G31</f>
        <v>3499.2237656249954</v>
      </c>
      <c r="Y30" s="9">
        <f t="shared" ref="Y30:Z30" si="9">H31</f>
        <v>10497.671296874985</v>
      </c>
      <c r="Z30" s="9">
        <f t="shared" si="9"/>
        <v>6998.4475312499999</v>
      </c>
      <c r="AA30" s="9">
        <f t="shared" ref="AA30:AA33" si="10">X30</f>
        <v>3499.2237656249954</v>
      </c>
    </row>
    <row r="31" spans="2:28" ht="17.25" hidden="1">
      <c r="B31" s="94" t="s">
        <v>16</v>
      </c>
      <c r="C31" s="5">
        <v>5</v>
      </c>
      <c r="D31" s="5" t="s">
        <v>17</v>
      </c>
      <c r="F31" s="73" t="s">
        <v>44</v>
      </c>
      <c r="G31" s="9">
        <v>3499.2237656249954</v>
      </c>
      <c r="H31" s="9">
        <v>10497.671296874985</v>
      </c>
      <c r="I31" s="21">
        <f t="shared" si="5"/>
        <v>6998.4475312499999</v>
      </c>
      <c r="J31" s="258"/>
      <c r="P31" s="89" t="s">
        <v>22</v>
      </c>
      <c r="Q31" s="9">
        <f>C25</f>
        <v>56.653972602739728</v>
      </c>
      <c r="R31" s="5" t="s">
        <v>23</v>
      </c>
      <c r="T31" s="89" t="s">
        <v>5</v>
      </c>
      <c r="U31" s="21">
        <v>258010.80240942855</v>
      </c>
      <c r="W31" s="73" t="s">
        <v>29</v>
      </c>
      <c r="X31" s="9">
        <f>G51</f>
        <v>6998.4475312499999</v>
      </c>
      <c r="Y31" s="9">
        <f t="shared" ref="Y31:Z31" si="11">H51</f>
        <v>6998.4475312499999</v>
      </c>
      <c r="Z31" s="9">
        <f t="shared" si="11"/>
        <v>6998.4475312499999</v>
      </c>
      <c r="AA31" s="9">
        <f t="shared" si="10"/>
        <v>6998.4475312499999</v>
      </c>
    </row>
    <row r="32" spans="2:28" hidden="1">
      <c r="B32" s="94" t="s">
        <v>18</v>
      </c>
      <c r="C32" s="5">
        <v>2</v>
      </c>
      <c r="D32" s="5" t="s">
        <v>19</v>
      </c>
      <c r="P32" s="89" t="s">
        <v>29</v>
      </c>
      <c r="Q32" s="2">
        <v>30</v>
      </c>
      <c r="R32" s="2" t="s">
        <v>17</v>
      </c>
      <c r="T32" s="89" t="s">
        <v>7</v>
      </c>
      <c r="U32" s="21">
        <v>606445.11976183241</v>
      </c>
      <c r="W32" s="73" t="s">
        <v>25</v>
      </c>
      <c r="X32" s="9">
        <f>G71</f>
        <v>8398.1370374999879</v>
      </c>
      <c r="Y32" s="9">
        <f t="shared" ref="Y32:Z32" si="12">H71</f>
        <v>5598.7580249999928</v>
      </c>
      <c r="Z32" s="9">
        <f t="shared" si="12"/>
        <v>6998.4475312499999</v>
      </c>
      <c r="AA32" s="9">
        <f t="shared" si="10"/>
        <v>8398.1370374999879</v>
      </c>
    </row>
    <row r="33" spans="2:27" ht="17.25" hidden="1">
      <c r="B33" s="94" t="s">
        <v>20</v>
      </c>
      <c r="C33" s="5">
        <v>5</v>
      </c>
      <c r="D33" s="5" t="s">
        <v>21</v>
      </c>
      <c r="P33" s="89" t="s">
        <v>25</v>
      </c>
      <c r="Q33" s="2">
        <v>4</v>
      </c>
      <c r="R33" s="5" t="s">
        <v>26</v>
      </c>
      <c r="T33" s="153" t="s">
        <v>35</v>
      </c>
      <c r="U33" s="162">
        <v>6626.6035462412074</v>
      </c>
      <c r="V33" s="258" t="s">
        <v>67</v>
      </c>
      <c r="W33" s="73" t="s">
        <v>31</v>
      </c>
      <c r="X33" s="9">
        <f>G91</f>
        <v>8678.0749387499891</v>
      </c>
      <c r="Y33" s="9">
        <f t="shared" ref="Y33:Z33" si="13">H91</f>
        <v>5318.8201237499925</v>
      </c>
      <c r="Z33" s="9">
        <f t="shared" si="13"/>
        <v>6998.4475312499999</v>
      </c>
      <c r="AA33" s="9">
        <f t="shared" si="10"/>
        <v>8678.0749387499891</v>
      </c>
    </row>
    <row r="34" spans="2:27" ht="17.25" hidden="1">
      <c r="B34" s="94" t="s">
        <v>70</v>
      </c>
      <c r="C34" s="5">
        <v>4</v>
      </c>
      <c r="D34" s="5" t="s">
        <v>34</v>
      </c>
      <c r="P34" s="89" t="s">
        <v>31</v>
      </c>
      <c r="Q34" s="2">
        <v>7</v>
      </c>
      <c r="R34" s="106" t="s">
        <v>21</v>
      </c>
      <c r="T34" s="89" t="s">
        <v>14</v>
      </c>
      <c r="U34" s="9">
        <v>87.350395653428976</v>
      </c>
      <c r="V34" s="258"/>
    </row>
    <row r="35" spans="2:27" hidden="1">
      <c r="B35" s="94" t="s">
        <v>24</v>
      </c>
      <c r="C35" s="5">
        <v>50</v>
      </c>
      <c r="D35" s="5" t="s">
        <v>17</v>
      </c>
      <c r="T35" s="89" t="s">
        <v>14</v>
      </c>
      <c r="U35" s="9">
        <v>373.25053499999933</v>
      </c>
      <c r="V35" s="165" t="s">
        <v>69</v>
      </c>
    </row>
    <row r="36" spans="2:27" hidden="1">
      <c r="B36" s="94" t="s">
        <v>65</v>
      </c>
      <c r="C36" s="5">
        <v>3</v>
      </c>
      <c r="D36" s="5" t="s">
        <v>26</v>
      </c>
    </row>
    <row r="37" spans="2:27" hidden="1"/>
    <row r="38" spans="2:27" hidden="1">
      <c r="P38" s="257" t="s">
        <v>37</v>
      </c>
      <c r="Q38" s="257"/>
      <c r="R38" s="257"/>
      <c r="S38" s="257"/>
      <c r="T38" s="257"/>
      <c r="U38" s="257"/>
    </row>
    <row r="39" spans="2:27" hidden="1"/>
    <row r="40" spans="2:27" hidden="1">
      <c r="P40" s="163" t="s">
        <v>28</v>
      </c>
      <c r="Q40" s="63">
        <v>5</v>
      </c>
      <c r="R40" s="2" t="s">
        <v>34</v>
      </c>
      <c r="T40" s="163" t="s">
        <v>30</v>
      </c>
      <c r="U40" s="21">
        <v>3087513.4190983335</v>
      </c>
    </row>
    <row r="41" spans="2:27" ht="17.25" hidden="1">
      <c r="C41" s="100"/>
      <c r="P41" s="163" t="s">
        <v>22</v>
      </c>
      <c r="Q41" s="9">
        <f>D25</f>
        <v>37.76931506849315</v>
      </c>
      <c r="R41" s="5" t="s">
        <v>23</v>
      </c>
      <c r="T41" s="163" t="s">
        <v>5</v>
      </c>
      <c r="U41" s="21">
        <v>1300063.4406167557</v>
      </c>
    </row>
    <row r="42" spans="2:27" hidden="1">
      <c r="B42" s="255" t="s">
        <v>71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P42" s="163" t="s">
        <v>29</v>
      </c>
      <c r="Q42" s="2">
        <v>70</v>
      </c>
      <c r="R42" s="2" t="s">
        <v>17</v>
      </c>
      <c r="T42" s="163" t="s">
        <v>7</v>
      </c>
      <c r="U42" s="21">
        <v>1699910.5536572295</v>
      </c>
    </row>
    <row r="43" spans="2:27" ht="17.25" hidden="1">
      <c r="P43" s="163" t="s">
        <v>25</v>
      </c>
      <c r="Q43" s="2">
        <v>2</v>
      </c>
      <c r="R43" s="5" t="s">
        <v>26</v>
      </c>
      <c r="T43" s="164" t="s">
        <v>35</v>
      </c>
      <c r="U43" s="162">
        <v>175.36676175793235</v>
      </c>
      <c r="V43" s="258" t="s">
        <v>67</v>
      </c>
    </row>
    <row r="44" spans="2:27" ht="17.25" hidden="1">
      <c r="B44" s="89" t="s">
        <v>56</v>
      </c>
      <c r="C44" s="89" t="s">
        <v>57</v>
      </c>
      <c r="D44" s="89" t="s">
        <v>58</v>
      </c>
      <c r="G44" s="74" t="s">
        <v>56</v>
      </c>
      <c r="H44" s="74" t="s">
        <v>57</v>
      </c>
      <c r="I44" s="74" t="s">
        <v>58</v>
      </c>
      <c r="P44" s="163" t="s">
        <v>31</v>
      </c>
      <c r="Q44" s="2">
        <v>3</v>
      </c>
      <c r="R44" s="106" t="s">
        <v>21</v>
      </c>
      <c r="T44" s="163" t="s">
        <v>14</v>
      </c>
      <c r="U44" s="9">
        <v>3459.0756678757866</v>
      </c>
      <c r="V44" s="258"/>
    </row>
    <row r="45" spans="2:27" hidden="1">
      <c r="B45" s="9">
        <v>30</v>
      </c>
      <c r="C45" s="9">
        <v>70</v>
      </c>
      <c r="D45" s="9">
        <v>50</v>
      </c>
      <c r="F45" s="73" t="s">
        <v>30</v>
      </c>
      <c r="G45" s="21">
        <v>2902524.3107984816</v>
      </c>
      <c r="H45" s="21">
        <v>2902524.3107984816</v>
      </c>
      <c r="I45" s="21">
        <f>I25</f>
        <v>2902524.310798482</v>
      </c>
      <c r="T45" s="163" t="s">
        <v>14</v>
      </c>
      <c r="U45" s="9">
        <v>14780.721185999979</v>
      </c>
      <c r="V45" s="165" t="s">
        <v>69</v>
      </c>
    </row>
    <row r="46" spans="2:27" hidden="1">
      <c r="F46" s="73" t="s">
        <v>5</v>
      </c>
      <c r="G46" s="21">
        <v>751359.25660598185</v>
      </c>
      <c r="H46" s="21">
        <v>749093.14680198184</v>
      </c>
      <c r="I46" s="21">
        <f t="shared" ref="I46:I51" si="14">I26</f>
        <v>750226.20170398266</v>
      </c>
    </row>
    <row r="47" spans="2:27" hidden="1">
      <c r="B47" s="252" t="s">
        <v>59</v>
      </c>
      <c r="C47" s="252"/>
      <c r="D47" s="252"/>
      <c r="F47" s="73" t="s">
        <v>7</v>
      </c>
      <c r="G47" s="21">
        <v>1127249.4338028443</v>
      </c>
      <c r="H47" s="21">
        <v>1124983.3239988443</v>
      </c>
      <c r="I47" s="21">
        <f t="shared" si="14"/>
        <v>1126116.3789008451</v>
      </c>
    </row>
    <row r="48" spans="2:27" hidden="1">
      <c r="B48" s="94" t="s">
        <v>60</v>
      </c>
      <c r="C48" s="5">
        <v>0.25</v>
      </c>
      <c r="D48" s="5" t="s">
        <v>9</v>
      </c>
      <c r="F48" s="73" t="s">
        <v>43</v>
      </c>
      <c r="G48" s="21">
        <v>372.19398264161998</v>
      </c>
      <c r="H48" s="21">
        <v>370.81036910853209</v>
      </c>
      <c r="I48" s="21">
        <f t="shared" si="14"/>
        <v>371.50217587507586</v>
      </c>
      <c r="J48" s="258" t="s">
        <v>61</v>
      </c>
    </row>
    <row r="49" spans="2:12" ht="17.25" hidden="1">
      <c r="B49" s="94" t="s">
        <v>62</v>
      </c>
      <c r="C49" s="7" t="s">
        <v>12</v>
      </c>
      <c r="D49" s="5" t="s">
        <v>33</v>
      </c>
      <c r="F49" s="73" t="s">
        <v>44</v>
      </c>
      <c r="G49" s="9">
        <v>1637.8199185017934</v>
      </c>
      <c r="H49" s="9">
        <v>1637.8199185017934</v>
      </c>
      <c r="I49" s="21">
        <f t="shared" si="14"/>
        <v>1637.8199185017947</v>
      </c>
      <c r="J49" s="258"/>
    </row>
    <row r="50" spans="2:12" hidden="1">
      <c r="B50" s="94" t="s">
        <v>16</v>
      </c>
      <c r="C50" s="5">
        <v>5</v>
      </c>
      <c r="D50" s="5" t="s">
        <v>17</v>
      </c>
      <c r="F50" s="73" t="s">
        <v>43</v>
      </c>
      <c r="G50" s="21">
        <f>G30</f>
        <v>73.968221262556014</v>
      </c>
      <c r="H50" s="21">
        <f>H30</f>
        <v>73.968221262556014</v>
      </c>
      <c r="I50" s="21">
        <f t="shared" si="14"/>
        <v>73.968221262556014</v>
      </c>
      <c r="J50" s="258" t="s">
        <v>63</v>
      </c>
    </row>
    <row r="51" spans="2:12" hidden="1">
      <c r="B51" s="94" t="s">
        <v>18</v>
      </c>
      <c r="C51" s="5">
        <v>2</v>
      </c>
      <c r="D51" s="5" t="s">
        <v>19</v>
      </c>
      <c r="F51" s="73" t="s">
        <v>44</v>
      </c>
      <c r="G51" s="9">
        <f>I51</f>
        <v>6998.4475312499999</v>
      </c>
      <c r="H51" s="9">
        <f>I51</f>
        <v>6998.4475312499999</v>
      </c>
      <c r="I51" s="21">
        <f t="shared" si="14"/>
        <v>6998.4475312499999</v>
      </c>
      <c r="J51" s="258"/>
    </row>
    <row r="52" spans="2:12" ht="17.25" hidden="1">
      <c r="B52" s="94" t="s">
        <v>20</v>
      </c>
      <c r="C52" s="5">
        <v>5</v>
      </c>
      <c r="D52" s="5" t="s">
        <v>21</v>
      </c>
    </row>
    <row r="53" spans="2:12" hidden="1">
      <c r="B53" s="94" t="s">
        <v>70</v>
      </c>
      <c r="C53" s="5">
        <v>4</v>
      </c>
      <c r="D53" s="5" t="s">
        <v>34</v>
      </c>
    </row>
    <row r="54" spans="2:12" ht="17.25" hidden="1">
      <c r="B54" s="94" t="s">
        <v>64</v>
      </c>
      <c r="C54" s="5">
        <v>37.770000000000003</v>
      </c>
      <c r="D54" s="5" t="s">
        <v>23</v>
      </c>
    </row>
    <row r="55" spans="2:12" hidden="1">
      <c r="B55" s="94" t="s">
        <v>65</v>
      </c>
      <c r="C55" s="5">
        <v>3</v>
      </c>
      <c r="D55" s="5" t="s">
        <v>26</v>
      </c>
    </row>
    <row r="56" spans="2:12" hidden="1"/>
    <row r="57" spans="2:12" hidden="1"/>
    <row r="58" spans="2:12" hidden="1"/>
    <row r="59" spans="2:12" hidden="1"/>
    <row r="60" spans="2:12" hidden="1"/>
    <row r="61" spans="2:12" hidden="1"/>
    <row r="62" spans="2:12" hidden="1">
      <c r="B62" s="255" t="s">
        <v>72</v>
      </c>
      <c r="C62" s="255"/>
      <c r="D62" s="255"/>
      <c r="E62" s="255"/>
      <c r="F62" s="255"/>
      <c r="G62" s="255"/>
      <c r="H62" s="255"/>
      <c r="I62" s="255"/>
      <c r="J62" s="255"/>
      <c r="K62" s="255"/>
      <c r="L62" s="255"/>
    </row>
    <row r="63" spans="2:12" hidden="1"/>
    <row r="64" spans="2:12" hidden="1">
      <c r="B64" s="89" t="s">
        <v>56</v>
      </c>
      <c r="C64" s="89" t="s">
        <v>57</v>
      </c>
      <c r="D64" s="89" t="s">
        <v>58</v>
      </c>
      <c r="G64" s="74" t="s">
        <v>56</v>
      </c>
      <c r="H64" s="74" t="s">
        <v>57</v>
      </c>
      <c r="I64" s="74" t="s">
        <v>58</v>
      </c>
    </row>
    <row r="65" spans="2:10" hidden="1">
      <c r="B65" s="9">
        <v>2</v>
      </c>
      <c r="C65" s="9">
        <v>4</v>
      </c>
      <c r="D65" s="9">
        <v>3</v>
      </c>
      <c r="F65" s="73" t="s">
        <v>30</v>
      </c>
      <c r="G65" s="21">
        <v>2860008.55813536</v>
      </c>
      <c r="H65" s="21">
        <v>2941274.1108790939</v>
      </c>
      <c r="I65" s="21">
        <f>I5</f>
        <v>2902524.310798482</v>
      </c>
    </row>
    <row r="66" spans="2:10" hidden="1">
      <c r="F66" s="73" t="s">
        <v>5</v>
      </c>
      <c r="G66" s="21">
        <v>826895.79455759458</v>
      </c>
      <c r="H66" s="21">
        <v>673490.46751624881</v>
      </c>
      <c r="I66" s="21">
        <f t="shared" ref="I66:I71" si="15">I6</f>
        <v>750226.20170398266</v>
      </c>
    </row>
    <row r="67" spans="2:10" hidden="1">
      <c r="B67" s="252" t="s">
        <v>59</v>
      </c>
      <c r="C67" s="252"/>
      <c r="D67" s="252"/>
      <c r="F67" s="73" t="s">
        <v>7</v>
      </c>
      <c r="G67" s="21">
        <v>1197279.9872764831</v>
      </c>
      <c r="H67" s="21">
        <v>1054398.9211025476</v>
      </c>
      <c r="I67" s="21">
        <f t="shared" si="15"/>
        <v>1126116.3789008451</v>
      </c>
    </row>
    <row r="68" spans="2:10" hidden="1">
      <c r="B68" s="94" t="s">
        <v>60</v>
      </c>
      <c r="C68" s="5">
        <v>0.25</v>
      </c>
      <c r="D68" s="5" t="s">
        <v>9</v>
      </c>
      <c r="F68" s="73" t="s">
        <v>43</v>
      </c>
      <c r="G68" s="21">
        <v>293.11562389817686</v>
      </c>
      <c r="H68" s="21">
        <v>488.65930060516598</v>
      </c>
      <c r="I68" s="21">
        <f t="shared" si="15"/>
        <v>371.50217587507586</v>
      </c>
      <c r="J68" s="258" t="s">
        <v>61</v>
      </c>
    </row>
    <row r="69" spans="2:10" ht="17.25" hidden="1">
      <c r="B69" s="94" t="s">
        <v>62</v>
      </c>
      <c r="C69" s="7" t="s">
        <v>12</v>
      </c>
      <c r="D69" s="5" t="s">
        <v>33</v>
      </c>
      <c r="F69" s="73" t="s">
        <v>44</v>
      </c>
      <c r="G69" s="9">
        <v>1965.3839022021521</v>
      </c>
      <c r="H69" s="9">
        <v>1310.2559348014347</v>
      </c>
      <c r="I69" s="21">
        <f t="shared" si="15"/>
        <v>1637.8199185017947</v>
      </c>
      <c r="J69" s="258"/>
    </row>
    <row r="70" spans="2:10" hidden="1">
      <c r="B70" s="94" t="s">
        <v>16</v>
      </c>
      <c r="C70" s="5">
        <v>5</v>
      </c>
      <c r="D70" s="5" t="s">
        <v>17</v>
      </c>
      <c r="F70" s="73" t="s">
        <v>43</v>
      </c>
      <c r="G70" s="21">
        <f>G50</f>
        <v>73.968221262556014</v>
      </c>
      <c r="H70" s="21">
        <f>H50</f>
        <v>73.968221262556014</v>
      </c>
      <c r="I70" s="21">
        <f t="shared" si="15"/>
        <v>73.968221262556014</v>
      </c>
      <c r="J70" s="258" t="s">
        <v>63</v>
      </c>
    </row>
    <row r="71" spans="2:10" hidden="1">
      <c r="B71" s="94" t="s">
        <v>18</v>
      </c>
      <c r="C71" s="5">
        <v>2</v>
      </c>
      <c r="D71" s="5" t="s">
        <v>19</v>
      </c>
      <c r="F71" s="73" t="s">
        <v>44</v>
      </c>
      <c r="G71" s="9">
        <v>8398.1370374999879</v>
      </c>
      <c r="H71" s="9">
        <v>5598.7580249999928</v>
      </c>
      <c r="I71" s="21">
        <f t="shared" si="15"/>
        <v>6998.4475312499999</v>
      </c>
      <c r="J71" s="258"/>
    </row>
    <row r="72" spans="2:10" ht="17.25" hidden="1">
      <c r="B72" s="94" t="s">
        <v>20</v>
      </c>
      <c r="C72" s="5">
        <v>5</v>
      </c>
      <c r="D72" s="5" t="s">
        <v>21</v>
      </c>
    </row>
    <row r="73" spans="2:10" hidden="1">
      <c r="B73" s="94" t="s">
        <v>70</v>
      </c>
      <c r="C73" s="5">
        <v>4</v>
      </c>
      <c r="D73" s="5" t="s">
        <v>34</v>
      </c>
    </row>
    <row r="74" spans="2:10" ht="17.25" hidden="1">
      <c r="B74" s="94" t="s">
        <v>64</v>
      </c>
      <c r="C74" s="5">
        <v>37.770000000000003</v>
      </c>
      <c r="D74" s="5" t="s">
        <v>23</v>
      </c>
    </row>
    <row r="75" spans="2:10" hidden="1">
      <c r="B75" s="94" t="s">
        <v>24</v>
      </c>
      <c r="C75" s="5">
        <v>50</v>
      </c>
      <c r="D75" s="5" t="s">
        <v>17</v>
      </c>
    </row>
    <row r="76" spans="2:10" hidden="1"/>
    <row r="77" spans="2:10" hidden="1"/>
    <row r="78" spans="2:10" hidden="1"/>
    <row r="79" spans="2:10" hidden="1"/>
    <row r="80" spans="2:10" hidden="1"/>
    <row r="81" spans="2:12" hidden="1"/>
    <row r="82" spans="2:12" ht="17.25" hidden="1">
      <c r="B82" s="255" t="s">
        <v>73</v>
      </c>
      <c r="C82" s="255"/>
      <c r="D82" s="255"/>
      <c r="E82" s="255"/>
      <c r="F82" s="255"/>
      <c r="G82" s="255"/>
      <c r="H82" s="255"/>
      <c r="I82" s="255"/>
      <c r="J82" s="255"/>
      <c r="K82" s="255"/>
      <c r="L82" s="255"/>
    </row>
    <row r="83" spans="2:12" hidden="1"/>
    <row r="84" spans="2:12" hidden="1">
      <c r="B84" s="89" t="s">
        <v>56</v>
      </c>
      <c r="C84" s="89" t="s">
        <v>57</v>
      </c>
      <c r="D84" s="89" t="s">
        <v>58</v>
      </c>
      <c r="G84" s="74" t="s">
        <v>56</v>
      </c>
      <c r="H84" s="74" t="s">
        <v>57</v>
      </c>
      <c r="I84" s="74" t="s">
        <v>58</v>
      </c>
    </row>
    <row r="85" spans="2:12" hidden="1">
      <c r="B85" s="9">
        <v>3</v>
      </c>
      <c r="C85" s="9">
        <v>7</v>
      </c>
      <c r="D85" s="9">
        <v>5</v>
      </c>
      <c r="F85" s="73" t="s">
        <v>30</v>
      </c>
      <c r="G85" s="21">
        <v>2927076.0844755359</v>
      </c>
      <c r="H85" s="21">
        <v>2877062.8747643908</v>
      </c>
      <c r="I85" s="21">
        <f>I5</f>
        <v>2902524.310798482</v>
      </c>
    </row>
    <row r="86" spans="2:12" hidden="1">
      <c r="F86" s="73" t="s">
        <v>5</v>
      </c>
      <c r="G86" s="21">
        <v>868262.21556242672</v>
      </c>
      <c r="H86" s="21">
        <v>632174.21146756236</v>
      </c>
      <c r="I86" s="21">
        <f t="shared" ref="I86:I91" si="16">I6</f>
        <v>750226.20170398266</v>
      </c>
    </row>
    <row r="87" spans="2:12" hidden="1">
      <c r="B87" s="252" t="s">
        <v>59</v>
      </c>
      <c r="C87" s="252"/>
      <c r="D87" s="252"/>
      <c r="F87" s="73" t="s">
        <v>7</v>
      </c>
      <c r="G87" s="21">
        <v>1247331.9597739843</v>
      </c>
      <c r="H87" s="21">
        <v>1004767.0162128198</v>
      </c>
      <c r="I87" s="21">
        <f t="shared" si="16"/>
        <v>1126116.3789008451</v>
      </c>
    </row>
    <row r="88" spans="2:12" hidden="1">
      <c r="B88" s="94" t="s">
        <v>60</v>
      </c>
      <c r="C88" s="5">
        <v>0.25</v>
      </c>
      <c r="D88" s="5" t="s">
        <v>9</v>
      </c>
      <c r="F88" s="73" t="s">
        <v>43</v>
      </c>
      <c r="G88" s="21">
        <v>298.10979203758427</v>
      </c>
      <c r="H88" s="21">
        <v>491.14016679432154</v>
      </c>
      <c r="I88" s="21">
        <f t="shared" si="16"/>
        <v>371.50217587507586</v>
      </c>
      <c r="J88" s="258" t="s">
        <v>61</v>
      </c>
    </row>
    <row r="89" spans="2:12" ht="17.25" hidden="1">
      <c r="B89" s="94" t="s">
        <v>62</v>
      </c>
      <c r="C89" s="7" t="s">
        <v>12</v>
      </c>
      <c r="D89" s="5" t="s">
        <v>33</v>
      </c>
      <c r="F89" s="73" t="s">
        <v>44</v>
      </c>
      <c r="G89" s="9">
        <v>2030.8966989422242</v>
      </c>
      <c r="H89" s="9">
        <v>1244.7431380613627</v>
      </c>
      <c r="I89" s="21">
        <f t="shared" si="16"/>
        <v>1637.8199185017947</v>
      </c>
      <c r="J89" s="258"/>
    </row>
    <row r="90" spans="2:12" hidden="1">
      <c r="B90" s="94" t="s">
        <v>16</v>
      </c>
      <c r="C90" s="5">
        <v>5</v>
      </c>
      <c r="D90" s="5" t="s">
        <v>17</v>
      </c>
      <c r="F90" s="73" t="s">
        <v>43</v>
      </c>
      <c r="G90" s="21">
        <f>G70</f>
        <v>73.968221262556014</v>
      </c>
      <c r="H90" s="21">
        <f>H70</f>
        <v>73.968221262556014</v>
      </c>
      <c r="I90" s="21">
        <f t="shared" si="16"/>
        <v>73.968221262556014</v>
      </c>
      <c r="J90" s="258" t="s">
        <v>63</v>
      </c>
    </row>
    <row r="91" spans="2:12" hidden="1">
      <c r="B91" s="94" t="s">
        <v>18</v>
      </c>
      <c r="C91" s="5">
        <v>2</v>
      </c>
      <c r="D91" s="5" t="s">
        <v>19</v>
      </c>
      <c r="F91" s="73" t="s">
        <v>44</v>
      </c>
      <c r="G91" s="9">
        <v>8678.0749387499891</v>
      </c>
      <c r="H91" s="9">
        <v>5318.8201237499925</v>
      </c>
      <c r="I91" s="21">
        <f t="shared" si="16"/>
        <v>6998.4475312499999</v>
      </c>
      <c r="J91" s="258"/>
    </row>
    <row r="92" spans="2:12" hidden="1">
      <c r="B92" s="94" t="s">
        <v>70</v>
      </c>
      <c r="C92" s="5">
        <v>4</v>
      </c>
      <c r="D92" s="5" t="s">
        <v>34</v>
      </c>
    </row>
    <row r="93" spans="2:12" ht="17.25" hidden="1">
      <c r="B93" s="94" t="s">
        <v>64</v>
      </c>
      <c r="C93" s="5">
        <v>37.770000000000003</v>
      </c>
      <c r="D93" s="5" t="s">
        <v>23</v>
      </c>
    </row>
    <row r="94" spans="2:12" hidden="1">
      <c r="B94" s="94" t="s">
        <v>24</v>
      </c>
      <c r="C94" s="5">
        <v>50</v>
      </c>
      <c r="D94" s="5" t="s">
        <v>17</v>
      </c>
    </row>
    <row r="95" spans="2:12" hidden="1">
      <c r="B95" s="94" t="s">
        <v>65</v>
      </c>
      <c r="C95" s="5">
        <v>3</v>
      </c>
      <c r="D95" s="5" t="s">
        <v>26</v>
      </c>
    </row>
    <row r="96" spans="2:12" hidden="1"/>
    <row r="97" spans="1:19" hidden="1"/>
    <row r="98" spans="1:19" s="253" customFormat="1">
      <c r="A98" s="253" t="s">
        <v>45</v>
      </c>
    </row>
    <row r="99" spans="1:19" s="254" customFormat="1" ht="15.75" thickBot="1"/>
    <row r="101" spans="1:19" ht="17.25">
      <c r="B101" s="250" t="s">
        <v>27</v>
      </c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Q101" s="74" t="s">
        <v>2</v>
      </c>
      <c r="R101" s="74" t="s">
        <v>3</v>
      </c>
      <c r="S101" s="74" t="s">
        <v>1</v>
      </c>
    </row>
    <row r="102" spans="1:19">
      <c r="P102" s="73" t="s">
        <v>22</v>
      </c>
      <c r="Q102" s="21">
        <f>H107</f>
        <v>0</v>
      </c>
      <c r="R102" s="21">
        <f>I107</f>
        <v>0</v>
      </c>
      <c r="S102" s="21">
        <f>G107</f>
        <v>0</v>
      </c>
    </row>
    <row r="103" spans="1:19">
      <c r="B103" s="153" t="s">
        <v>1</v>
      </c>
      <c r="C103" s="153" t="s">
        <v>2</v>
      </c>
      <c r="D103" s="153" t="s">
        <v>3</v>
      </c>
      <c r="G103" s="152" t="s">
        <v>1</v>
      </c>
      <c r="H103" s="152" t="s">
        <v>2</v>
      </c>
      <c r="I103" s="152" t="s">
        <v>3</v>
      </c>
      <c r="P103" s="73" t="s">
        <v>8</v>
      </c>
      <c r="Q103" s="21">
        <f>H123</f>
        <v>420.4160736219211</v>
      </c>
      <c r="R103" s="21">
        <f>I123</f>
        <v>349.17164363183332</v>
      </c>
      <c r="S103" s="21">
        <f>G123</f>
        <v>286.93778578410007</v>
      </c>
    </row>
    <row r="104" spans="1:19">
      <c r="B104" s="9">
        <f>D104/D105</f>
        <v>18.884657534246575</v>
      </c>
      <c r="C104" s="9">
        <f>B104*C105</f>
        <v>56.653972602739728</v>
      </c>
      <c r="D104" s="9">
        <v>37.76931506849315</v>
      </c>
      <c r="F104" s="94" t="s">
        <v>30</v>
      </c>
      <c r="G104" s="189"/>
      <c r="H104" s="189"/>
      <c r="I104" s="189"/>
      <c r="P104" s="73" t="s">
        <v>46</v>
      </c>
      <c r="Q104" s="21">
        <f>H139</f>
        <v>417.18936574715758</v>
      </c>
      <c r="R104" s="21">
        <f>I139</f>
        <v>349.17164363183332</v>
      </c>
      <c r="S104" s="21">
        <f>G139</f>
        <v>290.16449365886359</v>
      </c>
    </row>
    <row r="105" spans="1:19">
      <c r="B105" s="2">
        <v>1</v>
      </c>
      <c r="C105" s="2">
        <v>3</v>
      </c>
      <c r="D105" s="2">
        <v>2</v>
      </c>
      <c r="F105" s="94" t="s">
        <v>5</v>
      </c>
      <c r="G105" s="189"/>
      <c r="H105" s="189"/>
      <c r="I105" s="189"/>
      <c r="P105" s="73" t="s">
        <v>47</v>
      </c>
      <c r="Q105" s="21">
        <f>H155</f>
        <v>0</v>
      </c>
      <c r="R105" s="21">
        <f>I155</f>
        <v>349.17164363183332</v>
      </c>
      <c r="S105" s="21">
        <f>G155</f>
        <v>0</v>
      </c>
    </row>
    <row r="106" spans="1:19">
      <c r="F106" s="94" t="s">
        <v>7</v>
      </c>
      <c r="G106" s="189"/>
      <c r="H106" s="189"/>
      <c r="I106" s="189"/>
      <c r="P106" s="73" t="s">
        <v>48</v>
      </c>
      <c r="Q106" s="21">
        <f>H171</f>
        <v>0</v>
      </c>
      <c r="R106" s="21">
        <f>I171</f>
        <v>349.17164363183332</v>
      </c>
      <c r="S106" s="21">
        <f>G171</f>
        <v>0</v>
      </c>
    </row>
    <row r="107" spans="1:19" ht="18">
      <c r="B107" s="251" t="s">
        <v>6</v>
      </c>
      <c r="C107" s="252"/>
      <c r="D107" s="252"/>
      <c r="F107" s="94" t="s">
        <v>10</v>
      </c>
      <c r="G107" s="189"/>
      <c r="H107" s="189"/>
      <c r="I107" s="189"/>
      <c r="J107" s="258" t="s">
        <v>74</v>
      </c>
      <c r="P107" s="73" t="s">
        <v>49</v>
      </c>
      <c r="Q107" s="21">
        <f>H187</f>
        <v>0</v>
      </c>
      <c r="R107" s="21">
        <f>I187</f>
        <v>349.17164363183332</v>
      </c>
      <c r="S107" s="21">
        <f>G187</f>
        <v>0</v>
      </c>
    </row>
    <row r="108" spans="1:19">
      <c r="B108" s="94" t="s">
        <v>8</v>
      </c>
      <c r="C108" s="5">
        <v>0.25</v>
      </c>
      <c r="D108" s="5" t="s">
        <v>9</v>
      </c>
      <c r="F108" s="94" t="s">
        <v>14</v>
      </c>
      <c r="G108" s="7"/>
      <c r="H108" s="7"/>
      <c r="I108" s="7"/>
      <c r="J108" s="258"/>
    </row>
    <row r="109" spans="1:19" ht="17.25">
      <c r="B109" s="94" t="s">
        <v>11</v>
      </c>
      <c r="C109" s="7" t="s">
        <v>12</v>
      </c>
      <c r="D109" s="5" t="s">
        <v>33</v>
      </c>
      <c r="F109" s="94" t="s">
        <v>10</v>
      </c>
      <c r="G109" s="189"/>
      <c r="H109" s="189"/>
      <c r="I109" s="189"/>
      <c r="J109" s="258" t="s">
        <v>75</v>
      </c>
    </row>
    <row r="110" spans="1:19">
      <c r="B110" s="94" t="s">
        <v>16</v>
      </c>
      <c r="C110" s="5">
        <v>5</v>
      </c>
      <c r="D110" s="5" t="s">
        <v>17</v>
      </c>
      <c r="F110" s="94" t="s">
        <v>14</v>
      </c>
      <c r="G110" s="7"/>
      <c r="H110" s="7"/>
      <c r="I110" s="7"/>
      <c r="J110" s="258"/>
    </row>
    <row r="111" spans="1:19">
      <c r="B111" s="94" t="s">
        <v>18</v>
      </c>
      <c r="C111" s="5">
        <v>2</v>
      </c>
      <c r="D111" s="5" t="s">
        <v>19</v>
      </c>
    </row>
    <row r="112" spans="1:19" ht="17.25">
      <c r="B112" s="94" t="s">
        <v>20</v>
      </c>
      <c r="C112" s="5">
        <v>5</v>
      </c>
      <c r="D112" s="5" t="s">
        <v>21</v>
      </c>
    </row>
    <row r="113" spans="2:19">
      <c r="B113" s="94" t="s">
        <v>36</v>
      </c>
      <c r="C113" s="5">
        <v>4</v>
      </c>
      <c r="D113" s="5" t="s">
        <v>34</v>
      </c>
    </row>
    <row r="114" spans="2:19">
      <c r="B114" s="94" t="s">
        <v>24</v>
      </c>
      <c r="C114" s="5">
        <v>50</v>
      </c>
      <c r="D114" s="5" t="s">
        <v>17</v>
      </c>
    </row>
    <row r="115" spans="2:19">
      <c r="B115" s="94" t="s">
        <v>25</v>
      </c>
      <c r="C115" s="5">
        <v>3</v>
      </c>
      <c r="D115" s="5" t="s">
        <v>26</v>
      </c>
    </row>
    <row r="117" spans="2:19">
      <c r="B117" s="250" t="s">
        <v>50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</row>
    <row r="119" spans="2:19">
      <c r="B119" s="153" t="s">
        <v>1</v>
      </c>
      <c r="C119" s="153" t="s">
        <v>2</v>
      </c>
      <c r="D119" s="153" t="s">
        <v>3</v>
      </c>
      <c r="G119" s="152" t="s">
        <v>1</v>
      </c>
      <c r="H119" s="152" t="s">
        <v>2</v>
      </c>
      <c r="I119" s="152" t="s">
        <v>3</v>
      </c>
    </row>
    <row r="120" spans="2:19">
      <c r="B120" s="9">
        <v>0.1</v>
      </c>
      <c r="C120" s="9">
        <v>0.4</v>
      </c>
      <c r="D120" s="9">
        <v>0.25</v>
      </c>
      <c r="F120" s="73" t="s">
        <v>30</v>
      </c>
      <c r="G120" s="21">
        <v>1647600.329553084</v>
      </c>
      <c r="H120" s="21">
        <v>1647600.329553084</v>
      </c>
      <c r="I120" s="21">
        <f>'Escenario 3 (acet)'!C176</f>
        <v>1647600.329553084</v>
      </c>
    </row>
    <row r="121" spans="2:19">
      <c r="F121" s="73" t="s">
        <v>5</v>
      </c>
      <c r="G121" s="21">
        <v>473618.28488714725</v>
      </c>
      <c r="H121" s="21">
        <v>579043.485111963</v>
      </c>
      <c r="I121" s="21">
        <f>'Escenario 3 (acet)'!C177</f>
        <v>464055.39751226932</v>
      </c>
    </row>
    <row r="122" spans="2:19">
      <c r="F122" s="73" t="s">
        <v>7</v>
      </c>
      <c r="G122" s="21">
        <v>686990.06527886575</v>
      </c>
      <c r="H122" s="21">
        <v>792415.2655036815</v>
      </c>
      <c r="I122" s="21">
        <f>'Escenario 3 (acet)'!C181</f>
        <v>677427.17790398782</v>
      </c>
    </row>
    <row r="123" spans="2:19" ht="17.25">
      <c r="B123" s="251" t="s">
        <v>6</v>
      </c>
      <c r="C123" s="252"/>
      <c r="D123" s="252"/>
      <c r="F123" s="94" t="s">
        <v>10</v>
      </c>
      <c r="G123" s="189">
        <v>286.93778578410007</v>
      </c>
      <c r="H123" s="189">
        <v>420.4160736219211</v>
      </c>
      <c r="I123" s="21">
        <f>'Escenario 3 (acet) (2)'!C182</f>
        <v>349.17164363183332</v>
      </c>
      <c r="J123" s="258" t="s">
        <v>74</v>
      </c>
    </row>
    <row r="124" spans="2:19" ht="17.25">
      <c r="B124" s="94" t="s">
        <v>22</v>
      </c>
      <c r="C124" s="5">
        <v>37.770000000000003</v>
      </c>
      <c r="D124" s="5" t="s">
        <v>23</v>
      </c>
      <c r="F124" s="94" t="s">
        <v>14</v>
      </c>
      <c r="G124" s="7">
        <f>I124</f>
        <v>292.0627246627721</v>
      </c>
      <c r="H124" s="7">
        <f>I124</f>
        <v>292.0627246627721</v>
      </c>
      <c r="I124" s="9">
        <f>'Escenario 3 (acet)'!C191</f>
        <v>292.0627246627721</v>
      </c>
      <c r="J124" s="258"/>
    </row>
    <row r="125" spans="2:19" ht="17.25">
      <c r="B125" s="94" t="s">
        <v>11</v>
      </c>
      <c r="C125" s="7" t="s">
        <v>12</v>
      </c>
      <c r="D125" s="5" t="s">
        <v>33</v>
      </c>
      <c r="F125" s="94" t="s">
        <v>10</v>
      </c>
      <c r="G125" s="189">
        <f>I125</f>
        <v>65.488963502830316</v>
      </c>
      <c r="H125" s="189">
        <f>I125</f>
        <v>65.488963502830316</v>
      </c>
      <c r="I125" s="21">
        <f>'Escenario 3 (acet)'!C183</f>
        <v>65.488963502830316</v>
      </c>
      <c r="J125" s="258" t="s">
        <v>75</v>
      </c>
    </row>
    <row r="126" spans="2:19">
      <c r="B126" s="94" t="s">
        <v>16</v>
      </c>
      <c r="C126" s="5">
        <v>5</v>
      </c>
      <c r="D126" s="5" t="s">
        <v>17</v>
      </c>
      <c r="F126" s="94" t="s">
        <v>14</v>
      </c>
      <c r="G126" s="7">
        <f>I126</f>
        <v>7029.549322787786</v>
      </c>
      <c r="H126" s="7">
        <f>I126</f>
        <v>7029.549322787786</v>
      </c>
      <c r="I126" s="9">
        <f>'Escenario 3 (acet)'!C192</f>
        <v>7029.549322787786</v>
      </c>
      <c r="J126" s="258"/>
    </row>
    <row r="127" spans="2:19">
      <c r="B127" s="94" t="s">
        <v>18</v>
      </c>
      <c r="C127" s="5">
        <v>2</v>
      </c>
      <c r="D127" s="5" t="s">
        <v>19</v>
      </c>
      <c r="Q127" s="74" t="s">
        <v>2</v>
      </c>
      <c r="R127" s="74" t="s">
        <v>3</v>
      </c>
      <c r="S127" s="74" t="s">
        <v>1</v>
      </c>
    </row>
    <row r="128" spans="2:19" ht="17.25">
      <c r="B128" s="94" t="s">
        <v>20</v>
      </c>
      <c r="C128" s="5">
        <v>5</v>
      </c>
      <c r="D128" s="5" t="s">
        <v>21</v>
      </c>
      <c r="P128" s="73" t="s">
        <v>22</v>
      </c>
      <c r="Q128" s="9">
        <f>H108</f>
        <v>0</v>
      </c>
      <c r="R128" s="9">
        <f>I108</f>
        <v>0</v>
      </c>
      <c r="S128" s="9">
        <f>G108</f>
        <v>0</v>
      </c>
    </row>
    <row r="129" spans="2:19">
      <c r="B129" s="94" t="s">
        <v>36</v>
      </c>
      <c r="C129" s="5">
        <v>4</v>
      </c>
      <c r="D129" s="5" t="s">
        <v>34</v>
      </c>
      <c r="P129" s="73" t="s">
        <v>8</v>
      </c>
      <c r="Q129" s="9">
        <f>R129</f>
        <v>292.0627246627721</v>
      </c>
      <c r="R129" s="9">
        <f>I124</f>
        <v>292.0627246627721</v>
      </c>
      <c r="S129" s="9">
        <f>R129</f>
        <v>292.0627246627721</v>
      </c>
    </row>
    <row r="130" spans="2:19">
      <c r="B130" s="94" t="s">
        <v>24</v>
      </c>
      <c r="C130" s="5">
        <v>50</v>
      </c>
      <c r="D130" s="5" t="s">
        <v>17</v>
      </c>
      <c r="P130" s="73" t="s">
        <v>46</v>
      </c>
      <c r="Q130" s="9">
        <f t="shared" ref="Q130:Q133" si="17">R130</f>
        <v>292.0627246627721</v>
      </c>
      <c r="R130" s="9">
        <f t="shared" ref="R130:R133" si="18">R129</f>
        <v>292.0627246627721</v>
      </c>
      <c r="S130" s="9">
        <f t="shared" ref="S130:S133" si="19">R130</f>
        <v>292.0627246627721</v>
      </c>
    </row>
    <row r="131" spans="2:19">
      <c r="B131" s="94" t="s">
        <v>25</v>
      </c>
      <c r="C131" s="5">
        <v>3</v>
      </c>
      <c r="D131" s="5" t="s">
        <v>26</v>
      </c>
      <c r="P131" s="73" t="s">
        <v>47</v>
      </c>
      <c r="Q131" s="9">
        <f t="shared" si="17"/>
        <v>292.0627246627721</v>
      </c>
      <c r="R131" s="9">
        <f t="shared" si="18"/>
        <v>292.0627246627721</v>
      </c>
      <c r="S131" s="9">
        <f t="shared" si="19"/>
        <v>292.0627246627721</v>
      </c>
    </row>
    <row r="132" spans="2:19">
      <c r="P132" s="73" t="s">
        <v>48</v>
      </c>
      <c r="Q132" s="9">
        <f t="shared" si="17"/>
        <v>292.0627246627721</v>
      </c>
      <c r="R132" s="9">
        <f t="shared" si="18"/>
        <v>292.0627246627721</v>
      </c>
      <c r="S132" s="9">
        <f t="shared" si="19"/>
        <v>292.0627246627721</v>
      </c>
    </row>
    <row r="133" spans="2:19" ht="18">
      <c r="B133" s="250" t="s">
        <v>51</v>
      </c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P133" s="73" t="s">
        <v>49</v>
      </c>
      <c r="Q133" s="9">
        <f t="shared" si="17"/>
        <v>292.0627246627721</v>
      </c>
      <c r="R133" s="9">
        <f t="shared" si="18"/>
        <v>292.0627246627721</v>
      </c>
      <c r="S133" s="9">
        <f t="shared" si="19"/>
        <v>292.0627246627721</v>
      </c>
    </row>
    <row r="135" spans="2:19">
      <c r="B135" s="153" t="s">
        <v>1</v>
      </c>
      <c r="C135" s="153" t="s">
        <v>2</v>
      </c>
      <c r="D135" s="153" t="s">
        <v>3</v>
      </c>
      <c r="G135" s="152" t="s">
        <v>1</v>
      </c>
      <c r="H135" s="152" t="s">
        <v>2</v>
      </c>
      <c r="I135" s="152" t="s">
        <v>3</v>
      </c>
    </row>
    <row r="136" spans="2:19">
      <c r="B136" s="9">
        <v>0.1</v>
      </c>
      <c r="C136" s="9">
        <v>0.18</v>
      </c>
      <c r="D136" s="9">
        <v>0.14000000000000001</v>
      </c>
      <c r="F136" s="73" t="s">
        <v>30</v>
      </c>
      <c r="G136" s="21">
        <v>1647600.329553084</v>
      </c>
      <c r="H136" s="21">
        <v>1647600.329553084</v>
      </c>
      <c r="I136" s="21">
        <f>I120</f>
        <v>1647600.329553084</v>
      </c>
    </row>
    <row r="137" spans="2:19">
      <c r="F137" s="73" t="s">
        <v>5</v>
      </c>
      <c r="G137" s="21">
        <v>476166.83663495851</v>
      </c>
      <c r="H137" s="21">
        <v>576494.93336415174</v>
      </c>
      <c r="I137" s="21">
        <f t="shared" ref="I137:I142" si="20">I121</f>
        <v>464055.39751226932</v>
      </c>
    </row>
    <row r="138" spans="2:19">
      <c r="F138" s="73" t="s">
        <v>7</v>
      </c>
      <c r="G138" s="21">
        <v>689538.61702667701</v>
      </c>
      <c r="H138" s="21">
        <v>789866.71375587024</v>
      </c>
      <c r="I138" s="21">
        <f t="shared" si="20"/>
        <v>677427.17790398782</v>
      </c>
    </row>
    <row r="139" spans="2:19" ht="17.25">
      <c r="B139" s="251" t="s">
        <v>6</v>
      </c>
      <c r="C139" s="252"/>
      <c r="D139" s="252"/>
      <c r="F139" s="94" t="s">
        <v>10</v>
      </c>
      <c r="G139" s="189">
        <v>290.16449365886359</v>
      </c>
      <c r="H139" s="189">
        <v>417.18936574715758</v>
      </c>
      <c r="I139" s="21">
        <f t="shared" si="20"/>
        <v>349.17164363183332</v>
      </c>
      <c r="J139" s="258" t="s">
        <v>74</v>
      </c>
    </row>
    <row r="140" spans="2:19" ht="17.25">
      <c r="B140" s="94" t="s">
        <v>22</v>
      </c>
      <c r="C140" s="5">
        <v>37.770000000000003</v>
      </c>
      <c r="D140" s="5" t="s">
        <v>23</v>
      </c>
      <c r="F140" s="94" t="s">
        <v>14</v>
      </c>
      <c r="G140" s="7">
        <f>I140</f>
        <v>292.0627246627721</v>
      </c>
      <c r="H140" s="7">
        <f>I140</f>
        <v>292.0627246627721</v>
      </c>
      <c r="I140" s="9">
        <f t="shared" si="20"/>
        <v>292.0627246627721</v>
      </c>
      <c r="J140" s="258"/>
    </row>
    <row r="141" spans="2:19" ht="17.25">
      <c r="B141" s="94" t="s">
        <v>11</v>
      </c>
      <c r="C141" s="7" t="s">
        <v>12</v>
      </c>
      <c r="D141" s="5" t="s">
        <v>33</v>
      </c>
      <c r="F141" s="94" t="s">
        <v>10</v>
      </c>
      <c r="G141" s="189">
        <f t="shared" ref="G141:H141" si="21">G125</f>
        <v>65.488963502830316</v>
      </c>
      <c r="H141" s="189">
        <f t="shared" si="21"/>
        <v>65.488963502830316</v>
      </c>
      <c r="I141" s="21">
        <f t="shared" si="20"/>
        <v>65.488963502830316</v>
      </c>
      <c r="J141" s="258" t="s">
        <v>75</v>
      </c>
    </row>
    <row r="142" spans="2:19">
      <c r="B142" s="94" t="s">
        <v>16</v>
      </c>
      <c r="C142" s="5">
        <v>5</v>
      </c>
      <c r="D142" s="5" t="s">
        <v>17</v>
      </c>
      <c r="F142" s="94" t="s">
        <v>14</v>
      </c>
      <c r="G142" s="7">
        <f>I142</f>
        <v>7029.549322787786</v>
      </c>
      <c r="H142" s="7">
        <f>I142</f>
        <v>7029.549322787786</v>
      </c>
      <c r="I142" s="9">
        <f t="shared" si="20"/>
        <v>7029.549322787786</v>
      </c>
      <c r="J142" s="258"/>
    </row>
    <row r="143" spans="2:19">
      <c r="B143" s="94" t="s">
        <v>18</v>
      </c>
      <c r="C143" s="5">
        <v>2</v>
      </c>
      <c r="D143" s="5" t="s">
        <v>19</v>
      </c>
    </row>
    <row r="144" spans="2:19" ht="17.25">
      <c r="B144" s="94" t="s">
        <v>20</v>
      </c>
      <c r="C144" s="5">
        <v>5</v>
      </c>
      <c r="D144" s="5" t="s">
        <v>21</v>
      </c>
    </row>
    <row r="145" spans="2:12">
      <c r="B145" s="94" t="s">
        <v>36</v>
      </c>
      <c r="C145" s="5">
        <v>4</v>
      </c>
      <c r="D145" s="5" t="s">
        <v>34</v>
      </c>
    </row>
    <row r="146" spans="2:12">
      <c r="B146" s="94" t="s">
        <v>24</v>
      </c>
      <c r="C146" s="5">
        <v>50</v>
      </c>
      <c r="D146" s="5" t="s">
        <v>17</v>
      </c>
    </row>
    <row r="147" spans="2:12">
      <c r="B147" s="94" t="s">
        <v>25</v>
      </c>
      <c r="C147" s="5">
        <v>3</v>
      </c>
      <c r="D147" s="5" t="s">
        <v>26</v>
      </c>
    </row>
    <row r="149" spans="2:12">
      <c r="B149" s="250" t="s">
        <v>52</v>
      </c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</row>
    <row r="151" spans="2:12">
      <c r="B151" s="153" t="s">
        <v>1</v>
      </c>
      <c r="C151" s="153" t="s">
        <v>2</v>
      </c>
      <c r="D151" s="153" t="s">
        <v>3</v>
      </c>
      <c r="G151" s="152" t="s">
        <v>1</v>
      </c>
      <c r="H151" s="152" t="s">
        <v>2</v>
      </c>
      <c r="I151" s="152" t="s">
        <v>3</v>
      </c>
    </row>
    <row r="152" spans="2:12">
      <c r="B152" s="9">
        <v>0.25</v>
      </c>
      <c r="C152" s="9">
        <v>0.75</v>
      </c>
      <c r="D152" s="9">
        <v>0.5</v>
      </c>
      <c r="F152" s="73" t="s">
        <v>30</v>
      </c>
      <c r="G152" s="21"/>
      <c r="H152" s="21"/>
      <c r="I152" s="21">
        <f>I136</f>
        <v>1647600.329553084</v>
      </c>
    </row>
    <row r="153" spans="2:12">
      <c r="F153" s="73" t="s">
        <v>5</v>
      </c>
      <c r="G153" s="21"/>
      <c r="H153" s="21"/>
      <c r="I153" s="21">
        <f t="shared" ref="I153:I158" si="22">I137</f>
        <v>464055.39751226932</v>
      </c>
    </row>
    <row r="154" spans="2:12">
      <c r="F154" s="73" t="s">
        <v>7</v>
      </c>
      <c r="G154" s="21"/>
      <c r="H154" s="21"/>
      <c r="I154" s="21">
        <f t="shared" si="22"/>
        <v>677427.17790398782</v>
      </c>
    </row>
    <row r="155" spans="2:12" ht="17.25">
      <c r="B155" s="251" t="s">
        <v>6</v>
      </c>
      <c r="C155" s="252"/>
      <c r="D155" s="252"/>
      <c r="F155" s="94" t="s">
        <v>10</v>
      </c>
      <c r="G155" s="189"/>
      <c r="H155" s="189"/>
      <c r="I155" s="21">
        <f t="shared" si="22"/>
        <v>349.17164363183332</v>
      </c>
      <c r="J155" s="258" t="s">
        <v>74</v>
      </c>
    </row>
    <row r="156" spans="2:12" ht="17.25">
      <c r="B156" s="94" t="s">
        <v>22</v>
      </c>
      <c r="C156" s="5">
        <v>37.770000000000003</v>
      </c>
      <c r="D156" s="5" t="s">
        <v>23</v>
      </c>
      <c r="F156" s="94" t="s">
        <v>14</v>
      </c>
      <c r="G156" s="7">
        <f>I156</f>
        <v>292.0627246627721</v>
      </c>
      <c r="H156" s="7">
        <f>I156</f>
        <v>292.0627246627721</v>
      </c>
      <c r="I156" s="9">
        <f t="shared" si="22"/>
        <v>292.0627246627721</v>
      </c>
      <c r="J156" s="258"/>
    </row>
    <row r="157" spans="2:12" ht="17.25">
      <c r="B157" s="94" t="s">
        <v>11</v>
      </c>
      <c r="C157" s="7" t="s">
        <v>12</v>
      </c>
      <c r="D157" s="5" t="s">
        <v>33</v>
      </c>
      <c r="F157" s="94" t="s">
        <v>10</v>
      </c>
      <c r="G157" s="189">
        <f t="shared" ref="G157:H157" si="23">G141</f>
        <v>65.488963502830316</v>
      </c>
      <c r="H157" s="189">
        <f t="shared" si="23"/>
        <v>65.488963502830316</v>
      </c>
      <c r="I157" s="21">
        <f t="shared" si="22"/>
        <v>65.488963502830316</v>
      </c>
      <c r="J157" s="258" t="s">
        <v>75</v>
      </c>
    </row>
    <row r="158" spans="2:12">
      <c r="B158" s="94" t="s">
        <v>16</v>
      </c>
      <c r="C158" s="5">
        <v>5</v>
      </c>
      <c r="D158" s="5" t="s">
        <v>17</v>
      </c>
      <c r="F158" s="94" t="s">
        <v>14</v>
      </c>
      <c r="G158" s="7">
        <f>I158</f>
        <v>7029.549322787786</v>
      </c>
      <c r="H158" s="7">
        <f>I158</f>
        <v>7029.549322787786</v>
      </c>
      <c r="I158" s="9">
        <f t="shared" si="22"/>
        <v>7029.549322787786</v>
      </c>
      <c r="J158" s="258"/>
    </row>
    <row r="159" spans="2:12">
      <c r="B159" s="94" t="s">
        <v>18</v>
      </c>
      <c r="C159" s="5">
        <v>2</v>
      </c>
      <c r="D159" s="5" t="s">
        <v>19</v>
      </c>
    </row>
    <row r="160" spans="2:12" ht="17.25">
      <c r="B160" s="94" t="s">
        <v>20</v>
      </c>
      <c r="C160" s="5">
        <v>5</v>
      </c>
      <c r="D160" s="5" t="s">
        <v>21</v>
      </c>
    </row>
    <row r="161" spans="2:12">
      <c r="B161" s="94" t="s">
        <v>36</v>
      </c>
      <c r="C161" s="5">
        <v>4</v>
      </c>
      <c r="D161" s="5" t="s">
        <v>34</v>
      </c>
    </row>
    <row r="162" spans="2:12">
      <c r="B162" s="94" t="s">
        <v>24</v>
      </c>
      <c r="C162" s="5">
        <v>50</v>
      </c>
      <c r="D162" s="5" t="s">
        <v>17</v>
      </c>
    </row>
    <row r="163" spans="2:12">
      <c r="B163" s="94" t="s">
        <v>25</v>
      </c>
      <c r="C163" s="5">
        <v>3</v>
      </c>
      <c r="D163" s="5" t="s">
        <v>26</v>
      </c>
    </row>
    <row r="165" spans="2:12">
      <c r="B165" s="250" t="s">
        <v>53</v>
      </c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</row>
    <row r="167" spans="2:12">
      <c r="B167" s="153" t="s">
        <v>1</v>
      </c>
      <c r="C167" s="153" t="s">
        <v>2</v>
      </c>
      <c r="D167" s="153" t="s">
        <v>3</v>
      </c>
      <c r="G167" s="152" t="s">
        <v>1</v>
      </c>
      <c r="H167" s="152" t="s">
        <v>2</v>
      </c>
      <c r="I167" s="152" t="s">
        <v>3</v>
      </c>
    </row>
    <row r="168" spans="2:12">
      <c r="B168" s="9">
        <v>5</v>
      </c>
      <c r="C168" s="9">
        <v>15</v>
      </c>
      <c r="D168" s="9">
        <v>10</v>
      </c>
      <c r="F168" s="73" t="s">
        <v>30</v>
      </c>
      <c r="G168" s="21"/>
      <c r="H168" s="21"/>
      <c r="I168" s="21">
        <f>I152</f>
        <v>1647600.329553084</v>
      </c>
    </row>
    <row r="169" spans="2:12">
      <c r="F169" s="73" t="s">
        <v>5</v>
      </c>
      <c r="G169" s="21"/>
      <c r="H169" s="21"/>
      <c r="I169" s="21">
        <f t="shared" ref="I169:I174" si="24">I153</f>
        <v>464055.39751226932</v>
      </c>
    </row>
    <row r="170" spans="2:12">
      <c r="F170" s="73" t="s">
        <v>7</v>
      </c>
      <c r="G170" s="21"/>
      <c r="H170" s="21"/>
      <c r="I170" s="21">
        <f t="shared" si="24"/>
        <v>677427.17790398782</v>
      </c>
    </row>
    <row r="171" spans="2:12" ht="17.25">
      <c r="B171" s="251" t="s">
        <v>6</v>
      </c>
      <c r="C171" s="252"/>
      <c r="D171" s="252"/>
      <c r="F171" s="94" t="s">
        <v>10</v>
      </c>
      <c r="G171" s="189"/>
      <c r="H171" s="189"/>
      <c r="I171" s="21">
        <f t="shared" si="24"/>
        <v>349.17164363183332</v>
      </c>
      <c r="J171" s="258" t="s">
        <v>74</v>
      </c>
    </row>
    <row r="172" spans="2:12" ht="17.25">
      <c r="B172" s="94" t="s">
        <v>22</v>
      </c>
      <c r="C172" s="5">
        <v>37.770000000000003</v>
      </c>
      <c r="D172" s="5" t="s">
        <v>23</v>
      </c>
      <c r="F172" s="94" t="s">
        <v>14</v>
      </c>
      <c r="G172" s="7">
        <f>I172</f>
        <v>292.0627246627721</v>
      </c>
      <c r="H172" s="7">
        <f>I172</f>
        <v>292.0627246627721</v>
      </c>
      <c r="I172" s="9">
        <f t="shared" si="24"/>
        <v>292.0627246627721</v>
      </c>
      <c r="J172" s="258"/>
    </row>
    <row r="173" spans="2:12" ht="17.25">
      <c r="B173" s="94" t="s">
        <v>11</v>
      </c>
      <c r="C173" s="7" t="s">
        <v>12</v>
      </c>
      <c r="D173" s="5" t="s">
        <v>33</v>
      </c>
      <c r="F173" s="94" t="s">
        <v>10</v>
      </c>
      <c r="G173" s="189">
        <f t="shared" ref="G173:H173" si="25">G157</f>
        <v>65.488963502830316</v>
      </c>
      <c r="H173" s="189">
        <f t="shared" si="25"/>
        <v>65.488963502830316</v>
      </c>
      <c r="I173" s="21">
        <f t="shared" si="24"/>
        <v>65.488963502830316</v>
      </c>
      <c r="J173" s="258" t="s">
        <v>75</v>
      </c>
    </row>
    <row r="174" spans="2:12">
      <c r="B174" s="94" t="s">
        <v>16</v>
      </c>
      <c r="C174" s="5">
        <v>5</v>
      </c>
      <c r="D174" s="5" t="s">
        <v>17</v>
      </c>
      <c r="F174" s="94" t="s">
        <v>14</v>
      </c>
      <c r="G174" s="7">
        <f>I174</f>
        <v>7029.549322787786</v>
      </c>
      <c r="H174" s="7">
        <f>I174</f>
        <v>7029.549322787786</v>
      </c>
      <c r="I174" s="9">
        <f t="shared" si="24"/>
        <v>7029.549322787786</v>
      </c>
      <c r="J174" s="258"/>
    </row>
    <row r="175" spans="2:12">
      <c r="B175" s="94" t="s">
        <v>18</v>
      </c>
      <c r="C175" s="5">
        <v>2</v>
      </c>
      <c r="D175" s="5" t="s">
        <v>19</v>
      </c>
    </row>
    <row r="176" spans="2:12" ht="17.25">
      <c r="B176" s="94" t="s">
        <v>20</v>
      </c>
      <c r="C176" s="5">
        <v>5</v>
      </c>
      <c r="D176" s="5" t="s">
        <v>21</v>
      </c>
    </row>
    <row r="177" spans="2:12">
      <c r="B177" s="94" t="s">
        <v>36</v>
      </c>
      <c r="C177" s="5">
        <v>4</v>
      </c>
      <c r="D177" s="5" t="s">
        <v>34</v>
      </c>
    </row>
    <row r="178" spans="2:12">
      <c r="B178" s="94" t="s">
        <v>24</v>
      </c>
      <c r="C178" s="5">
        <v>50</v>
      </c>
      <c r="D178" s="5" t="s">
        <v>17</v>
      </c>
    </row>
    <row r="179" spans="2:12">
      <c r="B179" s="94" t="s">
        <v>25</v>
      </c>
      <c r="C179" s="5">
        <v>3</v>
      </c>
      <c r="D179" s="5" t="s">
        <v>26</v>
      </c>
    </row>
    <row r="181" spans="2:12" ht="18">
      <c r="B181" s="250" t="s">
        <v>54</v>
      </c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</row>
    <row r="183" spans="2:12">
      <c r="B183" s="153" t="s">
        <v>1</v>
      </c>
      <c r="C183" s="153" t="s">
        <v>2</v>
      </c>
      <c r="D183" s="153" t="s">
        <v>3</v>
      </c>
      <c r="G183" s="152" t="s">
        <v>1</v>
      </c>
      <c r="H183" s="152" t="s">
        <v>2</v>
      </c>
      <c r="I183" s="152" t="s">
        <v>3</v>
      </c>
    </row>
    <row r="184" spans="2:12">
      <c r="B184" s="9">
        <v>0.05</v>
      </c>
      <c r="C184" s="9">
        <v>0.15</v>
      </c>
      <c r="D184" s="9">
        <v>0.1</v>
      </c>
      <c r="F184" s="73" t="s">
        <v>30</v>
      </c>
      <c r="G184" s="21"/>
      <c r="H184" s="21"/>
      <c r="I184" s="21">
        <f>I168</f>
        <v>1647600.329553084</v>
      </c>
    </row>
    <row r="185" spans="2:12">
      <c r="F185" s="73" t="s">
        <v>5</v>
      </c>
      <c r="G185" s="21"/>
      <c r="H185" s="21"/>
      <c r="I185" s="21">
        <f t="shared" ref="I185:I190" si="26">I169</f>
        <v>464055.39751226932</v>
      </c>
    </row>
    <row r="186" spans="2:12">
      <c r="F186" s="73" t="s">
        <v>7</v>
      </c>
      <c r="G186" s="21"/>
      <c r="H186" s="21"/>
      <c r="I186" s="21">
        <f t="shared" si="26"/>
        <v>677427.17790398782</v>
      </c>
    </row>
    <row r="187" spans="2:12" ht="17.25">
      <c r="B187" s="251" t="s">
        <v>6</v>
      </c>
      <c r="C187" s="252"/>
      <c r="D187" s="252"/>
      <c r="F187" s="94" t="s">
        <v>10</v>
      </c>
      <c r="G187" s="189"/>
      <c r="H187" s="189"/>
      <c r="I187" s="21">
        <f t="shared" si="26"/>
        <v>349.17164363183332</v>
      </c>
      <c r="J187" s="258" t="s">
        <v>74</v>
      </c>
    </row>
    <row r="188" spans="2:12" ht="17.25">
      <c r="B188" s="94" t="s">
        <v>22</v>
      </c>
      <c r="C188" s="5">
        <v>37.770000000000003</v>
      </c>
      <c r="D188" s="5" t="s">
        <v>23</v>
      </c>
      <c r="F188" s="94" t="s">
        <v>14</v>
      </c>
      <c r="G188" s="7">
        <f>I188</f>
        <v>292.0627246627721</v>
      </c>
      <c r="H188" s="7">
        <f>I188</f>
        <v>292.0627246627721</v>
      </c>
      <c r="I188" s="9">
        <f t="shared" si="26"/>
        <v>292.0627246627721</v>
      </c>
      <c r="J188" s="258"/>
    </row>
    <row r="189" spans="2:12" ht="17.25">
      <c r="B189" s="94" t="s">
        <v>11</v>
      </c>
      <c r="C189" s="7" t="s">
        <v>12</v>
      </c>
      <c r="D189" s="5" t="s">
        <v>33</v>
      </c>
      <c r="F189" s="94" t="s">
        <v>10</v>
      </c>
      <c r="G189" s="189">
        <f t="shared" ref="G189:H189" si="27">G173</f>
        <v>65.488963502830316</v>
      </c>
      <c r="H189" s="189">
        <f t="shared" si="27"/>
        <v>65.488963502830316</v>
      </c>
      <c r="I189" s="21">
        <f t="shared" si="26"/>
        <v>65.488963502830316</v>
      </c>
      <c r="J189" s="258" t="s">
        <v>75</v>
      </c>
    </row>
    <row r="190" spans="2:12">
      <c r="B190" s="94" t="s">
        <v>16</v>
      </c>
      <c r="C190" s="5">
        <v>5</v>
      </c>
      <c r="D190" s="5" t="s">
        <v>17</v>
      </c>
      <c r="F190" s="94" t="s">
        <v>14</v>
      </c>
      <c r="G190" s="7">
        <f>I190</f>
        <v>7029.549322787786</v>
      </c>
      <c r="H190" s="7">
        <f>I190</f>
        <v>7029.549322787786</v>
      </c>
      <c r="I190" s="9">
        <f t="shared" si="26"/>
        <v>7029.549322787786</v>
      </c>
      <c r="J190" s="258"/>
    </row>
    <row r="191" spans="2:12">
      <c r="B191" s="94" t="s">
        <v>18</v>
      </c>
      <c r="C191" s="5">
        <v>2</v>
      </c>
      <c r="D191" s="5" t="s">
        <v>19</v>
      </c>
    </row>
    <row r="192" spans="2:12" ht="17.25">
      <c r="B192" s="94" t="s">
        <v>20</v>
      </c>
      <c r="C192" s="5">
        <v>5</v>
      </c>
      <c r="D192" s="5" t="s">
        <v>21</v>
      </c>
    </row>
    <row r="193" spans="2:12">
      <c r="B193" s="94" t="s">
        <v>36</v>
      </c>
      <c r="C193" s="5">
        <v>4</v>
      </c>
      <c r="D193" s="5" t="s">
        <v>34</v>
      </c>
    </row>
    <row r="194" spans="2:12">
      <c r="B194" s="94" t="s">
        <v>24</v>
      </c>
      <c r="C194" s="5">
        <v>50</v>
      </c>
      <c r="D194" s="5" t="s">
        <v>17</v>
      </c>
    </row>
    <row r="195" spans="2:12">
      <c r="B195" s="94" t="s">
        <v>25</v>
      </c>
      <c r="C195" s="5">
        <v>3</v>
      </c>
      <c r="D195" s="5" t="s">
        <v>26</v>
      </c>
    </row>
    <row r="197" spans="2:12" ht="17.25">
      <c r="B197" s="250" t="s">
        <v>27</v>
      </c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</row>
    <row r="199" spans="2:12">
      <c r="B199" s="153" t="s">
        <v>1</v>
      </c>
      <c r="C199" s="153" t="s">
        <v>2</v>
      </c>
      <c r="D199" s="153" t="s">
        <v>3</v>
      </c>
      <c r="G199" s="152" t="s">
        <v>1</v>
      </c>
      <c r="H199" s="152" t="s">
        <v>2</v>
      </c>
      <c r="I199" s="152" t="s">
        <v>3</v>
      </c>
    </row>
    <row r="200" spans="2:12">
      <c r="B200" s="9">
        <f>D200*0.9</f>
        <v>33.992383561643834</v>
      </c>
      <c r="C200" s="9">
        <f>D200*1.1</f>
        <v>41.546246575342465</v>
      </c>
      <c r="D200" s="9">
        <v>37.76931506849315</v>
      </c>
      <c r="F200" s="73" t="s">
        <v>30</v>
      </c>
      <c r="G200" s="21">
        <v>1647600.329553084</v>
      </c>
      <c r="H200" s="21">
        <v>1647600.329553084</v>
      </c>
      <c r="I200" s="21">
        <f>I184</f>
        <v>1647600.329553084</v>
      </c>
    </row>
    <row r="201" spans="2:12">
      <c r="F201" s="73" t="s">
        <v>5</v>
      </c>
      <c r="G201" s="21">
        <v>491155.92406994372</v>
      </c>
      <c r="H201" s="21">
        <v>561493.12875252578</v>
      </c>
      <c r="I201" s="21">
        <f t="shared" ref="I201:I203" si="28">I185</f>
        <v>464055.39751226932</v>
      </c>
    </row>
    <row r="202" spans="2:12">
      <c r="F202" s="73" t="s">
        <v>7</v>
      </c>
      <c r="G202" s="21">
        <v>704527.70446166222</v>
      </c>
      <c r="H202" s="21">
        <v>774864.90914424427</v>
      </c>
      <c r="I202" s="21">
        <f t="shared" si="28"/>
        <v>677427.17790398782</v>
      </c>
    </row>
    <row r="203" spans="2:12" ht="17.25">
      <c r="F203" s="94" t="s">
        <v>10</v>
      </c>
      <c r="G203" s="189">
        <v>407.96654060661047</v>
      </c>
      <c r="H203" s="189">
        <v>309.24351973641768</v>
      </c>
      <c r="I203" s="21">
        <f t="shared" si="28"/>
        <v>349.17164363183332</v>
      </c>
      <c r="J203" s="258" t="s">
        <v>74</v>
      </c>
    </row>
    <row r="204" spans="2:12">
      <c r="F204" s="94" t="s">
        <v>14</v>
      </c>
      <c r="G204" s="7">
        <v>710.84729763404323</v>
      </c>
      <c r="H204" s="7">
        <v>868.81336377494165</v>
      </c>
      <c r="I204" s="9">
        <f>I188</f>
        <v>292.0627246627721</v>
      </c>
      <c r="J204" s="258"/>
    </row>
    <row r="205" spans="2:12" ht="17.25">
      <c r="F205" s="94" t="s">
        <v>10</v>
      </c>
      <c r="G205" s="189">
        <v>65.394792940028836</v>
      </c>
      <c r="H205" s="189">
        <v>65.394792940028836</v>
      </c>
      <c r="I205" s="21">
        <f>I189</f>
        <v>65.488963502830316</v>
      </c>
      <c r="J205" s="258" t="s">
        <v>75</v>
      </c>
    </row>
    <row r="206" spans="2:12">
      <c r="F206" s="94" t="s">
        <v>14</v>
      </c>
      <c r="G206" s="7">
        <v>6329.7045696627792</v>
      </c>
      <c r="H206" s="7">
        <v>7729.3940759127763</v>
      </c>
      <c r="I206" s="9">
        <f>I190</f>
        <v>7029.549322787786</v>
      </c>
      <c r="J206" s="258"/>
    </row>
  </sheetData>
  <mergeCells count="52">
    <mergeCell ref="B171:D171"/>
    <mergeCell ref="B181:L181"/>
    <mergeCell ref="B187:D187"/>
    <mergeCell ref="J107:J108"/>
    <mergeCell ref="J109:J110"/>
    <mergeCell ref="J123:J124"/>
    <mergeCell ref="J125:J126"/>
    <mergeCell ref="J139:J140"/>
    <mergeCell ref="J141:J142"/>
    <mergeCell ref="J155:J156"/>
    <mergeCell ref="J157:J158"/>
    <mergeCell ref="J171:J172"/>
    <mergeCell ref="J173:J174"/>
    <mergeCell ref="J187:J188"/>
    <mergeCell ref="B133:L133"/>
    <mergeCell ref="P28:U28"/>
    <mergeCell ref="P38:U38"/>
    <mergeCell ref="V33:V34"/>
    <mergeCell ref="V43:V44"/>
    <mergeCell ref="B22:L22"/>
    <mergeCell ref="B2:L2"/>
    <mergeCell ref="B7:D7"/>
    <mergeCell ref="J8:J9"/>
    <mergeCell ref="J10:J11"/>
    <mergeCell ref="B67:D67"/>
    <mergeCell ref="J48:J49"/>
    <mergeCell ref="J50:J51"/>
    <mergeCell ref="B82:L82"/>
    <mergeCell ref="B87:D87"/>
    <mergeCell ref="J68:J69"/>
    <mergeCell ref="J70:J71"/>
    <mergeCell ref="B28:D28"/>
    <mergeCell ref="B42:L42"/>
    <mergeCell ref="B47:D47"/>
    <mergeCell ref="J28:J29"/>
    <mergeCell ref="J30:J31"/>
    <mergeCell ref="B197:L197"/>
    <mergeCell ref="J203:J204"/>
    <mergeCell ref="J205:J206"/>
    <mergeCell ref="J90:J91"/>
    <mergeCell ref="B62:L62"/>
    <mergeCell ref="J88:J89"/>
    <mergeCell ref="B139:D139"/>
    <mergeCell ref="B149:L149"/>
    <mergeCell ref="B155:D155"/>
    <mergeCell ref="B165:L165"/>
    <mergeCell ref="A98:XFD99"/>
    <mergeCell ref="B101:L101"/>
    <mergeCell ref="B107:D107"/>
    <mergeCell ref="B117:L117"/>
    <mergeCell ref="B123:D123"/>
    <mergeCell ref="J189:J190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2:AB206"/>
  <sheetViews>
    <sheetView zoomScale="80" zoomScaleNormal="80" workbookViewId="0">
      <selection activeCell="K129" sqref="K129"/>
    </sheetView>
  </sheetViews>
  <sheetFormatPr defaultColWidth="11.42578125" defaultRowHeight="15"/>
  <cols>
    <col min="6" max="12" width="14.5703125" bestFit="1" customWidth="1"/>
    <col min="16" max="16" width="13.7109375" bestFit="1" customWidth="1"/>
    <col min="20" max="20" width="14.85546875" bestFit="1" customWidth="1"/>
    <col min="21" max="22" width="14.5703125" bestFit="1" customWidth="1"/>
    <col min="23" max="23" width="13.7109375" bestFit="1" customWidth="1"/>
  </cols>
  <sheetData>
    <row r="2" spans="2:12" hidden="1">
      <c r="B2" s="255" t="s">
        <v>55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</row>
    <row r="3" spans="2:12" hidden="1"/>
    <row r="4" spans="2:12" hidden="1">
      <c r="B4" s="89" t="s">
        <v>56</v>
      </c>
      <c r="C4" s="89" t="s">
        <v>57</v>
      </c>
      <c r="D4" s="89" t="s">
        <v>58</v>
      </c>
      <c r="G4" s="74" t="s">
        <v>56</v>
      </c>
      <c r="H4" s="74" t="s">
        <v>57</v>
      </c>
      <c r="I4" s="74" t="s">
        <v>58</v>
      </c>
    </row>
    <row r="5" spans="2:12" hidden="1">
      <c r="B5" s="2">
        <v>3</v>
      </c>
      <c r="C5" s="2">
        <v>5</v>
      </c>
      <c r="D5" s="2">
        <v>4</v>
      </c>
      <c r="F5" s="73" t="s">
        <v>30</v>
      </c>
      <c r="G5" s="21">
        <v>2881381.6885108254</v>
      </c>
      <c r="H5" s="21">
        <v>2914899.0449037827</v>
      </c>
      <c r="I5" s="21">
        <v>2902524.310798482</v>
      </c>
    </row>
    <row r="6" spans="2:12" hidden="1">
      <c r="F6" s="73" t="s">
        <v>5</v>
      </c>
      <c r="G6" s="21">
        <v>651850.86463079718</v>
      </c>
      <c r="H6" s="21">
        <v>809245.94468536053</v>
      </c>
      <c r="I6" s="21">
        <v>750226.20170398266</v>
      </c>
    </row>
    <row r="7" spans="2:12" hidden="1">
      <c r="B7" s="252" t="s">
        <v>59</v>
      </c>
      <c r="C7" s="252"/>
      <c r="D7" s="252"/>
      <c r="F7" s="73" t="s">
        <v>7</v>
      </c>
      <c r="G7" s="21">
        <v>1025002.9755146415</v>
      </c>
      <c r="H7" s="21">
        <v>1186738.7065628406</v>
      </c>
      <c r="I7" s="21">
        <v>1126116.3789008451</v>
      </c>
    </row>
    <row r="8" spans="2:12" ht="15" hidden="1" customHeight="1">
      <c r="B8" s="94" t="s">
        <v>60</v>
      </c>
      <c r="C8" s="5">
        <v>0.25</v>
      </c>
      <c r="D8" s="5" t="s">
        <v>9</v>
      </c>
      <c r="F8" s="73" t="s">
        <v>43</v>
      </c>
      <c r="G8" s="21">
        <v>466.2240306650512</v>
      </c>
      <c r="H8" s="21">
        <v>330.88217407291006</v>
      </c>
      <c r="I8" s="21">
        <v>371.50217587507586</v>
      </c>
      <c r="J8" s="258" t="s">
        <v>61</v>
      </c>
    </row>
    <row r="9" spans="2:12" hidden="1">
      <c r="B9" s="94" t="s">
        <v>62</v>
      </c>
      <c r="C9" s="7" t="s">
        <v>12</v>
      </c>
      <c r="D9" s="5" t="s">
        <v>13</v>
      </c>
      <c r="F9" s="73" t="s">
        <v>44</v>
      </c>
      <c r="G9" s="21">
        <v>1310.2559348014372</v>
      </c>
      <c r="H9" s="9">
        <v>1834.3583087220106</v>
      </c>
      <c r="I9" s="9">
        <v>1637.8199185017947</v>
      </c>
      <c r="J9" s="258"/>
    </row>
    <row r="10" spans="2:12" hidden="1">
      <c r="B10" s="94" t="s">
        <v>16</v>
      </c>
      <c r="C10" s="5">
        <v>5</v>
      </c>
      <c r="D10" s="5" t="s">
        <v>17</v>
      </c>
      <c r="F10" s="73" t="s">
        <v>43</v>
      </c>
      <c r="G10" s="21">
        <v>73.968221262556014</v>
      </c>
      <c r="H10" s="21">
        <v>73.968221262556014</v>
      </c>
      <c r="I10" s="21">
        <v>73.968221262556014</v>
      </c>
      <c r="J10" s="258" t="s">
        <v>63</v>
      </c>
    </row>
    <row r="11" spans="2:12" hidden="1">
      <c r="B11" s="94" t="s">
        <v>18</v>
      </c>
      <c r="C11" s="5">
        <v>2</v>
      </c>
      <c r="D11" s="5" t="s">
        <v>19</v>
      </c>
      <c r="F11" s="73" t="s">
        <v>44</v>
      </c>
      <c r="G11" s="9">
        <v>5598.7580249999974</v>
      </c>
      <c r="H11" s="9">
        <v>7838.2612349999981</v>
      </c>
      <c r="I11" s="9">
        <v>6998.4475312499999</v>
      </c>
      <c r="J11" s="258"/>
    </row>
    <row r="12" spans="2:12" ht="17.25" hidden="1">
      <c r="B12" s="94" t="s">
        <v>20</v>
      </c>
      <c r="C12" s="5">
        <v>5</v>
      </c>
      <c r="D12" s="5" t="s">
        <v>21</v>
      </c>
    </row>
    <row r="13" spans="2:12" ht="17.25" hidden="1">
      <c r="B13" s="94" t="s">
        <v>64</v>
      </c>
      <c r="C13" s="5">
        <v>37.770000000000003</v>
      </c>
      <c r="D13" s="5" t="s">
        <v>23</v>
      </c>
    </row>
    <row r="14" spans="2:12" hidden="1">
      <c r="B14" s="94" t="s">
        <v>24</v>
      </c>
      <c r="C14" s="5">
        <v>50</v>
      </c>
      <c r="D14" s="5" t="s">
        <v>17</v>
      </c>
    </row>
    <row r="15" spans="2:12" ht="17.25" hidden="1" customHeight="1">
      <c r="B15" s="94" t="s">
        <v>65</v>
      </c>
      <c r="C15" s="5">
        <v>3</v>
      </c>
      <c r="D15" s="5" t="s">
        <v>26</v>
      </c>
      <c r="F15" t="s">
        <v>66</v>
      </c>
    </row>
    <row r="16" spans="2:12" hidden="1"/>
    <row r="17" spans="2:28" hidden="1"/>
    <row r="18" spans="2:28" hidden="1"/>
    <row r="19" spans="2:28" hidden="1"/>
    <row r="20" spans="2:28" hidden="1"/>
    <row r="21" spans="2:28" hidden="1">
      <c r="Q21" s="74" t="s">
        <v>1</v>
      </c>
      <c r="R21" s="74" t="s">
        <v>2</v>
      </c>
      <c r="S21" s="74" t="s">
        <v>3</v>
      </c>
      <c r="T21" s="74" t="s">
        <v>1</v>
      </c>
      <c r="X21" s="74" t="s">
        <v>1</v>
      </c>
      <c r="Y21" s="74" t="s">
        <v>2</v>
      </c>
      <c r="Z21" s="74" t="s">
        <v>3</v>
      </c>
      <c r="AA21" s="74" t="s">
        <v>1</v>
      </c>
      <c r="AB21" s="60" t="s">
        <v>67</v>
      </c>
    </row>
    <row r="22" spans="2:28" ht="17.25" hidden="1">
      <c r="B22" s="255" t="s">
        <v>68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O22">
        <v>1</v>
      </c>
      <c r="P22" s="73" t="s">
        <v>28</v>
      </c>
      <c r="Q22" s="21">
        <f>G8</f>
        <v>466.2240306650512</v>
      </c>
      <c r="R22" s="21">
        <f>H8</f>
        <v>330.88217407291006</v>
      </c>
      <c r="S22" s="21">
        <f>I8</f>
        <v>371.50217587507586</v>
      </c>
      <c r="T22" s="21">
        <f>Q22</f>
        <v>466.2240306650512</v>
      </c>
      <c r="W22" s="73" t="s">
        <v>28</v>
      </c>
      <c r="X22" s="9">
        <f>G9</f>
        <v>1310.2559348014372</v>
      </c>
      <c r="Y22" s="9">
        <f t="shared" ref="Y22:Z22" si="0">H9</f>
        <v>1834.3583087220106</v>
      </c>
      <c r="Z22" s="9">
        <f t="shared" si="0"/>
        <v>1637.8199185017947</v>
      </c>
      <c r="AA22" s="9">
        <f>X22</f>
        <v>1310.2559348014372</v>
      </c>
    </row>
    <row r="23" spans="2:28" hidden="1">
      <c r="O23">
        <v>2</v>
      </c>
      <c r="P23" s="73" t="s">
        <v>22</v>
      </c>
      <c r="Q23" s="21">
        <f>G28</f>
        <v>680.40793032021941</v>
      </c>
      <c r="R23" s="21">
        <f>H28</f>
        <v>267.78622162750736</v>
      </c>
      <c r="S23" s="21">
        <f>I28</f>
        <v>371.50217587507586</v>
      </c>
      <c r="T23" s="21">
        <f>Q23</f>
        <v>680.40793032021941</v>
      </c>
      <c r="W23" s="73" t="s">
        <v>22</v>
      </c>
      <c r="X23" s="9">
        <f>G29</f>
        <v>818.90995925089669</v>
      </c>
      <c r="Y23" s="9">
        <f t="shared" ref="Y23:Z23" si="1">H29</f>
        <v>2456.7298777526903</v>
      </c>
      <c r="Z23" s="9">
        <f t="shared" si="1"/>
        <v>1637.8199185017947</v>
      </c>
      <c r="AA23" s="9">
        <f t="shared" ref="AA23:AA26" si="2">X23</f>
        <v>818.90995925089669</v>
      </c>
    </row>
    <row r="24" spans="2:28" hidden="1">
      <c r="B24" s="89" t="s">
        <v>56</v>
      </c>
      <c r="C24" s="89" t="s">
        <v>57</v>
      </c>
      <c r="D24" s="89" t="s">
        <v>58</v>
      </c>
      <c r="G24" s="74" t="s">
        <v>56</v>
      </c>
      <c r="H24" s="74" t="s">
        <v>57</v>
      </c>
      <c r="I24" s="74" t="s">
        <v>58</v>
      </c>
      <c r="O24">
        <v>3</v>
      </c>
      <c r="P24" s="73" t="s">
        <v>29</v>
      </c>
      <c r="Q24" s="21">
        <f>G48</f>
        <v>372.19398264161998</v>
      </c>
      <c r="R24" s="21">
        <f>H48</f>
        <v>370.81036910853209</v>
      </c>
      <c r="S24" s="21">
        <f>I48</f>
        <v>371.50217587507586</v>
      </c>
      <c r="T24" s="21">
        <f>Q24</f>
        <v>372.19398264161998</v>
      </c>
      <c r="W24" s="73" t="s">
        <v>29</v>
      </c>
      <c r="X24" s="9">
        <f>G49</f>
        <v>1637.8199185017934</v>
      </c>
      <c r="Y24" s="9">
        <f t="shared" ref="Y24:Z24" si="3">H49</f>
        <v>1637.8199185017934</v>
      </c>
      <c r="Z24" s="9">
        <f t="shared" si="3"/>
        <v>1637.8199185017947</v>
      </c>
      <c r="AA24" s="9">
        <f t="shared" si="2"/>
        <v>1637.8199185017934</v>
      </c>
    </row>
    <row r="25" spans="2:28" hidden="1">
      <c r="B25" s="9">
        <f>D25/D26</f>
        <v>18.884657534246575</v>
      </c>
      <c r="C25" s="9">
        <f>B25*C26</f>
        <v>56.653972602739728</v>
      </c>
      <c r="D25" s="9">
        <v>37.76931506849315</v>
      </c>
      <c r="F25" s="73" t="s">
        <v>30</v>
      </c>
      <c r="G25" s="21">
        <v>2697709.5980668697</v>
      </c>
      <c r="H25" s="21">
        <v>3094854.3876952566</v>
      </c>
      <c r="I25" s="21">
        <f>I5</f>
        <v>2902524.310798482</v>
      </c>
      <c r="O25">
        <v>4</v>
      </c>
      <c r="P25" s="73" t="s">
        <v>25</v>
      </c>
      <c r="Q25" s="21">
        <f>G68</f>
        <v>293.11562389817686</v>
      </c>
      <c r="R25" s="21">
        <f>H68</f>
        <v>488.65930060516598</v>
      </c>
      <c r="S25" s="21">
        <f>I68</f>
        <v>371.50217587507586</v>
      </c>
      <c r="T25" s="21">
        <f>Q25</f>
        <v>293.11562389817686</v>
      </c>
      <c r="W25" s="73" t="s">
        <v>25</v>
      </c>
      <c r="X25" s="9">
        <f>G69</f>
        <v>1965.3839022021521</v>
      </c>
      <c r="Y25" s="9">
        <f t="shared" ref="Y25:Z25" si="4">H69</f>
        <v>1310.2559348014347</v>
      </c>
      <c r="Z25" s="9">
        <f t="shared" si="4"/>
        <v>1637.8199185017947</v>
      </c>
      <c r="AA25" s="9">
        <f t="shared" si="2"/>
        <v>1965.3839022021521</v>
      </c>
    </row>
    <row r="26" spans="2:28" hidden="1">
      <c r="B26" s="2">
        <v>1</v>
      </c>
      <c r="C26" s="2">
        <v>3</v>
      </c>
      <c r="D26" s="2">
        <v>2</v>
      </c>
      <c r="F26" s="73" t="s">
        <v>5</v>
      </c>
      <c r="G26" s="21">
        <v>466658.4533575789</v>
      </c>
      <c r="H26" s="21">
        <v>1033574.6826931802</v>
      </c>
      <c r="I26" s="21">
        <f t="shared" ref="I26:I31" si="5">I6</f>
        <v>750226.20170398266</v>
      </c>
      <c r="O26">
        <v>5</v>
      </c>
      <c r="P26" s="73" t="s">
        <v>31</v>
      </c>
      <c r="Q26" s="21">
        <f>G88</f>
        <v>298.10979203758427</v>
      </c>
      <c r="R26" s="21">
        <f>H88</f>
        <v>491.14016679432154</v>
      </c>
      <c r="S26" s="21">
        <f>I88</f>
        <v>371.50217587507586</v>
      </c>
      <c r="T26" s="21">
        <f>Q26</f>
        <v>298.10979203758427</v>
      </c>
      <c r="W26" s="73" t="s">
        <v>31</v>
      </c>
      <c r="X26" s="9">
        <f>G89</f>
        <v>2030.8966989422242</v>
      </c>
      <c r="Y26" s="9">
        <f t="shared" ref="Y26:Z26" si="6">H89</f>
        <v>1244.7431380613627</v>
      </c>
      <c r="Z26" s="9">
        <f t="shared" si="6"/>
        <v>1637.8199185017947</v>
      </c>
      <c r="AA26" s="9">
        <f t="shared" si="2"/>
        <v>2030.8966989422242</v>
      </c>
    </row>
    <row r="27" spans="2:28" hidden="1">
      <c r="F27" s="73" t="s">
        <v>7</v>
      </c>
      <c r="G27" s="21">
        <v>816024.18823546194</v>
      </c>
      <c r="H27" s="21">
        <v>1434372.4847516331</v>
      </c>
      <c r="I27" s="21">
        <f t="shared" si="5"/>
        <v>1126116.3789008451</v>
      </c>
    </row>
    <row r="28" spans="2:28" hidden="1">
      <c r="B28" s="252" t="s">
        <v>59</v>
      </c>
      <c r="C28" s="252"/>
      <c r="D28" s="252"/>
      <c r="F28" s="73" t="s">
        <v>43</v>
      </c>
      <c r="G28" s="21">
        <v>680.40793032021941</v>
      </c>
      <c r="H28" s="21">
        <v>267.78622162750736</v>
      </c>
      <c r="I28" s="21">
        <f t="shared" si="5"/>
        <v>371.50217587507586</v>
      </c>
      <c r="J28" s="258" t="s">
        <v>61</v>
      </c>
      <c r="P28" s="256" t="s">
        <v>32</v>
      </c>
      <c r="Q28" s="256"/>
      <c r="R28" s="256"/>
      <c r="S28" s="256"/>
      <c r="T28" s="256"/>
      <c r="U28" s="256"/>
      <c r="X28" s="74" t="s">
        <v>1</v>
      </c>
      <c r="Y28" s="74" t="s">
        <v>2</v>
      </c>
      <c r="Z28" s="74" t="s">
        <v>3</v>
      </c>
      <c r="AA28" s="74" t="s">
        <v>1</v>
      </c>
      <c r="AB28" s="60" t="s">
        <v>69</v>
      </c>
    </row>
    <row r="29" spans="2:28" hidden="1">
      <c r="B29" s="94" t="s">
        <v>60</v>
      </c>
      <c r="C29" s="5">
        <v>0.25</v>
      </c>
      <c r="D29" s="5" t="s">
        <v>9</v>
      </c>
      <c r="F29" s="73" t="s">
        <v>44</v>
      </c>
      <c r="G29" s="9">
        <v>818.90995925089669</v>
      </c>
      <c r="H29" s="9">
        <v>2456.7298777526903</v>
      </c>
      <c r="I29" s="21">
        <f t="shared" si="5"/>
        <v>1637.8199185017947</v>
      </c>
      <c r="J29" s="258"/>
      <c r="W29" s="73" t="s">
        <v>28</v>
      </c>
      <c r="X29" s="9">
        <f>G11</f>
        <v>5598.7580249999974</v>
      </c>
      <c r="Y29" s="9">
        <f t="shared" ref="Y29:Z29" si="7">H11</f>
        <v>7838.2612349999981</v>
      </c>
      <c r="Z29" s="9">
        <f t="shared" si="7"/>
        <v>6998.4475312499999</v>
      </c>
      <c r="AA29" s="9">
        <f>X29</f>
        <v>5598.7580249999974</v>
      </c>
    </row>
    <row r="30" spans="2:28" ht="17.25" hidden="1">
      <c r="B30" s="94" t="s">
        <v>62</v>
      </c>
      <c r="C30" s="7" t="s">
        <v>12</v>
      </c>
      <c r="D30" s="5" t="s">
        <v>33</v>
      </c>
      <c r="F30" s="73" t="s">
        <v>43</v>
      </c>
      <c r="G30" s="21">
        <f>G10</f>
        <v>73.968221262556014</v>
      </c>
      <c r="H30" s="21">
        <f t="shared" ref="H30" si="8">H10</f>
        <v>73.968221262556014</v>
      </c>
      <c r="I30" s="21">
        <f t="shared" si="5"/>
        <v>73.968221262556014</v>
      </c>
      <c r="J30" s="258" t="s">
        <v>63</v>
      </c>
      <c r="P30" s="89" t="s">
        <v>28</v>
      </c>
      <c r="Q30" s="2">
        <v>3</v>
      </c>
      <c r="R30" s="2" t="s">
        <v>34</v>
      </c>
      <c r="T30" s="89" t="s">
        <v>30</v>
      </c>
      <c r="U30" s="21">
        <v>2690517.438826723</v>
      </c>
      <c r="W30" s="73" t="s">
        <v>22</v>
      </c>
      <c r="X30" s="9">
        <f>G31</f>
        <v>3499.2237656249954</v>
      </c>
      <c r="Y30" s="9">
        <f t="shared" ref="Y30:Z30" si="9">H31</f>
        <v>10497.671296874985</v>
      </c>
      <c r="Z30" s="9">
        <f t="shared" si="9"/>
        <v>6998.4475312499999</v>
      </c>
      <c r="AA30" s="9">
        <f t="shared" ref="AA30:AA33" si="10">X30</f>
        <v>3499.2237656249954</v>
      </c>
    </row>
    <row r="31" spans="2:28" ht="17.25" hidden="1">
      <c r="B31" s="94" t="s">
        <v>16</v>
      </c>
      <c r="C31" s="5">
        <v>5</v>
      </c>
      <c r="D31" s="5" t="s">
        <v>17</v>
      </c>
      <c r="F31" s="73" t="s">
        <v>44</v>
      </c>
      <c r="G31" s="9">
        <v>3499.2237656249954</v>
      </c>
      <c r="H31" s="9">
        <v>10497.671296874985</v>
      </c>
      <c r="I31" s="21">
        <f t="shared" si="5"/>
        <v>6998.4475312499999</v>
      </c>
      <c r="J31" s="258"/>
      <c r="P31" s="89" t="s">
        <v>22</v>
      </c>
      <c r="Q31" s="9">
        <f>C25</f>
        <v>56.653972602739728</v>
      </c>
      <c r="R31" s="5" t="s">
        <v>23</v>
      </c>
      <c r="T31" s="89" t="s">
        <v>5</v>
      </c>
      <c r="U31" s="21">
        <v>258010.80240942855</v>
      </c>
      <c r="W31" s="73" t="s">
        <v>29</v>
      </c>
      <c r="X31" s="9">
        <f>G51</f>
        <v>6998.4475312499999</v>
      </c>
      <c r="Y31" s="9">
        <f t="shared" ref="Y31:Z31" si="11">H51</f>
        <v>6998.4475312499999</v>
      </c>
      <c r="Z31" s="9">
        <f t="shared" si="11"/>
        <v>6998.4475312499999</v>
      </c>
      <c r="AA31" s="9">
        <f t="shared" si="10"/>
        <v>6998.4475312499999</v>
      </c>
    </row>
    <row r="32" spans="2:28" hidden="1">
      <c r="B32" s="94" t="s">
        <v>18</v>
      </c>
      <c r="C32" s="5">
        <v>2</v>
      </c>
      <c r="D32" s="5" t="s">
        <v>19</v>
      </c>
      <c r="P32" s="89" t="s">
        <v>29</v>
      </c>
      <c r="Q32" s="2">
        <v>30</v>
      </c>
      <c r="R32" s="2" t="s">
        <v>17</v>
      </c>
      <c r="T32" s="89" t="s">
        <v>7</v>
      </c>
      <c r="U32" s="21">
        <v>606445.11976183241</v>
      </c>
      <c r="W32" s="73" t="s">
        <v>25</v>
      </c>
      <c r="X32" s="9">
        <f>G71</f>
        <v>8398.1370374999879</v>
      </c>
      <c r="Y32" s="9">
        <f t="shared" ref="Y32:Z32" si="12">H71</f>
        <v>5598.7580249999928</v>
      </c>
      <c r="Z32" s="9">
        <f t="shared" si="12"/>
        <v>6998.4475312499999</v>
      </c>
      <c r="AA32" s="9">
        <f t="shared" si="10"/>
        <v>8398.1370374999879</v>
      </c>
    </row>
    <row r="33" spans="2:27" ht="17.25" hidden="1">
      <c r="B33" s="94" t="s">
        <v>20</v>
      </c>
      <c r="C33" s="5">
        <v>5</v>
      </c>
      <c r="D33" s="5" t="s">
        <v>21</v>
      </c>
      <c r="P33" s="89" t="s">
        <v>25</v>
      </c>
      <c r="Q33" s="2">
        <v>4</v>
      </c>
      <c r="R33" s="5" t="s">
        <v>26</v>
      </c>
      <c r="T33" s="153" t="s">
        <v>35</v>
      </c>
      <c r="U33" s="162">
        <v>6626.6035462412074</v>
      </c>
      <c r="V33" s="258" t="s">
        <v>67</v>
      </c>
      <c r="W33" s="73" t="s">
        <v>31</v>
      </c>
      <c r="X33" s="9">
        <f>G91</f>
        <v>8678.0749387499891</v>
      </c>
      <c r="Y33" s="9">
        <f t="shared" ref="Y33:Z33" si="13">H91</f>
        <v>5318.8201237499925</v>
      </c>
      <c r="Z33" s="9">
        <f t="shared" si="13"/>
        <v>6998.4475312499999</v>
      </c>
      <c r="AA33" s="9">
        <f t="shared" si="10"/>
        <v>8678.0749387499891</v>
      </c>
    </row>
    <row r="34" spans="2:27" ht="17.25" hidden="1">
      <c r="B34" s="94" t="s">
        <v>70</v>
      </c>
      <c r="C34" s="5">
        <v>4</v>
      </c>
      <c r="D34" s="5" t="s">
        <v>34</v>
      </c>
      <c r="P34" s="89" t="s">
        <v>31</v>
      </c>
      <c r="Q34" s="2">
        <v>7</v>
      </c>
      <c r="R34" s="106" t="s">
        <v>21</v>
      </c>
      <c r="T34" s="89" t="s">
        <v>14</v>
      </c>
      <c r="U34" s="9">
        <v>87.350395653428976</v>
      </c>
      <c r="V34" s="258"/>
    </row>
    <row r="35" spans="2:27" hidden="1">
      <c r="B35" s="94" t="s">
        <v>24</v>
      </c>
      <c r="C35" s="5">
        <v>50</v>
      </c>
      <c r="D35" s="5" t="s">
        <v>17</v>
      </c>
      <c r="T35" s="89" t="s">
        <v>14</v>
      </c>
      <c r="U35" s="9">
        <v>373.25053499999933</v>
      </c>
      <c r="V35" s="165" t="s">
        <v>69</v>
      </c>
    </row>
    <row r="36" spans="2:27" hidden="1">
      <c r="B36" s="94" t="s">
        <v>65</v>
      </c>
      <c r="C36" s="5">
        <v>3</v>
      </c>
      <c r="D36" s="5" t="s">
        <v>26</v>
      </c>
    </row>
    <row r="37" spans="2:27" hidden="1"/>
    <row r="38" spans="2:27" hidden="1">
      <c r="P38" s="257" t="s">
        <v>37</v>
      </c>
      <c r="Q38" s="257"/>
      <c r="R38" s="257"/>
      <c r="S38" s="257"/>
      <c r="T38" s="257"/>
      <c r="U38" s="257"/>
    </row>
    <row r="39" spans="2:27" hidden="1"/>
    <row r="40" spans="2:27" hidden="1">
      <c r="P40" s="163" t="s">
        <v>28</v>
      </c>
      <c r="Q40" s="63">
        <v>5</v>
      </c>
      <c r="R40" s="2" t="s">
        <v>34</v>
      </c>
      <c r="T40" s="163" t="s">
        <v>30</v>
      </c>
      <c r="U40" s="21">
        <v>3087513.4190983335</v>
      </c>
    </row>
    <row r="41" spans="2:27" ht="17.25" hidden="1">
      <c r="C41" s="100"/>
      <c r="P41" s="163" t="s">
        <v>22</v>
      </c>
      <c r="Q41" s="9">
        <f>D25</f>
        <v>37.76931506849315</v>
      </c>
      <c r="R41" s="5" t="s">
        <v>23</v>
      </c>
      <c r="T41" s="163" t="s">
        <v>5</v>
      </c>
      <c r="U41" s="21">
        <v>1300063.4406167557</v>
      </c>
    </row>
    <row r="42" spans="2:27" hidden="1">
      <c r="B42" s="255" t="s">
        <v>71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P42" s="163" t="s">
        <v>29</v>
      </c>
      <c r="Q42" s="2">
        <v>70</v>
      </c>
      <c r="R42" s="2" t="s">
        <v>17</v>
      </c>
      <c r="T42" s="163" t="s">
        <v>7</v>
      </c>
      <c r="U42" s="21">
        <v>1699910.5536572295</v>
      </c>
    </row>
    <row r="43" spans="2:27" ht="17.25" hidden="1">
      <c r="P43" s="163" t="s">
        <v>25</v>
      </c>
      <c r="Q43" s="2">
        <v>2</v>
      </c>
      <c r="R43" s="5" t="s">
        <v>26</v>
      </c>
      <c r="T43" s="164" t="s">
        <v>35</v>
      </c>
      <c r="U43" s="162">
        <v>175.36676175793235</v>
      </c>
      <c r="V43" s="258" t="s">
        <v>67</v>
      </c>
    </row>
    <row r="44" spans="2:27" ht="17.25" hidden="1">
      <c r="B44" s="89" t="s">
        <v>56</v>
      </c>
      <c r="C44" s="89" t="s">
        <v>57</v>
      </c>
      <c r="D44" s="89" t="s">
        <v>58</v>
      </c>
      <c r="G44" s="74" t="s">
        <v>56</v>
      </c>
      <c r="H44" s="74" t="s">
        <v>57</v>
      </c>
      <c r="I44" s="74" t="s">
        <v>58</v>
      </c>
      <c r="P44" s="163" t="s">
        <v>31</v>
      </c>
      <c r="Q44" s="2">
        <v>3</v>
      </c>
      <c r="R44" s="106" t="s">
        <v>21</v>
      </c>
      <c r="T44" s="163" t="s">
        <v>14</v>
      </c>
      <c r="U44" s="9">
        <v>3459.0756678757866</v>
      </c>
      <c r="V44" s="258"/>
    </row>
    <row r="45" spans="2:27" hidden="1">
      <c r="B45" s="9">
        <v>30</v>
      </c>
      <c r="C45" s="9">
        <v>70</v>
      </c>
      <c r="D45" s="9">
        <v>50</v>
      </c>
      <c r="F45" s="73" t="s">
        <v>30</v>
      </c>
      <c r="G45" s="21">
        <v>2902524.3107984816</v>
      </c>
      <c r="H45" s="21">
        <v>2902524.3107984816</v>
      </c>
      <c r="I45" s="21">
        <f>I25</f>
        <v>2902524.310798482</v>
      </c>
      <c r="T45" s="163" t="s">
        <v>14</v>
      </c>
      <c r="U45" s="9">
        <v>14780.721185999979</v>
      </c>
      <c r="V45" s="165" t="s">
        <v>69</v>
      </c>
    </row>
    <row r="46" spans="2:27" hidden="1">
      <c r="F46" s="73" t="s">
        <v>5</v>
      </c>
      <c r="G46" s="21">
        <v>751359.25660598185</v>
      </c>
      <c r="H46" s="21">
        <v>749093.14680198184</v>
      </c>
      <c r="I46" s="21">
        <f t="shared" ref="I46:I51" si="14">I26</f>
        <v>750226.20170398266</v>
      </c>
    </row>
    <row r="47" spans="2:27" hidden="1">
      <c r="B47" s="252" t="s">
        <v>59</v>
      </c>
      <c r="C47" s="252"/>
      <c r="D47" s="252"/>
      <c r="F47" s="73" t="s">
        <v>7</v>
      </c>
      <c r="G47" s="21">
        <v>1127249.4338028443</v>
      </c>
      <c r="H47" s="21">
        <v>1124983.3239988443</v>
      </c>
      <c r="I47" s="21">
        <f t="shared" si="14"/>
        <v>1126116.3789008451</v>
      </c>
    </row>
    <row r="48" spans="2:27" hidden="1">
      <c r="B48" s="94" t="s">
        <v>60</v>
      </c>
      <c r="C48" s="5">
        <v>0.25</v>
      </c>
      <c r="D48" s="5" t="s">
        <v>9</v>
      </c>
      <c r="F48" s="73" t="s">
        <v>43</v>
      </c>
      <c r="G48" s="21">
        <v>372.19398264161998</v>
      </c>
      <c r="H48" s="21">
        <v>370.81036910853209</v>
      </c>
      <c r="I48" s="21">
        <f t="shared" si="14"/>
        <v>371.50217587507586</v>
      </c>
      <c r="J48" s="258" t="s">
        <v>61</v>
      </c>
    </row>
    <row r="49" spans="2:12" ht="17.25" hidden="1">
      <c r="B49" s="94" t="s">
        <v>62</v>
      </c>
      <c r="C49" s="7" t="s">
        <v>12</v>
      </c>
      <c r="D49" s="5" t="s">
        <v>33</v>
      </c>
      <c r="F49" s="73" t="s">
        <v>44</v>
      </c>
      <c r="G49" s="9">
        <v>1637.8199185017934</v>
      </c>
      <c r="H49" s="9">
        <v>1637.8199185017934</v>
      </c>
      <c r="I49" s="21">
        <f t="shared" si="14"/>
        <v>1637.8199185017947</v>
      </c>
      <c r="J49" s="258"/>
    </row>
    <row r="50" spans="2:12" hidden="1">
      <c r="B50" s="94" t="s">
        <v>16</v>
      </c>
      <c r="C50" s="5">
        <v>5</v>
      </c>
      <c r="D50" s="5" t="s">
        <v>17</v>
      </c>
      <c r="F50" s="73" t="s">
        <v>43</v>
      </c>
      <c r="G50" s="21">
        <f>G30</f>
        <v>73.968221262556014</v>
      </c>
      <c r="H50" s="21">
        <f>H30</f>
        <v>73.968221262556014</v>
      </c>
      <c r="I50" s="21">
        <f t="shared" si="14"/>
        <v>73.968221262556014</v>
      </c>
      <c r="J50" s="258" t="s">
        <v>63</v>
      </c>
    </row>
    <row r="51" spans="2:12" hidden="1">
      <c r="B51" s="94" t="s">
        <v>18</v>
      </c>
      <c r="C51" s="5">
        <v>2</v>
      </c>
      <c r="D51" s="5" t="s">
        <v>19</v>
      </c>
      <c r="F51" s="73" t="s">
        <v>44</v>
      </c>
      <c r="G51" s="9">
        <f>I51</f>
        <v>6998.4475312499999</v>
      </c>
      <c r="H51" s="9">
        <f>I51</f>
        <v>6998.4475312499999</v>
      </c>
      <c r="I51" s="21">
        <f t="shared" si="14"/>
        <v>6998.4475312499999</v>
      </c>
      <c r="J51" s="258"/>
    </row>
    <row r="52" spans="2:12" ht="17.25" hidden="1">
      <c r="B52" s="94" t="s">
        <v>20</v>
      </c>
      <c r="C52" s="5">
        <v>5</v>
      </c>
      <c r="D52" s="5" t="s">
        <v>21</v>
      </c>
    </row>
    <row r="53" spans="2:12" hidden="1">
      <c r="B53" s="94" t="s">
        <v>70</v>
      </c>
      <c r="C53" s="5">
        <v>4</v>
      </c>
      <c r="D53" s="5" t="s">
        <v>34</v>
      </c>
    </row>
    <row r="54" spans="2:12" ht="17.25" hidden="1">
      <c r="B54" s="94" t="s">
        <v>64</v>
      </c>
      <c r="C54" s="5">
        <v>37.770000000000003</v>
      </c>
      <c r="D54" s="5" t="s">
        <v>23</v>
      </c>
    </row>
    <row r="55" spans="2:12" hidden="1">
      <c r="B55" s="94" t="s">
        <v>65</v>
      </c>
      <c r="C55" s="5">
        <v>3</v>
      </c>
      <c r="D55" s="5" t="s">
        <v>26</v>
      </c>
    </row>
    <row r="56" spans="2:12" hidden="1"/>
    <row r="57" spans="2:12" hidden="1"/>
    <row r="58" spans="2:12" hidden="1"/>
    <row r="59" spans="2:12" hidden="1"/>
    <row r="60" spans="2:12" hidden="1"/>
    <row r="61" spans="2:12" hidden="1"/>
    <row r="62" spans="2:12" hidden="1">
      <c r="B62" s="255" t="s">
        <v>72</v>
      </c>
      <c r="C62" s="255"/>
      <c r="D62" s="255"/>
      <c r="E62" s="255"/>
      <c r="F62" s="255"/>
      <c r="G62" s="255"/>
      <c r="H62" s="255"/>
      <c r="I62" s="255"/>
      <c r="J62" s="255"/>
      <c r="K62" s="255"/>
      <c r="L62" s="255"/>
    </row>
    <row r="63" spans="2:12" hidden="1"/>
    <row r="64" spans="2:12" hidden="1">
      <c r="B64" s="89" t="s">
        <v>56</v>
      </c>
      <c r="C64" s="89" t="s">
        <v>57</v>
      </c>
      <c r="D64" s="89" t="s">
        <v>58</v>
      </c>
      <c r="G64" s="74" t="s">
        <v>56</v>
      </c>
      <c r="H64" s="74" t="s">
        <v>57</v>
      </c>
      <c r="I64" s="74" t="s">
        <v>58</v>
      </c>
    </row>
    <row r="65" spans="2:10" hidden="1">
      <c r="B65" s="9">
        <v>2</v>
      </c>
      <c r="C65" s="9">
        <v>4</v>
      </c>
      <c r="D65" s="9">
        <v>3</v>
      </c>
      <c r="F65" s="73" t="s">
        <v>30</v>
      </c>
      <c r="G65" s="21">
        <v>2860008.55813536</v>
      </c>
      <c r="H65" s="21">
        <v>2941274.1108790939</v>
      </c>
      <c r="I65" s="21">
        <f>I5</f>
        <v>2902524.310798482</v>
      </c>
    </row>
    <row r="66" spans="2:10" hidden="1">
      <c r="F66" s="73" t="s">
        <v>5</v>
      </c>
      <c r="G66" s="21">
        <v>826895.79455759458</v>
      </c>
      <c r="H66" s="21">
        <v>673490.46751624881</v>
      </c>
      <c r="I66" s="21">
        <f t="shared" ref="I66:I71" si="15">I6</f>
        <v>750226.20170398266</v>
      </c>
    </row>
    <row r="67" spans="2:10" hidden="1">
      <c r="B67" s="252" t="s">
        <v>59</v>
      </c>
      <c r="C67" s="252"/>
      <c r="D67" s="252"/>
      <c r="F67" s="73" t="s">
        <v>7</v>
      </c>
      <c r="G67" s="21">
        <v>1197279.9872764831</v>
      </c>
      <c r="H67" s="21">
        <v>1054398.9211025476</v>
      </c>
      <c r="I67" s="21">
        <f t="shared" si="15"/>
        <v>1126116.3789008451</v>
      </c>
    </row>
    <row r="68" spans="2:10" hidden="1">
      <c r="B68" s="94" t="s">
        <v>60</v>
      </c>
      <c r="C68" s="5">
        <v>0.25</v>
      </c>
      <c r="D68" s="5" t="s">
        <v>9</v>
      </c>
      <c r="F68" s="73" t="s">
        <v>43</v>
      </c>
      <c r="G68" s="21">
        <v>293.11562389817686</v>
      </c>
      <c r="H68" s="21">
        <v>488.65930060516598</v>
      </c>
      <c r="I68" s="21">
        <f t="shared" si="15"/>
        <v>371.50217587507586</v>
      </c>
      <c r="J68" s="258" t="s">
        <v>61</v>
      </c>
    </row>
    <row r="69" spans="2:10" ht="17.25" hidden="1">
      <c r="B69" s="94" t="s">
        <v>62</v>
      </c>
      <c r="C69" s="7" t="s">
        <v>12</v>
      </c>
      <c r="D69" s="5" t="s">
        <v>33</v>
      </c>
      <c r="F69" s="73" t="s">
        <v>44</v>
      </c>
      <c r="G69" s="9">
        <v>1965.3839022021521</v>
      </c>
      <c r="H69" s="9">
        <v>1310.2559348014347</v>
      </c>
      <c r="I69" s="21">
        <f t="shared" si="15"/>
        <v>1637.8199185017947</v>
      </c>
      <c r="J69" s="258"/>
    </row>
    <row r="70" spans="2:10" hidden="1">
      <c r="B70" s="94" t="s">
        <v>16</v>
      </c>
      <c r="C70" s="5">
        <v>5</v>
      </c>
      <c r="D70" s="5" t="s">
        <v>17</v>
      </c>
      <c r="F70" s="73" t="s">
        <v>43</v>
      </c>
      <c r="G70" s="21">
        <f>G50</f>
        <v>73.968221262556014</v>
      </c>
      <c r="H70" s="21">
        <f>H50</f>
        <v>73.968221262556014</v>
      </c>
      <c r="I70" s="21">
        <f t="shared" si="15"/>
        <v>73.968221262556014</v>
      </c>
      <c r="J70" s="258" t="s">
        <v>63</v>
      </c>
    </row>
    <row r="71" spans="2:10" hidden="1">
      <c r="B71" s="94" t="s">
        <v>18</v>
      </c>
      <c r="C71" s="5">
        <v>2</v>
      </c>
      <c r="D71" s="5" t="s">
        <v>19</v>
      </c>
      <c r="F71" s="73" t="s">
        <v>44</v>
      </c>
      <c r="G71" s="9">
        <v>8398.1370374999879</v>
      </c>
      <c r="H71" s="9">
        <v>5598.7580249999928</v>
      </c>
      <c r="I71" s="21">
        <f t="shared" si="15"/>
        <v>6998.4475312499999</v>
      </c>
      <c r="J71" s="258"/>
    </row>
    <row r="72" spans="2:10" ht="17.25" hidden="1">
      <c r="B72" s="94" t="s">
        <v>20</v>
      </c>
      <c r="C72" s="5">
        <v>5</v>
      </c>
      <c r="D72" s="5" t="s">
        <v>21</v>
      </c>
    </row>
    <row r="73" spans="2:10" hidden="1">
      <c r="B73" s="94" t="s">
        <v>70</v>
      </c>
      <c r="C73" s="5">
        <v>4</v>
      </c>
      <c r="D73" s="5" t="s">
        <v>34</v>
      </c>
    </row>
    <row r="74" spans="2:10" ht="17.25" hidden="1">
      <c r="B74" s="94" t="s">
        <v>64</v>
      </c>
      <c r="C74" s="5">
        <v>37.770000000000003</v>
      </c>
      <c r="D74" s="5" t="s">
        <v>23</v>
      </c>
    </row>
    <row r="75" spans="2:10" hidden="1">
      <c r="B75" s="94" t="s">
        <v>24</v>
      </c>
      <c r="C75" s="5">
        <v>50</v>
      </c>
      <c r="D75" s="5" t="s">
        <v>17</v>
      </c>
    </row>
    <row r="76" spans="2:10" hidden="1"/>
    <row r="77" spans="2:10" hidden="1"/>
    <row r="78" spans="2:10" hidden="1"/>
    <row r="79" spans="2:10" hidden="1"/>
    <row r="80" spans="2:10" hidden="1"/>
    <row r="81" spans="2:12" hidden="1"/>
    <row r="82" spans="2:12" ht="17.25" hidden="1">
      <c r="B82" s="255" t="s">
        <v>73</v>
      </c>
      <c r="C82" s="255"/>
      <c r="D82" s="255"/>
      <c r="E82" s="255"/>
      <c r="F82" s="255"/>
      <c r="G82" s="255"/>
      <c r="H82" s="255"/>
      <c r="I82" s="255"/>
      <c r="J82" s="255"/>
      <c r="K82" s="255"/>
      <c r="L82" s="255"/>
    </row>
    <row r="83" spans="2:12" hidden="1"/>
    <row r="84" spans="2:12" hidden="1">
      <c r="B84" s="89" t="s">
        <v>56</v>
      </c>
      <c r="C84" s="89" t="s">
        <v>57</v>
      </c>
      <c r="D84" s="89" t="s">
        <v>58</v>
      </c>
      <c r="G84" s="74" t="s">
        <v>56</v>
      </c>
      <c r="H84" s="74" t="s">
        <v>57</v>
      </c>
      <c r="I84" s="74" t="s">
        <v>58</v>
      </c>
    </row>
    <row r="85" spans="2:12" hidden="1">
      <c r="B85" s="9">
        <v>3</v>
      </c>
      <c r="C85" s="9">
        <v>7</v>
      </c>
      <c r="D85" s="9">
        <v>5</v>
      </c>
      <c r="F85" s="73" t="s">
        <v>30</v>
      </c>
      <c r="G85" s="21">
        <v>2927076.0844755359</v>
      </c>
      <c r="H85" s="21">
        <v>2877062.8747643908</v>
      </c>
      <c r="I85" s="21">
        <f>I5</f>
        <v>2902524.310798482</v>
      </c>
    </row>
    <row r="86" spans="2:12" hidden="1">
      <c r="F86" s="73" t="s">
        <v>5</v>
      </c>
      <c r="G86" s="21">
        <v>868262.21556242672</v>
      </c>
      <c r="H86" s="21">
        <v>632174.21146756236</v>
      </c>
      <c r="I86" s="21">
        <f t="shared" ref="I86:I91" si="16">I6</f>
        <v>750226.20170398266</v>
      </c>
    </row>
    <row r="87" spans="2:12" hidden="1">
      <c r="B87" s="252" t="s">
        <v>59</v>
      </c>
      <c r="C87" s="252"/>
      <c r="D87" s="252"/>
      <c r="F87" s="73" t="s">
        <v>7</v>
      </c>
      <c r="G87" s="21">
        <v>1247331.9597739843</v>
      </c>
      <c r="H87" s="21">
        <v>1004767.0162128198</v>
      </c>
      <c r="I87" s="21">
        <f t="shared" si="16"/>
        <v>1126116.3789008451</v>
      </c>
    </row>
    <row r="88" spans="2:12" hidden="1">
      <c r="B88" s="94" t="s">
        <v>60</v>
      </c>
      <c r="C88" s="5">
        <v>0.25</v>
      </c>
      <c r="D88" s="5" t="s">
        <v>9</v>
      </c>
      <c r="F88" s="73" t="s">
        <v>43</v>
      </c>
      <c r="G88" s="21">
        <v>298.10979203758427</v>
      </c>
      <c r="H88" s="21">
        <v>491.14016679432154</v>
      </c>
      <c r="I88" s="21">
        <f t="shared" si="16"/>
        <v>371.50217587507586</v>
      </c>
      <c r="J88" s="258" t="s">
        <v>61</v>
      </c>
    </row>
    <row r="89" spans="2:12" ht="17.25" hidden="1">
      <c r="B89" s="94" t="s">
        <v>62</v>
      </c>
      <c r="C89" s="7" t="s">
        <v>12</v>
      </c>
      <c r="D89" s="5" t="s">
        <v>33</v>
      </c>
      <c r="F89" s="73" t="s">
        <v>44</v>
      </c>
      <c r="G89" s="9">
        <v>2030.8966989422242</v>
      </c>
      <c r="H89" s="9">
        <v>1244.7431380613627</v>
      </c>
      <c r="I89" s="21">
        <f t="shared" si="16"/>
        <v>1637.8199185017947</v>
      </c>
      <c r="J89" s="258"/>
    </row>
    <row r="90" spans="2:12" hidden="1">
      <c r="B90" s="94" t="s">
        <v>16</v>
      </c>
      <c r="C90" s="5">
        <v>5</v>
      </c>
      <c r="D90" s="5" t="s">
        <v>17</v>
      </c>
      <c r="F90" s="73" t="s">
        <v>43</v>
      </c>
      <c r="G90" s="21">
        <f>G70</f>
        <v>73.968221262556014</v>
      </c>
      <c r="H90" s="21">
        <f>H70</f>
        <v>73.968221262556014</v>
      </c>
      <c r="I90" s="21">
        <f t="shared" si="16"/>
        <v>73.968221262556014</v>
      </c>
      <c r="J90" s="258" t="s">
        <v>63</v>
      </c>
    </row>
    <row r="91" spans="2:12" hidden="1">
      <c r="B91" s="94" t="s">
        <v>18</v>
      </c>
      <c r="C91" s="5">
        <v>2</v>
      </c>
      <c r="D91" s="5" t="s">
        <v>19</v>
      </c>
      <c r="F91" s="73" t="s">
        <v>44</v>
      </c>
      <c r="G91" s="9">
        <v>8678.0749387499891</v>
      </c>
      <c r="H91" s="9">
        <v>5318.8201237499925</v>
      </c>
      <c r="I91" s="21">
        <f t="shared" si="16"/>
        <v>6998.4475312499999</v>
      </c>
      <c r="J91" s="258"/>
    </row>
    <row r="92" spans="2:12" hidden="1">
      <c r="B92" s="94" t="s">
        <v>70</v>
      </c>
      <c r="C92" s="5">
        <v>4</v>
      </c>
      <c r="D92" s="5" t="s">
        <v>34</v>
      </c>
    </row>
    <row r="93" spans="2:12" ht="17.25" hidden="1">
      <c r="B93" s="94" t="s">
        <v>64</v>
      </c>
      <c r="C93" s="5">
        <v>37.770000000000003</v>
      </c>
      <c r="D93" s="5" t="s">
        <v>23</v>
      </c>
    </row>
    <row r="94" spans="2:12" hidden="1">
      <c r="B94" s="94" t="s">
        <v>24</v>
      </c>
      <c r="C94" s="5">
        <v>50</v>
      </c>
      <c r="D94" s="5" t="s">
        <v>17</v>
      </c>
    </row>
    <row r="95" spans="2:12" hidden="1">
      <c r="B95" s="94" t="s">
        <v>65</v>
      </c>
      <c r="C95" s="5">
        <v>3</v>
      </c>
      <c r="D95" s="5" t="s">
        <v>26</v>
      </c>
    </row>
    <row r="96" spans="2:12" hidden="1"/>
    <row r="97" spans="1:19" hidden="1"/>
    <row r="98" spans="1:19" s="253" customFormat="1">
      <c r="A98" s="253" t="s">
        <v>45</v>
      </c>
    </row>
    <row r="99" spans="1:19" s="254" customFormat="1" ht="15.75" thickBot="1"/>
    <row r="101" spans="1:19" ht="17.25">
      <c r="B101" s="250" t="s">
        <v>27</v>
      </c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Q101" s="74" t="s">
        <v>2</v>
      </c>
      <c r="R101" s="74" t="s">
        <v>3</v>
      </c>
      <c r="S101" s="74" t="s">
        <v>1</v>
      </c>
    </row>
    <row r="102" spans="1:19">
      <c r="P102" s="73" t="s">
        <v>22</v>
      </c>
      <c r="Q102" s="21">
        <f>H107</f>
        <v>0</v>
      </c>
      <c r="R102" s="21">
        <f>I107</f>
        <v>0</v>
      </c>
      <c r="S102" s="21">
        <f>G107</f>
        <v>0</v>
      </c>
    </row>
    <row r="103" spans="1:19">
      <c r="B103" s="153" t="s">
        <v>1</v>
      </c>
      <c r="C103" s="153" t="s">
        <v>2</v>
      </c>
      <c r="D103" s="153" t="s">
        <v>3</v>
      </c>
      <c r="G103" s="152" t="s">
        <v>1</v>
      </c>
      <c r="H103" s="152" t="s">
        <v>2</v>
      </c>
      <c r="I103" s="152" t="s">
        <v>3</v>
      </c>
      <c r="P103" s="73" t="s">
        <v>8</v>
      </c>
      <c r="Q103" s="21">
        <f>H123</f>
        <v>2487.0917536714401</v>
      </c>
      <c r="R103" s="21">
        <f>I123</f>
        <v>2122.1334427204151</v>
      </c>
      <c r="S103" s="21">
        <f>G123</f>
        <v>1757.1751317693906</v>
      </c>
    </row>
    <row r="104" spans="1:19">
      <c r="B104" s="9">
        <f>D104/D105</f>
        <v>18.884657534246575</v>
      </c>
      <c r="C104" s="9">
        <f>B104*C105</f>
        <v>56.653972602739728</v>
      </c>
      <c r="D104" s="9">
        <v>37.76931506849315</v>
      </c>
      <c r="F104" s="94" t="s">
        <v>30</v>
      </c>
      <c r="G104" s="189"/>
      <c r="H104" s="189"/>
      <c r="I104" s="189"/>
      <c r="P104" s="73" t="s">
        <v>46</v>
      </c>
      <c r="Q104" s="21">
        <f>H139</f>
        <v>2190.0353715423134</v>
      </c>
      <c r="R104" s="21">
        <f>I139</f>
        <v>2122.1334427204151</v>
      </c>
      <c r="S104" s="21">
        <f>G139</f>
        <v>2054.2315138985173</v>
      </c>
    </row>
    <row r="105" spans="1:19">
      <c r="B105" s="2">
        <v>1</v>
      </c>
      <c r="C105" s="2">
        <v>3</v>
      </c>
      <c r="D105" s="2">
        <v>2</v>
      </c>
      <c r="F105" s="94" t="s">
        <v>5</v>
      </c>
      <c r="G105" s="189"/>
      <c r="H105" s="189"/>
      <c r="I105" s="189"/>
      <c r="P105" s="73" t="s">
        <v>47</v>
      </c>
      <c r="Q105" s="21">
        <f>H155</f>
        <v>0</v>
      </c>
      <c r="R105" s="21">
        <f>I155</f>
        <v>2122.1334427204151</v>
      </c>
      <c r="S105" s="21">
        <f>G155</f>
        <v>0</v>
      </c>
    </row>
    <row r="106" spans="1:19">
      <c r="F106" s="94" t="s">
        <v>7</v>
      </c>
      <c r="G106" s="189"/>
      <c r="H106" s="189"/>
      <c r="I106" s="189"/>
      <c r="P106" s="73" t="s">
        <v>48</v>
      </c>
      <c r="Q106" s="21">
        <f>H171</f>
        <v>0</v>
      </c>
      <c r="R106" s="21">
        <f>I171</f>
        <v>2122.1334427204151</v>
      </c>
      <c r="S106" s="21">
        <f>G171</f>
        <v>0</v>
      </c>
    </row>
    <row r="107" spans="1:19" ht="18">
      <c r="B107" s="251" t="s">
        <v>6</v>
      </c>
      <c r="C107" s="252"/>
      <c r="D107" s="252"/>
      <c r="F107" s="94" t="s">
        <v>10</v>
      </c>
      <c r="G107" s="189"/>
      <c r="H107" s="189"/>
      <c r="I107" s="189"/>
      <c r="J107" s="258" t="s">
        <v>74</v>
      </c>
      <c r="P107" s="73" t="s">
        <v>49</v>
      </c>
      <c r="Q107" s="21">
        <f>H187</f>
        <v>0</v>
      </c>
      <c r="R107" s="21">
        <f>I187</f>
        <v>2122.1334427204151</v>
      </c>
      <c r="S107" s="21">
        <f>G187</f>
        <v>0</v>
      </c>
    </row>
    <row r="108" spans="1:19">
      <c r="B108" s="94" t="s">
        <v>8</v>
      </c>
      <c r="C108" s="5">
        <v>0.25</v>
      </c>
      <c r="D108" s="5" t="s">
        <v>9</v>
      </c>
      <c r="F108" s="94" t="s">
        <v>14</v>
      </c>
      <c r="G108" s="7"/>
      <c r="H108" s="7"/>
      <c r="I108" s="7"/>
      <c r="J108" s="258"/>
    </row>
    <row r="109" spans="1:19" ht="17.25">
      <c r="B109" s="94" t="s">
        <v>11</v>
      </c>
      <c r="C109" s="7" t="s">
        <v>12</v>
      </c>
      <c r="D109" s="5" t="s">
        <v>33</v>
      </c>
      <c r="F109" s="94" t="s">
        <v>10</v>
      </c>
      <c r="G109" s="189"/>
      <c r="H109" s="189"/>
      <c r="I109" s="189"/>
      <c r="J109" s="258" t="s">
        <v>75</v>
      </c>
    </row>
    <row r="110" spans="1:19">
      <c r="B110" s="94" t="s">
        <v>16</v>
      </c>
      <c r="C110" s="5">
        <v>5</v>
      </c>
      <c r="D110" s="5" t="s">
        <v>17</v>
      </c>
      <c r="F110" s="94" t="s">
        <v>14</v>
      </c>
      <c r="G110" s="7"/>
      <c r="H110" s="7"/>
      <c r="I110" s="7"/>
      <c r="J110" s="258"/>
    </row>
    <row r="111" spans="1:19">
      <c r="B111" s="94" t="s">
        <v>18</v>
      </c>
      <c r="C111" s="5">
        <v>2</v>
      </c>
      <c r="D111" s="5" t="s">
        <v>19</v>
      </c>
    </row>
    <row r="112" spans="1:19" ht="17.25">
      <c r="B112" s="94" t="s">
        <v>20</v>
      </c>
      <c r="C112" s="5">
        <v>5</v>
      </c>
      <c r="D112" s="5" t="s">
        <v>21</v>
      </c>
    </row>
    <row r="113" spans="2:19">
      <c r="B113" s="94" t="s">
        <v>36</v>
      </c>
      <c r="C113" s="5">
        <v>4</v>
      </c>
      <c r="D113" s="5" t="s">
        <v>34</v>
      </c>
    </row>
    <row r="114" spans="2:19">
      <c r="B114" s="94" t="s">
        <v>24</v>
      </c>
      <c r="C114" s="5">
        <v>50</v>
      </c>
      <c r="D114" s="5" t="s">
        <v>17</v>
      </c>
    </row>
    <row r="115" spans="2:19">
      <c r="B115" s="94" t="s">
        <v>25</v>
      </c>
      <c r="C115" s="5">
        <v>3</v>
      </c>
      <c r="D115" s="5" t="s">
        <v>26</v>
      </c>
    </row>
    <row r="117" spans="2:19">
      <c r="B117" s="250" t="s">
        <v>50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</row>
    <row r="119" spans="2:19">
      <c r="B119" s="153" t="s">
        <v>1</v>
      </c>
      <c r="C119" s="153" t="s">
        <v>2</v>
      </c>
      <c r="D119" s="153" t="s">
        <v>3</v>
      </c>
      <c r="G119" s="152" t="s">
        <v>1</v>
      </c>
      <c r="H119" s="152" t="s">
        <v>2</v>
      </c>
      <c r="I119" s="152" t="s">
        <v>3</v>
      </c>
    </row>
    <row r="120" spans="2:19">
      <c r="B120" s="9">
        <v>0.1</v>
      </c>
      <c r="C120" s="9">
        <v>0.4</v>
      </c>
      <c r="D120" s="9">
        <v>0.25</v>
      </c>
      <c r="F120" s="73" t="s">
        <v>30</v>
      </c>
      <c r="G120" s="21">
        <v>3566456.0103907995</v>
      </c>
      <c r="H120" s="21">
        <v>3566456.0103907995</v>
      </c>
      <c r="I120" s="21">
        <f>'Escenario 4 (acet)'!C176</f>
        <v>3566456.0103907995</v>
      </c>
    </row>
    <row r="121" spans="2:19">
      <c r="F121" s="73" t="s">
        <v>5</v>
      </c>
      <c r="G121" s="21">
        <v>369422.96587362565</v>
      </c>
      <c r="H121" s="21">
        <v>489672.32967328373</v>
      </c>
      <c r="I121" s="21">
        <f>'Escenario 4 (acet)'!C177</f>
        <v>429547.64777345466</v>
      </c>
    </row>
    <row r="122" spans="2:19">
      <c r="F122" s="73" t="s">
        <v>7</v>
      </c>
      <c r="G122" s="21">
        <v>831295.33563228464</v>
      </c>
      <c r="H122" s="21">
        <v>951544.69943194266</v>
      </c>
      <c r="I122" s="21">
        <f>'Escenario 4 (acet)'!C181</f>
        <v>891420.01753211359</v>
      </c>
    </row>
    <row r="123" spans="2:19" ht="17.25">
      <c r="B123" s="251" t="s">
        <v>6</v>
      </c>
      <c r="C123" s="252"/>
      <c r="D123" s="252"/>
      <c r="F123" s="94" t="s">
        <v>10</v>
      </c>
      <c r="G123" s="189">
        <v>1757.1751317693906</v>
      </c>
      <c r="H123" s="189">
        <v>2487.0917536714401</v>
      </c>
      <c r="I123" s="21">
        <f>'Escenario 4 (acet)'!C182</f>
        <v>2122.1334427204151</v>
      </c>
      <c r="J123" s="258" t="s">
        <v>74</v>
      </c>
    </row>
    <row r="124" spans="2:19" ht="17.25">
      <c r="B124" s="94" t="s">
        <v>22</v>
      </c>
      <c r="C124" s="5">
        <v>37.770000000000003</v>
      </c>
      <c r="D124" s="5" t="s">
        <v>23</v>
      </c>
      <c r="F124" s="94" t="s">
        <v>14</v>
      </c>
      <c r="G124" s="7">
        <f>I124</f>
        <v>164.74397238181376</v>
      </c>
      <c r="H124" s="7">
        <f>I124</f>
        <v>164.74397238181376</v>
      </c>
      <c r="I124" s="9">
        <f>'Escenario 4 (acet)'!C191</f>
        <v>164.74397238181376</v>
      </c>
      <c r="J124" s="258"/>
    </row>
    <row r="125" spans="2:19" ht="17.25">
      <c r="B125" s="94" t="s">
        <v>11</v>
      </c>
      <c r="C125" s="7" t="s">
        <v>12</v>
      </c>
      <c r="D125" s="5" t="s">
        <v>33</v>
      </c>
      <c r="F125" s="94" t="s">
        <v>10</v>
      </c>
      <c r="G125" s="189">
        <f>I125</f>
        <v>342.56130727919367</v>
      </c>
      <c r="H125" s="189">
        <f>I125</f>
        <v>342.56130727919367</v>
      </c>
      <c r="I125" s="21">
        <f>'Escenario 4 (acet)'!C183</f>
        <v>342.56130727919367</v>
      </c>
      <c r="J125" s="258" t="s">
        <v>75</v>
      </c>
    </row>
    <row r="126" spans="2:19">
      <c r="B126" s="94" t="s">
        <v>16</v>
      </c>
      <c r="C126" s="5">
        <v>5</v>
      </c>
      <c r="D126" s="5" t="s">
        <v>17</v>
      </c>
      <c r="F126" s="94" t="s">
        <v>14</v>
      </c>
      <c r="G126" s="7">
        <f>I126</f>
        <v>1581.647759805144</v>
      </c>
      <c r="H126" s="7">
        <f>I126</f>
        <v>1581.647759805144</v>
      </c>
      <c r="I126" s="9">
        <f>'Escenario 4 (acet)'!C192</f>
        <v>1581.647759805144</v>
      </c>
      <c r="J126" s="258"/>
    </row>
    <row r="127" spans="2:19">
      <c r="B127" s="94" t="s">
        <v>18</v>
      </c>
      <c r="C127" s="5">
        <v>2</v>
      </c>
      <c r="D127" s="5" t="s">
        <v>19</v>
      </c>
      <c r="Q127" s="74" t="s">
        <v>2</v>
      </c>
      <c r="R127" s="74" t="s">
        <v>3</v>
      </c>
      <c r="S127" s="74" t="s">
        <v>1</v>
      </c>
    </row>
    <row r="128" spans="2:19" ht="17.25">
      <c r="B128" s="94" t="s">
        <v>20</v>
      </c>
      <c r="C128" s="5">
        <v>5</v>
      </c>
      <c r="D128" s="5" t="s">
        <v>21</v>
      </c>
      <c r="P128" s="73" t="s">
        <v>22</v>
      </c>
      <c r="Q128" s="9">
        <f>H108</f>
        <v>0</v>
      </c>
      <c r="R128" s="9">
        <f>I108</f>
        <v>0</v>
      </c>
      <c r="S128" s="9">
        <f>G108</f>
        <v>0</v>
      </c>
    </row>
    <row r="129" spans="2:19">
      <c r="B129" s="94" t="s">
        <v>36</v>
      </c>
      <c r="C129" s="5">
        <v>4</v>
      </c>
      <c r="D129" s="5" t="s">
        <v>34</v>
      </c>
      <c r="P129" s="73" t="s">
        <v>8</v>
      </c>
      <c r="Q129" s="9">
        <f>R129</f>
        <v>164.74397238181376</v>
      </c>
      <c r="R129" s="9">
        <f>I124</f>
        <v>164.74397238181376</v>
      </c>
      <c r="S129" s="9">
        <f>R129</f>
        <v>164.74397238181376</v>
      </c>
    </row>
    <row r="130" spans="2:19">
      <c r="B130" s="94" t="s">
        <v>24</v>
      </c>
      <c r="C130" s="5">
        <v>50</v>
      </c>
      <c r="D130" s="5" t="s">
        <v>17</v>
      </c>
      <c r="P130" s="73" t="s">
        <v>46</v>
      </c>
      <c r="Q130" s="9">
        <f t="shared" ref="Q130:Q133" si="17">R130</f>
        <v>164.74397238181376</v>
      </c>
      <c r="R130" s="9">
        <f t="shared" ref="R130:R133" si="18">R129</f>
        <v>164.74397238181376</v>
      </c>
      <c r="S130" s="9">
        <f t="shared" ref="S130:S133" si="19">R130</f>
        <v>164.74397238181376</v>
      </c>
    </row>
    <row r="131" spans="2:19">
      <c r="B131" s="94" t="s">
        <v>25</v>
      </c>
      <c r="C131" s="5">
        <v>3</v>
      </c>
      <c r="D131" s="5" t="s">
        <v>26</v>
      </c>
      <c r="P131" s="73" t="s">
        <v>47</v>
      </c>
      <c r="Q131" s="9">
        <f t="shared" si="17"/>
        <v>164.74397238181376</v>
      </c>
      <c r="R131" s="9">
        <f t="shared" si="18"/>
        <v>164.74397238181376</v>
      </c>
      <c r="S131" s="9">
        <f t="shared" si="19"/>
        <v>164.74397238181376</v>
      </c>
    </row>
    <row r="132" spans="2:19">
      <c r="P132" s="73" t="s">
        <v>48</v>
      </c>
      <c r="Q132" s="9">
        <f t="shared" si="17"/>
        <v>164.74397238181376</v>
      </c>
      <c r="R132" s="9">
        <f t="shared" si="18"/>
        <v>164.74397238181376</v>
      </c>
      <c r="S132" s="9">
        <f t="shared" si="19"/>
        <v>164.74397238181376</v>
      </c>
    </row>
    <row r="133" spans="2:19" ht="18">
      <c r="B133" s="250" t="s">
        <v>51</v>
      </c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P133" s="73" t="s">
        <v>49</v>
      </c>
      <c r="Q133" s="9">
        <f t="shared" si="17"/>
        <v>164.74397238181376</v>
      </c>
      <c r="R133" s="9">
        <f t="shared" si="18"/>
        <v>164.74397238181376</v>
      </c>
      <c r="S133" s="9">
        <f t="shared" si="19"/>
        <v>164.74397238181376</v>
      </c>
    </row>
    <row r="135" spans="2:19">
      <c r="B135" s="153" t="s">
        <v>1</v>
      </c>
      <c r="C135" s="153" t="s">
        <v>2</v>
      </c>
      <c r="D135" s="153" t="s">
        <v>3</v>
      </c>
      <c r="G135" s="152" t="s">
        <v>1</v>
      </c>
      <c r="H135" s="152" t="s">
        <v>2</v>
      </c>
      <c r="I135" s="152" t="s">
        <v>3</v>
      </c>
    </row>
    <row r="136" spans="2:19">
      <c r="B136" s="9">
        <v>0.1</v>
      </c>
      <c r="C136" s="9">
        <v>0.18</v>
      </c>
      <c r="D136" s="9">
        <v>0.14000000000000001</v>
      </c>
      <c r="F136" s="73" t="s">
        <v>30</v>
      </c>
      <c r="G136" s="21">
        <v>3566456.0103907995</v>
      </c>
      <c r="H136" s="21">
        <v>3566456.0103907995</v>
      </c>
      <c r="I136" s="21">
        <f>I120</f>
        <v>3566456.0103907995</v>
      </c>
    </row>
    <row r="137" spans="2:19">
      <c r="F137" s="73" t="s">
        <v>5</v>
      </c>
      <c r="G137" s="21">
        <v>418361.21428694809</v>
      </c>
      <c r="H137" s="21">
        <v>440734.08125996136</v>
      </c>
      <c r="I137" s="21">
        <f t="shared" ref="I137:I142" si="20">I121</f>
        <v>429547.64777345466</v>
      </c>
    </row>
    <row r="138" spans="2:19">
      <c r="F138" s="73" t="s">
        <v>7</v>
      </c>
      <c r="G138" s="21">
        <v>880233.58404560701</v>
      </c>
      <c r="H138" s="21">
        <v>902606.45101862028</v>
      </c>
      <c r="I138" s="21">
        <f t="shared" si="20"/>
        <v>891420.01753211359</v>
      </c>
    </row>
    <row r="139" spans="2:19" ht="17.25">
      <c r="B139" s="251" t="s">
        <v>6</v>
      </c>
      <c r="C139" s="252"/>
      <c r="D139" s="252"/>
      <c r="F139" s="94" t="s">
        <v>10</v>
      </c>
      <c r="G139" s="189">
        <v>2054.2315138985173</v>
      </c>
      <c r="H139" s="189">
        <v>2190.0353715423134</v>
      </c>
      <c r="I139" s="21">
        <f t="shared" si="20"/>
        <v>2122.1334427204151</v>
      </c>
      <c r="J139" s="258" t="s">
        <v>74</v>
      </c>
    </row>
    <row r="140" spans="2:19" ht="17.25">
      <c r="B140" s="94" t="s">
        <v>22</v>
      </c>
      <c r="C140" s="5">
        <v>37.770000000000003</v>
      </c>
      <c r="D140" s="5" t="s">
        <v>23</v>
      </c>
      <c r="F140" s="94" t="s">
        <v>14</v>
      </c>
      <c r="G140" s="7">
        <f>I140</f>
        <v>164.74397238181376</v>
      </c>
      <c r="H140" s="7">
        <f>I140</f>
        <v>164.74397238181376</v>
      </c>
      <c r="I140" s="9">
        <f t="shared" si="20"/>
        <v>164.74397238181376</v>
      </c>
      <c r="J140" s="258"/>
    </row>
    <row r="141" spans="2:19" ht="17.25">
      <c r="B141" s="94" t="s">
        <v>11</v>
      </c>
      <c r="C141" s="7" t="s">
        <v>12</v>
      </c>
      <c r="D141" s="5" t="s">
        <v>33</v>
      </c>
      <c r="F141" s="94" t="s">
        <v>10</v>
      </c>
      <c r="G141" s="189">
        <f t="shared" ref="G141:H141" si="21">G125</f>
        <v>342.56130727919367</v>
      </c>
      <c r="H141" s="189">
        <f t="shared" si="21"/>
        <v>342.56130727919367</v>
      </c>
      <c r="I141" s="21">
        <f t="shared" si="20"/>
        <v>342.56130727919367</v>
      </c>
      <c r="J141" s="258" t="s">
        <v>75</v>
      </c>
    </row>
    <row r="142" spans="2:19">
      <c r="B142" s="94" t="s">
        <v>16</v>
      </c>
      <c r="C142" s="5">
        <v>5</v>
      </c>
      <c r="D142" s="5" t="s">
        <v>17</v>
      </c>
      <c r="F142" s="94" t="s">
        <v>14</v>
      </c>
      <c r="G142" s="7">
        <f>I142</f>
        <v>1581.647759805144</v>
      </c>
      <c r="H142" s="7">
        <f>I142</f>
        <v>1581.647759805144</v>
      </c>
      <c r="I142" s="9">
        <f t="shared" si="20"/>
        <v>1581.647759805144</v>
      </c>
      <c r="J142" s="258"/>
    </row>
    <row r="143" spans="2:19">
      <c r="B143" s="94" t="s">
        <v>18</v>
      </c>
      <c r="C143" s="5">
        <v>2</v>
      </c>
      <c r="D143" s="5" t="s">
        <v>19</v>
      </c>
    </row>
    <row r="144" spans="2:19" ht="17.25">
      <c r="B144" s="94" t="s">
        <v>20</v>
      </c>
      <c r="C144" s="5">
        <v>5</v>
      </c>
      <c r="D144" s="5" t="s">
        <v>21</v>
      </c>
    </row>
    <row r="145" spans="2:12">
      <c r="B145" s="94" t="s">
        <v>36</v>
      </c>
      <c r="C145" s="5">
        <v>4</v>
      </c>
      <c r="D145" s="5" t="s">
        <v>34</v>
      </c>
    </row>
    <row r="146" spans="2:12">
      <c r="B146" s="94" t="s">
        <v>24</v>
      </c>
      <c r="C146" s="5">
        <v>50</v>
      </c>
      <c r="D146" s="5" t="s">
        <v>17</v>
      </c>
    </row>
    <row r="147" spans="2:12">
      <c r="B147" s="94" t="s">
        <v>25</v>
      </c>
      <c r="C147" s="5">
        <v>3</v>
      </c>
      <c r="D147" s="5" t="s">
        <v>26</v>
      </c>
    </row>
    <row r="149" spans="2:12">
      <c r="B149" s="250" t="s">
        <v>52</v>
      </c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</row>
    <row r="151" spans="2:12">
      <c r="B151" s="153" t="s">
        <v>1</v>
      </c>
      <c r="C151" s="153" t="s">
        <v>2</v>
      </c>
      <c r="D151" s="153" t="s">
        <v>3</v>
      </c>
      <c r="G151" s="152" t="s">
        <v>1</v>
      </c>
      <c r="H151" s="152" t="s">
        <v>2</v>
      </c>
      <c r="I151" s="152" t="s">
        <v>3</v>
      </c>
    </row>
    <row r="152" spans="2:12">
      <c r="B152" s="9">
        <v>0.25</v>
      </c>
      <c r="C152" s="9">
        <v>0.75</v>
      </c>
      <c r="D152" s="9">
        <v>0.5</v>
      </c>
      <c r="F152" s="73" t="s">
        <v>30</v>
      </c>
      <c r="G152" s="21"/>
      <c r="H152" s="21"/>
      <c r="I152" s="21">
        <f>I136</f>
        <v>3566456.0103907995</v>
      </c>
    </row>
    <row r="153" spans="2:12">
      <c r="F153" s="73" t="s">
        <v>5</v>
      </c>
      <c r="G153" s="21"/>
      <c r="H153" s="21"/>
      <c r="I153" s="21">
        <f t="shared" ref="I153:I158" si="22">I137</f>
        <v>429547.64777345466</v>
      </c>
    </row>
    <row r="154" spans="2:12">
      <c r="F154" s="73" t="s">
        <v>7</v>
      </c>
      <c r="G154" s="21"/>
      <c r="H154" s="21"/>
      <c r="I154" s="21">
        <f t="shared" si="22"/>
        <v>891420.01753211359</v>
      </c>
    </row>
    <row r="155" spans="2:12" ht="17.25">
      <c r="B155" s="251" t="s">
        <v>6</v>
      </c>
      <c r="C155" s="252"/>
      <c r="D155" s="252"/>
      <c r="F155" s="94" t="s">
        <v>10</v>
      </c>
      <c r="G155" s="189"/>
      <c r="H155" s="189"/>
      <c r="I155" s="21">
        <f t="shared" si="22"/>
        <v>2122.1334427204151</v>
      </c>
      <c r="J155" s="258" t="s">
        <v>74</v>
      </c>
    </row>
    <row r="156" spans="2:12" ht="17.25">
      <c r="B156" s="94" t="s">
        <v>22</v>
      </c>
      <c r="C156" s="5">
        <v>37.770000000000003</v>
      </c>
      <c r="D156" s="5" t="s">
        <v>23</v>
      </c>
      <c r="F156" s="94" t="s">
        <v>14</v>
      </c>
      <c r="G156" s="7">
        <f>I156</f>
        <v>164.74397238181376</v>
      </c>
      <c r="H156" s="7">
        <f>I156</f>
        <v>164.74397238181376</v>
      </c>
      <c r="I156" s="9">
        <f t="shared" si="22"/>
        <v>164.74397238181376</v>
      </c>
      <c r="J156" s="258"/>
    </row>
    <row r="157" spans="2:12" ht="17.25">
      <c r="B157" s="94" t="s">
        <v>11</v>
      </c>
      <c r="C157" s="7" t="s">
        <v>12</v>
      </c>
      <c r="D157" s="5" t="s">
        <v>33</v>
      </c>
      <c r="F157" s="94" t="s">
        <v>10</v>
      </c>
      <c r="G157" s="189">
        <f t="shared" ref="G157:H157" si="23">G141</f>
        <v>342.56130727919367</v>
      </c>
      <c r="H157" s="189">
        <f t="shared" si="23"/>
        <v>342.56130727919367</v>
      </c>
      <c r="I157" s="21">
        <f t="shared" si="22"/>
        <v>342.56130727919367</v>
      </c>
      <c r="J157" s="258" t="s">
        <v>75</v>
      </c>
    </row>
    <row r="158" spans="2:12">
      <c r="B158" s="94" t="s">
        <v>16</v>
      </c>
      <c r="C158" s="5">
        <v>5</v>
      </c>
      <c r="D158" s="5" t="s">
        <v>17</v>
      </c>
      <c r="F158" s="94" t="s">
        <v>14</v>
      </c>
      <c r="G158" s="7">
        <f>I158</f>
        <v>1581.647759805144</v>
      </c>
      <c r="H158" s="7">
        <f>I158</f>
        <v>1581.647759805144</v>
      </c>
      <c r="I158" s="9">
        <f t="shared" si="22"/>
        <v>1581.647759805144</v>
      </c>
      <c r="J158" s="258"/>
    </row>
    <row r="159" spans="2:12">
      <c r="B159" s="94" t="s">
        <v>18</v>
      </c>
      <c r="C159" s="5">
        <v>2</v>
      </c>
      <c r="D159" s="5" t="s">
        <v>19</v>
      </c>
    </row>
    <row r="160" spans="2:12" ht="17.25">
      <c r="B160" s="94" t="s">
        <v>20</v>
      </c>
      <c r="C160" s="5">
        <v>5</v>
      </c>
      <c r="D160" s="5" t="s">
        <v>21</v>
      </c>
    </row>
    <row r="161" spans="2:12">
      <c r="B161" s="94" t="s">
        <v>36</v>
      </c>
      <c r="C161" s="5">
        <v>4</v>
      </c>
      <c r="D161" s="5" t="s">
        <v>34</v>
      </c>
    </row>
    <row r="162" spans="2:12">
      <c r="B162" s="94" t="s">
        <v>24</v>
      </c>
      <c r="C162" s="5">
        <v>50</v>
      </c>
      <c r="D162" s="5" t="s">
        <v>17</v>
      </c>
    </row>
    <row r="163" spans="2:12">
      <c r="B163" s="94" t="s">
        <v>25</v>
      </c>
      <c r="C163" s="5">
        <v>3</v>
      </c>
      <c r="D163" s="5" t="s">
        <v>26</v>
      </c>
    </row>
    <row r="165" spans="2:12">
      <c r="B165" s="250" t="s">
        <v>53</v>
      </c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</row>
    <row r="167" spans="2:12">
      <c r="B167" s="153" t="s">
        <v>1</v>
      </c>
      <c r="C167" s="153" t="s">
        <v>2</v>
      </c>
      <c r="D167" s="153" t="s">
        <v>3</v>
      </c>
      <c r="G167" s="152" t="s">
        <v>1</v>
      </c>
      <c r="H167" s="152" t="s">
        <v>2</v>
      </c>
      <c r="I167" s="152" t="s">
        <v>3</v>
      </c>
    </row>
    <row r="168" spans="2:12">
      <c r="B168" s="9">
        <v>5</v>
      </c>
      <c r="C168" s="9">
        <v>15</v>
      </c>
      <c r="D168" s="9">
        <v>10</v>
      </c>
      <c r="F168" s="73" t="s">
        <v>30</v>
      </c>
      <c r="G168" s="21"/>
      <c r="H168" s="21"/>
      <c r="I168" s="21">
        <f>I152</f>
        <v>3566456.0103907995</v>
      </c>
    </row>
    <row r="169" spans="2:12">
      <c r="F169" s="73" t="s">
        <v>5</v>
      </c>
      <c r="G169" s="21"/>
      <c r="H169" s="21"/>
      <c r="I169" s="21">
        <f t="shared" ref="I169:I174" si="24">I153</f>
        <v>429547.64777345466</v>
      </c>
    </row>
    <row r="170" spans="2:12">
      <c r="F170" s="73" t="s">
        <v>7</v>
      </c>
      <c r="G170" s="21"/>
      <c r="H170" s="21"/>
      <c r="I170" s="21">
        <f t="shared" si="24"/>
        <v>891420.01753211359</v>
      </c>
    </row>
    <row r="171" spans="2:12" ht="17.25">
      <c r="B171" s="251" t="s">
        <v>6</v>
      </c>
      <c r="C171" s="252"/>
      <c r="D171" s="252"/>
      <c r="F171" s="94" t="s">
        <v>10</v>
      </c>
      <c r="G171" s="189"/>
      <c r="H171" s="189"/>
      <c r="I171" s="21">
        <f t="shared" si="24"/>
        <v>2122.1334427204151</v>
      </c>
      <c r="J171" s="258" t="s">
        <v>74</v>
      </c>
    </row>
    <row r="172" spans="2:12" ht="17.25">
      <c r="B172" s="94" t="s">
        <v>22</v>
      </c>
      <c r="C172" s="5">
        <v>37.770000000000003</v>
      </c>
      <c r="D172" s="5" t="s">
        <v>23</v>
      </c>
      <c r="F172" s="94" t="s">
        <v>14</v>
      </c>
      <c r="G172" s="7">
        <f>I172</f>
        <v>164.74397238181376</v>
      </c>
      <c r="H172" s="7">
        <f>I172</f>
        <v>164.74397238181376</v>
      </c>
      <c r="I172" s="9">
        <f t="shared" si="24"/>
        <v>164.74397238181376</v>
      </c>
      <c r="J172" s="258"/>
    </row>
    <row r="173" spans="2:12" ht="17.25">
      <c r="B173" s="94" t="s">
        <v>11</v>
      </c>
      <c r="C173" s="7" t="s">
        <v>12</v>
      </c>
      <c r="D173" s="5" t="s">
        <v>33</v>
      </c>
      <c r="F173" s="94" t="s">
        <v>10</v>
      </c>
      <c r="G173" s="189">
        <f t="shared" ref="G173:H173" si="25">G157</f>
        <v>342.56130727919367</v>
      </c>
      <c r="H173" s="189">
        <f t="shared" si="25"/>
        <v>342.56130727919367</v>
      </c>
      <c r="I173" s="21">
        <f t="shared" si="24"/>
        <v>342.56130727919367</v>
      </c>
      <c r="J173" s="258" t="s">
        <v>75</v>
      </c>
    </row>
    <row r="174" spans="2:12">
      <c r="B174" s="94" t="s">
        <v>16</v>
      </c>
      <c r="C174" s="5">
        <v>5</v>
      </c>
      <c r="D174" s="5" t="s">
        <v>17</v>
      </c>
      <c r="F174" s="94" t="s">
        <v>14</v>
      </c>
      <c r="G174" s="7">
        <f>I174</f>
        <v>1581.647759805144</v>
      </c>
      <c r="H174" s="7">
        <f>I174</f>
        <v>1581.647759805144</v>
      </c>
      <c r="I174" s="9">
        <f t="shared" si="24"/>
        <v>1581.647759805144</v>
      </c>
      <c r="J174" s="258"/>
    </row>
    <row r="175" spans="2:12">
      <c r="B175" s="94" t="s">
        <v>18</v>
      </c>
      <c r="C175" s="5">
        <v>2</v>
      </c>
      <c r="D175" s="5" t="s">
        <v>19</v>
      </c>
    </row>
    <row r="176" spans="2:12" ht="17.25">
      <c r="B176" s="94" t="s">
        <v>20</v>
      </c>
      <c r="C176" s="5">
        <v>5</v>
      </c>
      <c r="D176" s="5" t="s">
        <v>21</v>
      </c>
    </row>
    <row r="177" spans="2:12">
      <c r="B177" s="94" t="s">
        <v>36</v>
      </c>
      <c r="C177" s="5">
        <v>4</v>
      </c>
      <c r="D177" s="5" t="s">
        <v>34</v>
      </c>
    </row>
    <row r="178" spans="2:12">
      <c r="B178" s="94" t="s">
        <v>24</v>
      </c>
      <c r="C178" s="5">
        <v>50</v>
      </c>
      <c r="D178" s="5" t="s">
        <v>17</v>
      </c>
    </row>
    <row r="179" spans="2:12">
      <c r="B179" s="94" t="s">
        <v>25</v>
      </c>
      <c r="C179" s="5">
        <v>3</v>
      </c>
      <c r="D179" s="5" t="s">
        <v>26</v>
      </c>
    </row>
    <row r="181" spans="2:12" ht="18">
      <c r="B181" s="250" t="s">
        <v>54</v>
      </c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</row>
    <row r="183" spans="2:12">
      <c r="B183" s="153" t="s">
        <v>1</v>
      </c>
      <c r="C183" s="153" t="s">
        <v>2</v>
      </c>
      <c r="D183" s="153" t="s">
        <v>3</v>
      </c>
      <c r="G183" s="152" t="s">
        <v>1</v>
      </c>
      <c r="H183" s="152" t="s">
        <v>2</v>
      </c>
      <c r="I183" s="152" t="s">
        <v>3</v>
      </c>
    </row>
    <row r="184" spans="2:12">
      <c r="B184" s="9">
        <v>0.05</v>
      </c>
      <c r="C184" s="9">
        <v>0.15</v>
      </c>
      <c r="D184" s="9">
        <v>0.1</v>
      </c>
      <c r="F184" s="73" t="s">
        <v>30</v>
      </c>
      <c r="G184" s="21"/>
      <c r="H184" s="21"/>
      <c r="I184" s="21">
        <f>I168</f>
        <v>3566456.0103907995</v>
      </c>
    </row>
    <row r="185" spans="2:12">
      <c r="F185" s="73" t="s">
        <v>5</v>
      </c>
      <c r="G185" s="21"/>
      <c r="H185" s="21"/>
      <c r="I185" s="21">
        <f t="shared" ref="I185:I190" si="26">I169</f>
        <v>429547.64777345466</v>
      </c>
    </row>
    <row r="186" spans="2:12">
      <c r="F186" s="73" t="s">
        <v>7</v>
      </c>
      <c r="G186" s="21"/>
      <c r="H186" s="21"/>
      <c r="I186" s="21">
        <f t="shared" si="26"/>
        <v>891420.01753211359</v>
      </c>
    </row>
    <row r="187" spans="2:12" ht="17.25">
      <c r="B187" s="251" t="s">
        <v>6</v>
      </c>
      <c r="C187" s="252"/>
      <c r="D187" s="252"/>
      <c r="F187" s="94" t="s">
        <v>10</v>
      </c>
      <c r="G187" s="189"/>
      <c r="H187" s="189"/>
      <c r="I187" s="21">
        <f t="shared" si="26"/>
        <v>2122.1334427204151</v>
      </c>
      <c r="J187" s="258" t="s">
        <v>74</v>
      </c>
    </row>
    <row r="188" spans="2:12" ht="17.25">
      <c r="B188" s="94" t="s">
        <v>22</v>
      </c>
      <c r="C188" s="5">
        <v>37.770000000000003</v>
      </c>
      <c r="D188" s="5" t="s">
        <v>23</v>
      </c>
      <c r="F188" s="94" t="s">
        <v>14</v>
      </c>
      <c r="G188" s="7">
        <f>I188</f>
        <v>164.74397238181376</v>
      </c>
      <c r="H188" s="7">
        <f>I188</f>
        <v>164.74397238181376</v>
      </c>
      <c r="I188" s="9">
        <f t="shared" si="26"/>
        <v>164.74397238181376</v>
      </c>
      <c r="J188" s="258"/>
    </row>
    <row r="189" spans="2:12" ht="17.25">
      <c r="B189" s="94" t="s">
        <v>11</v>
      </c>
      <c r="C189" s="7" t="s">
        <v>12</v>
      </c>
      <c r="D189" s="5" t="s">
        <v>33</v>
      </c>
      <c r="F189" s="94" t="s">
        <v>10</v>
      </c>
      <c r="G189" s="189">
        <f t="shared" ref="G189:H189" si="27">G173</f>
        <v>342.56130727919367</v>
      </c>
      <c r="H189" s="189">
        <f t="shared" si="27"/>
        <v>342.56130727919367</v>
      </c>
      <c r="I189" s="21">
        <f t="shared" si="26"/>
        <v>342.56130727919367</v>
      </c>
      <c r="J189" s="258" t="s">
        <v>75</v>
      </c>
    </row>
    <row r="190" spans="2:12">
      <c r="B190" s="94" t="s">
        <v>16</v>
      </c>
      <c r="C190" s="5">
        <v>5</v>
      </c>
      <c r="D190" s="5" t="s">
        <v>17</v>
      </c>
      <c r="F190" s="94" t="s">
        <v>14</v>
      </c>
      <c r="G190" s="7">
        <f>I190</f>
        <v>1581.647759805144</v>
      </c>
      <c r="H190" s="7">
        <f>I190</f>
        <v>1581.647759805144</v>
      </c>
      <c r="I190" s="9">
        <f t="shared" si="26"/>
        <v>1581.647759805144</v>
      </c>
      <c r="J190" s="258"/>
    </row>
    <row r="191" spans="2:12">
      <c r="B191" s="94" t="s">
        <v>18</v>
      </c>
      <c r="C191" s="5">
        <v>2</v>
      </c>
      <c r="D191" s="5" t="s">
        <v>19</v>
      </c>
    </row>
    <row r="192" spans="2:12" ht="17.25">
      <c r="B192" s="94" t="s">
        <v>20</v>
      </c>
      <c r="C192" s="5">
        <v>5</v>
      </c>
      <c r="D192" s="5" t="s">
        <v>21</v>
      </c>
    </row>
    <row r="193" spans="2:12">
      <c r="B193" s="94" t="s">
        <v>36</v>
      </c>
      <c r="C193" s="5">
        <v>4</v>
      </c>
      <c r="D193" s="5" t="s">
        <v>34</v>
      </c>
    </row>
    <row r="194" spans="2:12">
      <c r="B194" s="94" t="s">
        <v>24</v>
      </c>
      <c r="C194" s="5">
        <v>50</v>
      </c>
      <c r="D194" s="5" t="s">
        <v>17</v>
      </c>
    </row>
    <row r="195" spans="2:12">
      <c r="B195" s="94" t="s">
        <v>25</v>
      </c>
      <c r="C195" s="5">
        <v>3</v>
      </c>
      <c r="D195" s="5" t="s">
        <v>26</v>
      </c>
    </row>
    <row r="197" spans="2:12" ht="17.25">
      <c r="B197" s="250" t="s">
        <v>27</v>
      </c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</row>
    <row r="199" spans="2:12">
      <c r="B199" s="153" t="s">
        <v>1</v>
      </c>
      <c r="C199" s="153" t="s">
        <v>2</v>
      </c>
      <c r="D199" s="153" t="s">
        <v>3</v>
      </c>
      <c r="G199" s="152" t="s">
        <v>1</v>
      </c>
      <c r="H199" s="152" t="s">
        <v>2</v>
      </c>
      <c r="I199" s="152" t="s">
        <v>3</v>
      </c>
    </row>
    <row r="200" spans="2:12">
      <c r="B200" s="9">
        <f>D200*0.9</f>
        <v>33.992383561643834</v>
      </c>
      <c r="C200" s="9">
        <f>D200*1.1</f>
        <v>41.546246575342465</v>
      </c>
      <c r="D200" s="9">
        <v>37.76931506849315</v>
      </c>
      <c r="F200" s="73" t="s">
        <v>30</v>
      </c>
      <c r="G200" s="21">
        <v>3566456.0103907995</v>
      </c>
      <c r="H200" s="21">
        <v>3566456.0103907995</v>
      </c>
      <c r="I200" s="21">
        <f>I184</f>
        <v>3566456.0103907995</v>
      </c>
    </row>
    <row r="201" spans="2:12">
      <c r="F201" s="73" t="s">
        <v>5</v>
      </c>
      <c r="G201" s="21">
        <v>407279.70756634721</v>
      </c>
      <c r="H201" s="21">
        <v>453504.87774883455</v>
      </c>
      <c r="I201" s="21">
        <f t="shared" ref="I201:I203" si="28">I185</f>
        <v>429547.64777345466</v>
      </c>
    </row>
    <row r="202" spans="2:12">
      <c r="F202" s="73" t="s">
        <v>7</v>
      </c>
      <c r="G202" s="21">
        <v>869152.07732500613</v>
      </c>
      <c r="H202" s="21">
        <v>915377.24750749348</v>
      </c>
      <c r="I202" s="21">
        <f t="shared" si="28"/>
        <v>891420.01753211359</v>
      </c>
    </row>
    <row r="203" spans="2:12" ht="17.25">
      <c r="F203" s="94" t="s">
        <v>10</v>
      </c>
      <c r="G203" s="189">
        <v>2567.055641999902</v>
      </c>
      <c r="H203" s="189">
        <v>1767.4280349537776</v>
      </c>
      <c r="I203" s="21">
        <f t="shared" si="28"/>
        <v>2122.1334427204151</v>
      </c>
      <c r="J203" s="258" t="s">
        <v>74</v>
      </c>
    </row>
    <row r="204" spans="2:12">
      <c r="F204" s="94" t="s">
        <v>14</v>
      </c>
      <c r="G204" s="7">
        <v>148.26957514363224</v>
      </c>
      <c r="H204" s="7">
        <v>181.21836961999497</v>
      </c>
      <c r="I204" s="9">
        <f>I188</f>
        <v>164.74397238181376</v>
      </c>
      <c r="J204" s="258"/>
    </row>
    <row r="205" spans="2:12" ht="17.25">
      <c r="F205" s="94" t="s">
        <v>10</v>
      </c>
      <c r="G205" s="189">
        <f>H205</f>
        <v>342.56130727919367</v>
      </c>
      <c r="H205" s="189">
        <f>I205</f>
        <v>342.56130727919367</v>
      </c>
      <c r="I205" s="21">
        <f>I189</f>
        <v>342.56130727919367</v>
      </c>
      <c r="J205" s="258" t="s">
        <v>75</v>
      </c>
    </row>
    <row r="206" spans="2:12">
      <c r="F206" s="94" t="s">
        <v>14</v>
      </c>
      <c r="G206" s="7">
        <v>1426.1267035551421</v>
      </c>
      <c r="H206" s="7">
        <v>1737.1688160551416</v>
      </c>
      <c r="I206" s="9">
        <f>I190</f>
        <v>1581.647759805144</v>
      </c>
      <c r="J206" s="258"/>
    </row>
  </sheetData>
  <mergeCells count="52">
    <mergeCell ref="J173:J174"/>
    <mergeCell ref="B181:L181"/>
    <mergeCell ref="B187:D187"/>
    <mergeCell ref="J187:J188"/>
    <mergeCell ref="J189:J190"/>
    <mergeCell ref="B155:D155"/>
    <mergeCell ref="J155:J156"/>
    <mergeCell ref="J157:J158"/>
    <mergeCell ref="B165:L165"/>
    <mergeCell ref="B171:D171"/>
    <mergeCell ref="J171:J172"/>
    <mergeCell ref="B149:L149"/>
    <mergeCell ref="B101:L101"/>
    <mergeCell ref="B107:D107"/>
    <mergeCell ref="J107:J108"/>
    <mergeCell ref="J109:J110"/>
    <mergeCell ref="B117:L117"/>
    <mergeCell ref="B123:D123"/>
    <mergeCell ref="J123:J124"/>
    <mergeCell ref="J125:J126"/>
    <mergeCell ref="B133:L133"/>
    <mergeCell ref="B139:D139"/>
    <mergeCell ref="J139:J140"/>
    <mergeCell ref="J141:J142"/>
    <mergeCell ref="A98:XFD99"/>
    <mergeCell ref="B47:D47"/>
    <mergeCell ref="J48:J49"/>
    <mergeCell ref="J50:J51"/>
    <mergeCell ref="B62:L62"/>
    <mergeCell ref="B67:D67"/>
    <mergeCell ref="J68:J69"/>
    <mergeCell ref="J70:J71"/>
    <mergeCell ref="B82:L82"/>
    <mergeCell ref="B87:D87"/>
    <mergeCell ref="J88:J89"/>
    <mergeCell ref="J90:J91"/>
    <mergeCell ref="B197:L197"/>
    <mergeCell ref="J203:J204"/>
    <mergeCell ref="J205:J206"/>
    <mergeCell ref="V43:V44"/>
    <mergeCell ref="B2:L2"/>
    <mergeCell ref="B7:D7"/>
    <mergeCell ref="J8:J9"/>
    <mergeCell ref="J10:J11"/>
    <mergeCell ref="B22:L22"/>
    <mergeCell ref="B28:D28"/>
    <mergeCell ref="J28:J29"/>
    <mergeCell ref="P28:U28"/>
    <mergeCell ref="J30:J31"/>
    <mergeCell ref="V33:V34"/>
    <mergeCell ref="P38:U38"/>
    <mergeCell ref="B42:L42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F2F00-A4F8-44D7-B355-6AF2EA43A1EC}">
  <sheetPr codeName="Hoja5"/>
  <dimension ref="A2:AJ290"/>
  <sheetViews>
    <sheetView topLeftCell="D1" zoomScale="90" zoomScaleNormal="90" workbookViewId="0">
      <selection activeCell="J77" sqref="J77"/>
    </sheetView>
  </sheetViews>
  <sheetFormatPr defaultColWidth="11.42578125" defaultRowHeight="15"/>
  <cols>
    <col min="1" max="1" width="13.140625" bestFit="1" customWidth="1"/>
    <col min="2" max="2" width="13.28515625" bestFit="1" customWidth="1"/>
    <col min="3" max="3" width="18.5703125" bestFit="1" customWidth="1"/>
    <col min="4" max="4" width="15.140625" bestFit="1" customWidth="1"/>
    <col min="5" max="5" width="23.140625" bestFit="1" customWidth="1"/>
    <col min="6" max="6" width="13.5703125" customWidth="1"/>
    <col min="7" max="7" width="14.28515625" customWidth="1"/>
    <col min="8" max="8" width="14.5703125" bestFit="1" customWidth="1"/>
    <col min="9" max="12" width="13.28515625" bestFit="1" customWidth="1"/>
    <col min="13" max="13" width="14.28515625" bestFit="1" customWidth="1"/>
    <col min="14" max="14" width="15.28515625" bestFit="1" customWidth="1"/>
    <col min="15" max="15" width="14.28515625" bestFit="1" customWidth="1"/>
    <col min="16" max="16" width="14.7109375" customWidth="1"/>
    <col min="17" max="17" width="55.85546875" bestFit="1" customWidth="1"/>
    <col min="18" max="35" width="14.28515625" bestFit="1" customWidth="1"/>
  </cols>
  <sheetData>
    <row r="2" spans="2:24">
      <c r="C2" s="257" t="s">
        <v>76</v>
      </c>
      <c r="D2" s="257"/>
      <c r="E2" s="257"/>
      <c r="F2" s="257"/>
      <c r="G2" s="257"/>
      <c r="H2" s="257"/>
      <c r="R2" s="257" t="s">
        <v>76</v>
      </c>
      <c r="S2" s="257"/>
      <c r="T2" s="257"/>
      <c r="U2" s="257"/>
      <c r="V2" s="257"/>
      <c r="W2" s="257"/>
    </row>
    <row r="3" spans="2:24" ht="30">
      <c r="B3" t="s">
        <v>77</v>
      </c>
      <c r="C3" s="168" t="s">
        <v>78</v>
      </c>
      <c r="D3" s="168" t="s">
        <v>79</v>
      </c>
      <c r="E3" s="168" t="s">
        <v>80</v>
      </c>
      <c r="F3" s="167" t="s">
        <v>81</v>
      </c>
      <c r="G3" s="167" t="s">
        <v>82</v>
      </c>
      <c r="H3" s="168" t="s">
        <v>83</v>
      </c>
      <c r="R3" s="169" t="s">
        <v>78</v>
      </c>
      <c r="S3" s="170" t="s">
        <v>79</v>
      </c>
      <c r="T3" s="169" t="s">
        <v>80</v>
      </c>
      <c r="U3" s="169" t="s">
        <v>81</v>
      </c>
      <c r="V3" s="169" t="s">
        <v>82</v>
      </c>
      <c r="W3" s="170" t="s">
        <v>83</v>
      </c>
      <c r="X3" s="170" t="s">
        <v>84</v>
      </c>
    </row>
    <row r="4" spans="2:24">
      <c r="B4" s="2">
        <v>0</v>
      </c>
      <c r="C4" s="91"/>
      <c r="D4" s="91"/>
      <c r="E4" s="91"/>
      <c r="F4" s="91"/>
      <c r="G4" s="91"/>
      <c r="H4" s="91"/>
      <c r="Q4" s="2" t="s">
        <v>85</v>
      </c>
      <c r="R4" s="91">
        <f>C5</f>
        <v>91798.761425601726</v>
      </c>
      <c r="S4" s="91">
        <f>D5</f>
        <v>42455.378274962946</v>
      </c>
      <c r="T4" s="91">
        <f>E5</f>
        <v>20830</v>
      </c>
      <c r="U4" s="91">
        <f>F5</f>
        <v>99160</v>
      </c>
      <c r="V4" s="91">
        <f>G5</f>
        <v>0</v>
      </c>
      <c r="W4" s="91">
        <f>H6</f>
        <v>1042400.9727723151</v>
      </c>
      <c r="X4" s="2">
        <v>0</v>
      </c>
    </row>
    <row r="5" spans="2:24">
      <c r="B5" s="2">
        <v>1</v>
      </c>
      <c r="C5" s="91">
        <f>'Escenario 1'!O69+'Escenario 1'!O70+'Escenario 1'!O71+'Escenario 1'!O72+'Escenario 1'!O78+'Escenario 1'!O79+'Escenario 1'!O81</f>
        <v>91798.761425601726</v>
      </c>
      <c r="D5" s="91">
        <f>'Escenario 1'!O73+'Escenario 1'!O74+'Escenario 1'!O80+'Escenario 1'!O82</f>
        <v>42455.378274962946</v>
      </c>
      <c r="E5" s="91">
        <f>'Escenario 1'!O75+'Escenario 1'!O83</f>
        <v>20830</v>
      </c>
      <c r="F5" s="91">
        <f>'Escenario 1'!O76+'Escenario 1'!O77+'Escenario 1'!O84</f>
        <v>99160</v>
      </c>
      <c r="G5" s="91">
        <v>0</v>
      </c>
      <c r="H5" s="91"/>
      <c r="Q5" s="2" t="s">
        <v>86</v>
      </c>
      <c r="R5" s="91">
        <f>C8</f>
        <v>91798.761425601726</v>
      </c>
      <c r="S5" s="91">
        <f>D8</f>
        <v>290079.39256606367</v>
      </c>
      <c r="T5" s="91">
        <f>E8</f>
        <v>16166.83292935001</v>
      </c>
      <c r="U5" s="91">
        <f>F8</f>
        <v>68187.33171740004</v>
      </c>
      <c r="V5" s="91">
        <f>G8</f>
        <v>0</v>
      </c>
      <c r="W5" s="91">
        <f>H9</f>
        <v>1911552.5064175036</v>
      </c>
      <c r="X5" s="2">
        <v>0</v>
      </c>
    </row>
    <row r="6" spans="2:24">
      <c r="B6" s="2">
        <v>2</v>
      </c>
      <c r="C6" s="91"/>
      <c r="D6" s="91"/>
      <c r="E6" s="91"/>
      <c r="F6" s="91"/>
      <c r="G6" s="91"/>
      <c r="H6" s="91">
        <f>'Escenario 1'!L102</f>
        <v>1042400.9727723151</v>
      </c>
      <c r="Q6" s="2" t="s">
        <v>87</v>
      </c>
      <c r="R6" s="91">
        <f>C11</f>
        <v>91798.761425601813</v>
      </c>
      <c r="S6" s="91">
        <f>D11</f>
        <v>42455.37827496299</v>
      </c>
      <c r="T6" s="91">
        <f>E11</f>
        <v>20830</v>
      </c>
      <c r="U6" s="91">
        <f>F11</f>
        <v>103560</v>
      </c>
      <c r="V6" s="91">
        <f>G11</f>
        <v>135053.3397264005</v>
      </c>
      <c r="W6" s="91">
        <f>H12</f>
        <v>1614159.6656505577</v>
      </c>
      <c r="X6" s="2">
        <v>0</v>
      </c>
    </row>
    <row r="7" spans="2:24">
      <c r="B7" s="2">
        <v>3</v>
      </c>
      <c r="C7" s="91"/>
      <c r="D7" s="91"/>
      <c r="E7" s="91"/>
      <c r="F7" s="91"/>
      <c r="G7" s="91"/>
      <c r="H7" s="91"/>
      <c r="Q7" s="2" t="s">
        <v>88</v>
      </c>
      <c r="R7" s="91">
        <f>C14</f>
        <v>91798.761425601813</v>
      </c>
      <c r="S7" s="91">
        <f>D14</f>
        <v>290079.39256606367</v>
      </c>
      <c r="T7" s="91">
        <f>E14</f>
        <v>20610</v>
      </c>
      <c r="U7" s="91">
        <f>F14</f>
        <v>81543.827635502268</v>
      </c>
      <c r="V7" s="91">
        <f>G14</f>
        <v>368180</v>
      </c>
      <c r="W7" s="91">
        <f>H15</f>
        <v>3494069.124671388</v>
      </c>
      <c r="X7" s="2">
        <v>0</v>
      </c>
    </row>
    <row r="8" spans="2:24">
      <c r="B8" s="2">
        <v>4</v>
      </c>
      <c r="C8" s="91">
        <f>'Escenario 2'!O69+'Escenario 2'!O70+'Escenario 2'!O71+'Escenario 2'!O72+'Escenario 2'!O78+'Escenario 2'!O79+'Escenario 2'!O81</f>
        <v>91798.761425601726</v>
      </c>
      <c r="D8" s="91">
        <f>'Escenario 2'!O73+'Escenario 2'!O74+'Escenario 2'!O80+'Escenario 2'!O82</f>
        <v>290079.39256606367</v>
      </c>
      <c r="E8" s="91">
        <f>'Escenario 2'!O75+'Escenario 2'!O83</f>
        <v>16166.83292935001</v>
      </c>
      <c r="F8" s="91">
        <f>'Escenario 2'!O76+'Escenario 2'!O77+'Escenario 2'!O84</f>
        <v>68187.33171740004</v>
      </c>
      <c r="G8" s="91">
        <v>0</v>
      </c>
      <c r="H8" s="91"/>
    </row>
    <row r="9" spans="2:24" ht="18">
      <c r="B9" s="2">
        <v>5</v>
      </c>
      <c r="C9" s="91"/>
      <c r="D9" s="91"/>
      <c r="E9" s="91"/>
      <c r="F9" s="91"/>
      <c r="G9" s="91"/>
      <c r="H9" s="91">
        <f>'Escenario 2'!L102</f>
        <v>1911552.5064175036</v>
      </c>
      <c r="R9" s="177" t="s">
        <v>89</v>
      </c>
      <c r="S9" s="177" t="s">
        <v>90</v>
      </c>
      <c r="U9" s="177" t="s">
        <v>90</v>
      </c>
      <c r="V9" s="177" t="s">
        <v>90</v>
      </c>
      <c r="W9" s="177" t="s">
        <v>90</v>
      </c>
    </row>
    <row r="10" spans="2:24">
      <c r="B10" s="2">
        <v>6</v>
      </c>
      <c r="C10" s="91"/>
      <c r="D10" s="91"/>
      <c r="E10" s="91"/>
      <c r="F10" s="91"/>
      <c r="G10" s="91"/>
      <c r="H10" s="91"/>
      <c r="Q10" s="2" t="s">
        <v>91</v>
      </c>
      <c r="R10" s="91">
        <f>SUM(R4:V4)</f>
        <v>254244.13970056467</v>
      </c>
      <c r="S10" s="91">
        <f>R10/(172.32*1000)</f>
        <v>1.4754186380023484</v>
      </c>
      <c r="U10" s="91">
        <f>(R4+S4)/(172.32*1000)</f>
        <v>0.77909783948795652</v>
      </c>
      <c r="V10" s="91">
        <f>(T4+U4)/(172.32*1000)</f>
        <v>0.69632079851439188</v>
      </c>
      <c r="W10" s="91">
        <f>(V4)/(172.32*1000)</f>
        <v>0</v>
      </c>
    </row>
    <row r="11" spans="2:24">
      <c r="B11" s="2">
        <v>7</v>
      </c>
      <c r="C11" s="91">
        <f>'Escenario 3 (acet)'!O79+'Escenario 3 (acet)'!O80+'Escenario 3 (acet)'!O81+'Escenario 3 (acet)'!O82+'Escenario 3 (acet)'!O90+'Escenario 3 (acet)'!O91+'Escenario 3 (acet)'!O93</f>
        <v>91798.761425601813</v>
      </c>
      <c r="D11" s="91">
        <f>'Escenario 3 (acet)'!O83+'Escenario 3 (acet)'!O84+'Escenario 3 (acet)'!O92+'Escenario 3 (acet)'!O94</f>
        <v>42455.37827496299</v>
      </c>
      <c r="E11" s="91">
        <f>'Escenario 3 (acet)'!O85+'Escenario 3 (acet)'!O95</f>
        <v>20830</v>
      </c>
      <c r="F11" s="91">
        <f>'Escenario 3 (acet)'!O87+'Escenario 3 (acet)'!O89+'Escenario 3 (acet)'!O98+'Escenario 3 (acet)'!O99</f>
        <v>103560</v>
      </c>
      <c r="G11" s="91">
        <f>'Escenario 3 (acet)'!O86+'Escenario 3 (acet)'!O88+'Escenario 3 (acet)'!O101+'Escenario 3 (acet)'!O102+'Escenario 3 (acet)'!O103+'Escenario 3 (acet)'!O96+'Escenario 3 (acet)'!O97+'Escenario 3 (acet)'!O100</f>
        <v>135053.3397264005</v>
      </c>
      <c r="H11" s="91"/>
      <c r="Q11" s="2" t="s">
        <v>92</v>
      </c>
      <c r="R11" s="91">
        <f>SUM(R5:V5)</f>
        <v>466232.31863841548</v>
      </c>
      <c r="S11" s="91">
        <f t="shared" ref="S11:S13" si="0">R11/(172.32*1000)</f>
        <v>2.7056193050047326</v>
      </c>
      <c r="U11" s="91">
        <f t="shared" ref="U11:U13" si="1">(R5+S5)/(172.32*1000)</f>
        <v>2.2160988509265636</v>
      </c>
      <c r="V11" s="91">
        <f t="shared" ref="V11:V13" si="2">(T5+U5)/(172.32*1000)</f>
        <v>0.48952045407816885</v>
      </c>
      <c r="W11" s="91">
        <f t="shared" ref="W11:W13" si="3">(V5)/(172.32*1000)</f>
        <v>0</v>
      </c>
    </row>
    <row r="12" spans="2:24">
      <c r="B12" s="2">
        <v>8</v>
      </c>
      <c r="C12" s="91"/>
      <c r="D12" s="91"/>
      <c r="E12" s="91"/>
      <c r="F12" s="91"/>
      <c r="G12" s="91"/>
      <c r="H12" s="91">
        <f>'Escenario 3 (acet)'!L121</f>
        <v>1614159.6656505577</v>
      </c>
      <c r="Q12" s="2" t="s">
        <v>93</v>
      </c>
      <c r="R12" s="91">
        <f>SUM(R6:V6)</f>
        <v>393697.47942696529</v>
      </c>
      <c r="S12" s="91">
        <f t="shared" si="0"/>
        <v>2.2846882510849889</v>
      </c>
      <c r="U12" s="91">
        <f t="shared" si="1"/>
        <v>0.77909783948795719</v>
      </c>
      <c r="V12" s="91">
        <f t="shared" si="2"/>
        <v>0.72185468895078919</v>
      </c>
      <c r="W12" s="91">
        <f t="shared" si="3"/>
        <v>0.78373572264624247</v>
      </c>
    </row>
    <row r="13" spans="2:24">
      <c r="B13" s="2">
        <v>9</v>
      </c>
      <c r="C13" s="91"/>
      <c r="D13" s="91"/>
      <c r="E13" s="91"/>
      <c r="F13" s="91"/>
      <c r="G13" s="91"/>
      <c r="H13" s="91"/>
      <c r="Q13" s="2" t="s">
        <v>94</v>
      </c>
      <c r="R13" s="91">
        <f>SUM(R7:V7)</f>
        <v>852211.98162716767</v>
      </c>
      <c r="S13" s="91">
        <f t="shared" si="0"/>
        <v>4.9455198562393665</v>
      </c>
      <c r="U13" s="91">
        <f t="shared" si="1"/>
        <v>2.2160988509265636</v>
      </c>
      <c r="V13" s="91">
        <f t="shared" si="2"/>
        <v>0.59281469147807719</v>
      </c>
      <c r="W13" s="91">
        <f t="shared" si="3"/>
        <v>2.1366063138347262</v>
      </c>
    </row>
    <row r="14" spans="2:24">
      <c r="B14" s="2">
        <v>10</v>
      </c>
      <c r="C14" s="91">
        <f>'Escenario 4 (acet)'!O79+'Escenario 4 (acet)'!O80+'Escenario 4 (acet)'!O81+'Escenario 4 (acet)'!O82+'Escenario 4 (acet)'!O90+'Escenario 4 (acet)'!O91+'Escenario 4 (acet)'!O93</f>
        <v>91798.761425601813</v>
      </c>
      <c r="D14" s="91">
        <f>'Escenario 4 (acet)'!O83+'Escenario 4 (acet)'!O84+'Escenario 4 (acet)'!O92+'Escenario 4 (acet)'!O94</f>
        <v>290079.39256606367</v>
      </c>
      <c r="E14" s="91">
        <f>'Escenario 4 (acet)'!O85+'Escenario 4 (acet)'!O95</f>
        <v>20610</v>
      </c>
      <c r="F14" s="91">
        <f>'Escenario 4 (acet)'!O89+'Escenario 4 (acet)'!O87+'Escenario 4 (acet)'!O98+'Escenario 4 (acet)'!O99</f>
        <v>81543.827635502268</v>
      </c>
      <c r="G14" s="91">
        <f>'Escenario 4 (acet)'!O86+'Escenario 4 (acet)'!O88+'Escenario 4 (acet)'!O101+'Escenario 4 (acet)'!O102+'Escenario 4 (acet)'!O103+'Escenario 4 (acet)'!O96+'Escenario 4 (acet)'!O97+'Escenario 4 (acet)'!O100</f>
        <v>368180</v>
      </c>
      <c r="H14" s="2"/>
    </row>
    <row r="15" spans="2:24">
      <c r="B15" s="2">
        <v>11</v>
      </c>
      <c r="C15" s="2"/>
      <c r="D15" s="2"/>
      <c r="E15" s="2"/>
      <c r="F15" s="2"/>
      <c r="G15" s="2"/>
      <c r="H15" s="91">
        <f>'Escenario 4 (acet)'!L121</f>
        <v>3494069.124671388</v>
      </c>
    </row>
    <row r="16" spans="2:24">
      <c r="B16" s="2">
        <v>12</v>
      </c>
      <c r="C16" s="2"/>
      <c r="D16" s="2"/>
      <c r="E16" s="2"/>
      <c r="F16" s="2"/>
      <c r="G16" s="2"/>
      <c r="H16" s="2"/>
    </row>
    <row r="18" spans="2:18">
      <c r="F18" s="161"/>
      <c r="G18" s="161"/>
    </row>
    <row r="20" spans="2:18">
      <c r="C20" s="277" t="s">
        <v>95</v>
      </c>
      <c r="D20" s="278"/>
      <c r="E20" s="279"/>
      <c r="N20" s="285" t="s">
        <v>78</v>
      </c>
      <c r="O20" s="285"/>
      <c r="P20" s="154" t="s">
        <v>96</v>
      </c>
    </row>
    <row r="21" spans="2:18" ht="17.25">
      <c r="C21" s="177" t="s">
        <v>97</v>
      </c>
      <c r="D21" s="177" t="s">
        <v>98</v>
      </c>
      <c r="E21" s="177" t="s">
        <v>99</v>
      </c>
      <c r="N21" s="285" t="s">
        <v>79</v>
      </c>
      <c r="O21" s="285"/>
      <c r="P21" s="154" t="s">
        <v>100</v>
      </c>
    </row>
    <row r="22" spans="2:18">
      <c r="B22" s="2" t="s">
        <v>85</v>
      </c>
      <c r="C22" s="91">
        <f>'Escenario 1'!C161</f>
        <v>65.488963502830316</v>
      </c>
      <c r="D22" s="9">
        <f>'Escenario 1'!N164</f>
        <v>198.80628760564133</v>
      </c>
      <c r="E22" s="9">
        <f>'Escenario 1'!N159</f>
        <v>3035.7220052360317</v>
      </c>
      <c r="N22" s="285" t="s">
        <v>80</v>
      </c>
      <c r="O22" s="285"/>
      <c r="P22" s="154" t="s">
        <v>101</v>
      </c>
    </row>
    <row r="23" spans="2:18">
      <c r="B23" s="2" t="s">
        <v>86</v>
      </c>
      <c r="C23" s="91">
        <f>'Escenario 2'!C161</f>
        <v>342.56130727919367</v>
      </c>
      <c r="D23" s="9">
        <f>'Escenario 2'!N164</f>
        <v>298.53081397820642</v>
      </c>
      <c r="E23" s="9">
        <f>'Escenario 2'!N159</f>
        <v>871.46682253550148</v>
      </c>
      <c r="N23" s="285" t="s">
        <v>81</v>
      </c>
      <c r="O23" s="285"/>
      <c r="P23" s="155" t="s">
        <v>102</v>
      </c>
    </row>
    <row r="24" spans="2:18">
      <c r="B24" s="2" t="s">
        <v>87</v>
      </c>
      <c r="C24" s="91">
        <f>'Escenario 3 (acet)'!C183</f>
        <v>65.488963502830316</v>
      </c>
      <c r="D24" s="9">
        <f>'Escenario 3 (acet)'!N185</f>
        <v>210.15712131924201</v>
      </c>
      <c r="E24" s="9">
        <f>'Escenario 3 (acet)'!N180</f>
        <v>3209.0463809243124</v>
      </c>
      <c r="N24" s="285" t="s">
        <v>82</v>
      </c>
      <c r="O24" s="285"/>
      <c r="P24" s="155" t="s">
        <v>103</v>
      </c>
    </row>
    <row r="25" spans="2:18">
      <c r="B25" s="2" t="s">
        <v>88</v>
      </c>
      <c r="C25" s="91">
        <f>'Escenario 4 (acet)'!C183</f>
        <v>342.56130727919367</v>
      </c>
      <c r="D25" s="9">
        <f>'Escenario 4 (acet)'!N185</f>
        <v>290.5035203828408</v>
      </c>
      <c r="E25" s="9">
        <f>'Escenario 4 (acet)'!N180</f>
        <v>848.03366349275166</v>
      </c>
      <c r="P25" s="155"/>
    </row>
    <row r="26" spans="2:18">
      <c r="B26" s="2" t="s">
        <v>104</v>
      </c>
      <c r="C26" s="91">
        <f>'Escenario 1'!Q160</f>
        <v>6.3849999999999998</v>
      </c>
      <c r="D26" s="2">
        <f>'Escenario 1'!O164</f>
        <v>383.09999999999997</v>
      </c>
      <c r="E26" s="2">
        <f>'Escenario 1'!O159</f>
        <v>60</v>
      </c>
    </row>
    <row r="27" spans="2:18" ht="17.25">
      <c r="C27" s="177" t="s">
        <v>105</v>
      </c>
      <c r="D27" s="177" t="s">
        <v>106</v>
      </c>
      <c r="E27" s="177" t="s">
        <v>107</v>
      </c>
      <c r="F27" s="177" t="s">
        <v>14</v>
      </c>
      <c r="N27" s="177" t="s">
        <v>108</v>
      </c>
      <c r="O27" s="219" t="s">
        <v>109</v>
      </c>
      <c r="P27" s="221" t="s">
        <v>110</v>
      </c>
      <c r="Q27" s="221" t="s">
        <v>111</v>
      </c>
      <c r="R27" s="221" t="s">
        <v>112</v>
      </c>
    </row>
    <row r="28" spans="2:18" ht="17.25">
      <c r="B28" s="2" t="s">
        <v>91</v>
      </c>
      <c r="C28" s="9">
        <f>'Escenario 1'!L156</f>
        <v>1.0668796358465495</v>
      </c>
      <c r="D28" s="9">
        <f>'Escenario 1'!L157</f>
        <v>0.23713812582161542</v>
      </c>
      <c r="E28" s="9">
        <f>'Escenario 1'!L158</f>
        <v>0.47435173542856934</v>
      </c>
      <c r="F28" s="9">
        <f>'Escenario 1'!C169</f>
        <v>8223.7588417518691</v>
      </c>
      <c r="M28" s="63" t="s">
        <v>91</v>
      </c>
      <c r="N28" s="178">
        <f>($D$26-D22)/$D$26</f>
        <v>0.48105902478297741</v>
      </c>
      <c r="O28" s="220">
        <f>($D$26*1000)/E22</f>
        <v>126.19732615148118</v>
      </c>
      <c r="P28" s="91">
        <v>1.68389438865384</v>
      </c>
      <c r="Q28" s="91">
        <v>1.35</v>
      </c>
      <c r="R28" s="2" t="s">
        <v>113</v>
      </c>
    </row>
    <row r="29" spans="2:18" ht="17.25">
      <c r="B29" s="2" t="s">
        <v>92</v>
      </c>
      <c r="C29" s="9">
        <f>'Escenario 2'!L156</f>
        <v>4.5874131114078667</v>
      </c>
      <c r="D29" s="9">
        <f>'Escenario 2'!L157</f>
        <v>0.82820767099518766</v>
      </c>
      <c r="E29" s="9">
        <f>'Escenario 2'!L158</f>
        <v>1.6523862478082061</v>
      </c>
      <c r="F29" s="9">
        <f>'Escenario 2'!C169</f>
        <v>1849.0051445119771</v>
      </c>
      <c r="M29" s="63" t="s">
        <v>92</v>
      </c>
      <c r="N29" s="178">
        <f>($D$26-D23)/$D$26</f>
        <v>0.22074963722733895</v>
      </c>
      <c r="O29" s="220">
        <f>($D$26*1000)/E23</f>
        <v>439.60365454347902</v>
      </c>
      <c r="P29" s="91">
        <v>0.7</v>
      </c>
      <c r="Q29" s="91">
        <v>2.1</v>
      </c>
      <c r="R29" s="2" t="s">
        <v>114</v>
      </c>
    </row>
    <row r="30" spans="2:18">
      <c r="B30" s="2" t="s">
        <v>93</v>
      </c>
      <c r="C30" s="9">
        <f>'Escenario 3 (acet)'!L177</f>
        <v>22.251130183996136</v>
      </c>
      <c r="D30" s="9">
        <f>'Escenario 3 (acet)'!L178</f>
        <v>0.22417652383889158</v>
      </c>
      <c r="E30" s="9">
        <f>'Escenario 3 (acet)'!L179</f>
        <v>0.44873145207233284</v>
      </c>
      <c r="F30" s="9">
        <f>'Escenario 3 (acet)'!C192</f>
        <v>7029.549322787786</v>
      </c>
      <c r="M30" s="63" t="s">
        <v>93</v>
      </c>
      <c r="N30" s="178">
        <f>($D$26-D24)/$D$26</f>
        <v>0.45143011923977544</v>
      </c>
      <c r="O30" s="220">
        <f>($D$26*1000)/E24</f>
        <v>119.38125988994099</v>
      </c>
    </row>
    <row r="31" spans="2:18">
      <c r="B31" s="2" t="s">
        <v>94</v>
      </c>
      <c r="C31" s="9">
        <f>'Escenario 4 (acet)'!L177</f>
        <v>25.457705405706822</v>
      </c>
      <c r="D31" s="9">
        <f>'Escenario 4 (acet)'!L178</f>
        <v>0.84765259816301763</v>
      </c>
      <c r="E31" s="9">
        <f>'Escenario 4 (acet)'!L179</f>
        <v>1.6980458506341487</v>
      </c>
      <c r="F31" s="9">
        <f>'Escenario 4 (acet)'!C192</f>
        <v>1581.647759805144</v>
      </c>
      <c r="M31" s="2" t="s">
        <v>94</v>
      </c>
      <c r="N31" s="178">
        <f>($D$26-D25)/$D$26</f>
        <v>0.24170315744494694</v>
      </c>
      <c r="O31" s="220">
        <f>($D$26*1000)/E25</f>
        <v>451.75093453501142</v>
      </c>
    </row>
    <row r="32" spans="2:18">
      <c r="B32" s="2" t="s">
        <v>115</v>
      </c>
      <c r="C32" s="190">
        <f>C29/C28</f>
        <v>4.299841291625965</v>
      </c>
      <c r="D32" s="190">
        <f>D29/D28</f>
        <v>3.4925116664631055</v>
      </c>
      <c r="E32" s="190">
        <f>E29/E28</f>
        <v>3.4834620059211989</v>
      </c>
      <c r="F32" s="190">
        <f>F28/F29</f>
        <v>4.4476668256769143</v>
      </c>
    </row>
    <row r="33" spans="1:13">
      <c r="B33" s="2" t="s">
        <v>116</v>
      </c>
      <c r="C33" s="190">
        <f>C30/C28</f>
        <v>20.856270413616311</v>
      </c>
      <c r="D33" s="190">
        <f>D30/D28</f>
        <v>0.94534155173144085</v>
      </c>
      <c r="E33" s="190">
        <f>E30/E28</f>
        <v>0.94598884869033106</v>
      </c>
      <c r="F33" s="190">
        <f>F28/F30</f>
        <v>1.1698842221780559</v>
      </c>
    </row>
    <row r="34" spans="1:13">
      <c r="B34" s="2" t="s">
        <v>117</v>
      </c>
      <c r="C34" s="190">
        <f>C31/C28</f>
        <v>23.861834597214518</v>
      </c>
      <c r="D34" s="190">
        <f>D31/D28</f>
        <v>3.5745099832688023</v>
      </c>
      <c r="E34" s="190">
        <f>E31/E28</f>
        <v>3.5797188537741746</v>
      </c>
      <c r="F34" s="190">
        <f>F28/F31</f>
        <v>5.1994881861464659</v>
      </c>
    </row>
    <row r="35" spans="1:13">
      <c r="B35" s="2" t="s">
        <v>118</v>
      </c>
      <c r="C35" s="190">
        <f>C31/C30</f>
        <v>1.1441084203451821</v>
      </c>
      <c r="D35" s="190">
        <f>D31/D30</f>
        <v>3.7811836121261213</v>
      </c>
      <c r="E35" s="190">
        <f>E31/E30</f>
        <v>3.7841025914101376</v>
      </c>
      <c r="F35" s="190">
        <f>F30/F31</f>
        <v>4.4444467987321099</v>
      </c>
    </row>
    <row r="37" spans="1:13">
      <c r="M37" s="75" t="s">
        <v>119</v>
      </c>
    </row>
    <row r="38" spans="1:13">
      <c r="C38" s="277" t="s">
        <v>120</v>
      </c>
      <c r="D38" s="278"/>
      <c r="E38" s="278"/>
      <c r="F38" s="278"/>
      <c r="G38" s="279"/>
      <c r="K38" s="75"/>
    </row>
    <row r="39" spans="1:13" ht="30">
      <c r="C39" s="168" t="s">
        <v>78</v>
      </c>
      <c r="D39" s="168" t="s">
        <v>79</v>
      </c>
      <c r="E39" s="168" t="s">
        <v>80</v>
      </c>
      <c r="F39" s="167" t="s">
        <v>81</v>
      </c>
      <c r="G39" s="167" t="s">
        <v>82</v>
      </c>
    </row>
    <row r="40" spans="1:13">
      <c r="B40" s="2" t="s">
        <v>91</v>
      </c>
      <c r="C40" s="91">
        <f>($E$22/1000)*C54</f>
        <v>70.488921680489398</v>
      </c>
      <c r="D40" s="91">
        <f>($E$22/1000)*D54</f>
        <v>24.03599401789204</v>
      </c>
      <c r="E40" s="91">
        <f>($E$22/1000)*E54</f>
        <v>19.225655493979765</v>
      </c>
      <c r="F40" s="91">
        <f>($E$22/1000)*F54</f>
        <v>85.05571641328018</v>
      </c>
      <c r="G40" s="2" t="s">
        <v>12</v>
      </c>
      <c r="H40" s="166">
        <f>SUM(C40:G40)</f>
        <v>198.80628760564139</v>
      </c>
    </row>
    <row r="41" spans="1:13">
      <c r="B41" s="2" t="s">
        <v>92</v>
      </c>
      <c r="C41" s="91">
        <f>($E$23/1000)*C55</f>
        <v>90.01815462453429</v>
      </c>
      <c r="D41" s="91">
        <f>($E$23/1000)*D55</f>
        <v>113.19430973959025</v>
      </c>
      <c r="E41" s="91">
        <f>($E$23/1000)*E55</f>
        <v>23.245717672029752</v>
      </c>
      <c r="F41" s="91">
        <f>($E$23/1000)*F55</f>
        <v>72.07263128362284</v>
      </c>
      <c r="G41" s="2" t="s">
        <v>12</v>
      </c>
      <c r="H41" s="166">
        <f>SUM(C41:G41)</f>
        <v>298.53081331977711</v>
      </c>
    </row>
    <row r="42" spans="1:13">
      <c r="B42" s="2" t="s">
        <v>93</v>
      </c>
      <c r="C42" s="91">
        <f t="shared" ref="C42:C43" si="4">D24</f>
        <v>210.15712131924201</v>
      </c>
      <c r="D42" s="226" t="s">
        <v>12</v>
      </c>
      <c r="E42" s="226" t="s">
        <v>12</v>
      </c>
      <c r="F42" s="226" t="s">
        <v>12</v>
      </c>
      <c r="G42" s="226" t="s">
        <v>12</v>
      </c>
      <c r="H42" s="166">
        <f>SUM(C42:G42)</f>
        <v>210.15712131924201</v>
      </c>
    </row>
    <row r="43" spans="1:13">
      <c r="B43" s="2" t="s">
        <v>94</v>
      </c>
      <c r="C43" s="91">
        <f t="shared" si="4"/>
        <v>290.5035203828408</v>
      </c>
      <c r="D43" s="226" t="s">
        <v>12</v>
      </c>
      <c r="E43" s="226" t="s">
        <v>12</v>
      </c>
      <c r="F43" s="226" t="s">
        <v>12</v>
      </c>
      <c r="G43" s="226" t="s">
        <v>12</v>
      </c>
      <c r="H43" s="166">
        <f>SUM(C43:G43)</f>
        <v>290.5035203828408</v>
      </c>
    </row>
    <row r="44" spans="1:13">
      <c r="B44" s="2" t="s">
        <v>104</v>
      </c>
      <c r="C44" s="91">
        <f>D26</f>
        <v>383.09999999999997</v>
      </c>
      <c r="D44" s="226" t="s">
        <v>12</v>
      </c>
      <c r="E44" s="226" t="s">
        <v>12</v>
      </c>
      <c r="F44" s="226" t="s">
        <v>12</v>
      </c>
      <c r="G44" s="226" t="s">
        <v>12</v>
      </c>
    </row>
    <row r="46" spans="1:13">
      <c r="A46" s="286" t="s">
        <v>30</v>
      </c>
      <c r="B46" s="2" t="s">
        <v>91</v>
      </c>
      <c r="C46" s="91">
        <v>384172.30864045775</v>
      </c>
      <c r="D46" s="91">
        <v>177673.21075802343</v>
      </c>
      <c r="E46" s="91">
        <v>87172.300200000012</v>
      </c>
      <c r="F46" s="91">
        <v>414978.65039999998</v>
      </c>
      <c r="G46" s="91" t="s">
        <v>12</v>
      </c>
      <c r="H46" s="166">
        <f t="shared" ref="H46:H55" si="5">SUM(C46:G46)</f>
        <v>1063996.4699984812</v>
      </c>
    </row>
    <row r="47" spans="1:13" ht="15.75" thickBot="1">
      <c r="A47" s="286"/>
      <c r="B47" s="222" t="s">
        <v>92</v>
      </c>
      <c r="C47" s="91">
        <v>384172.30864045763</v>
      </c>
      <c r="D47" s="91">
        <v>1213964.8531254227</v>
      </c>
      <c r="E47" s="91">
        <v>67657.225799354041</v>
      </c>
      <c r="F47" s="91">
        <v>285359.89199741615</v>
      </c>
      <c r="G47" s="91" t="s">
        <v>12</v>
      </c>
      <c r="H47" s="166">
        <f t="shared" si="5"/>
        <v>1951154.2795626507</v>
      </c>
    </row>
    <row r="48" spans="1:13" ht="15.75" thickTop="1">
      <c r="A48" s="287" t="s">
        <v>5</v>
      </c>
      <c r="B48" s="173" t="s">
        <v>91</v>
      </c>
      <c r="C48" s="174">
        <v>141202.13701518159</v>
      </c>
      <c r="D48" s="174">
        <v>42103.918582209772</v>
      </c>
      <c r="E48" s="175">
        <v>40793.012603277777</v>
      </c>
      <c r="F48" s="174">
        <v>176673.96383099759</v>
      </c>
      <c r="G48" s="173" t="s">
        <v>12</v>
      </c>
      <c r="H48" s="166">
        <f t="shared" si="5"/>
        <v>400773.03203166672</v>
      </c>
    </row>
    <row r="49" spans="1:9" ht="15.75" thickBot="1">
      <c r="A49" s="286"/>
      <c r="B49" s="222" t="s">
        <v>92</v>
      </c>
      <c r="C49" s="91">
        <v>141240.8919241816</v>
      </c>
      <c r="D49" s="91">
        <v>82952.181428605647</v>
      </c>
      <c r="E49" s="91">
        <v>40558.892010584997</v>
      </c>
      <c r="F49" s="91">
        <v>115962.247042812</v>
      </c>
      <c r="G49" s="2" t="s">
        <v>12</v>
      </c>
      <c r="H49" s="166">
        <f t="shared" si="5"/>
        <v>380714.21240618423</v>
      </c>
    </row>
    <row r="50" spans="1:9" ht="15.75" customHeight="1" thickTop="1">
      <c r="A50" s="287" t="s">
        <v>7</v>
      </c>
      <c r="B50" s="173" t="s">
        <v>91</v>
      </c>
      <c r="C50" s="176">
        <f t="shared" ref="C50:F51" si="6">((0.05*(1.05^10))/((1.05^10)-1))*C46+C48</f>
        <v>190954.20855916233</v>
      </c>
      <c r="D50" s="174">
        <f t="shared" si="6"/>
        <v>65113.412224175605</v>
      </c>
      <c r="E50" s="174">
        <f t="shared" si="6"/>
        <v>52082.224289439975</v>
      </c>
      <c r="F50" s="174">
        <f t="shared" si="6"/>
        <v>230415.59757078844</v>
      </c>
      <c r="G50" s="173" t="s">
        <v>12</v>
      </c>
      <c r="H50" s="166">
        <f t="shared" si="5"/>
        <v>538565.44264356641</v>
      </c>
    </row>
    <row r="51" spans="1:9">
      <c r="A51" s="286"/>
      <c r="B51" s="222" t="s">
        <v>92</v>
      </c>
      <c r="C51" s="91">
        <f t="shared" si="6"/>
        <v>190992.96346816231</v>
      </c>
      <c r="D51" s="91">
        <f t="shared" si="6"/>
        <v>240166.1837556166</v>
      </c>
      <c r="E51" s="91">
        <f t="shared" si="6"/>
        <v>49320.812281072271</v>
      </c>
      <c r="F51" s="91">
        <f t="shared" si="6"/>
        <v>152917.658568126</v>
      </c>
      <c r="G51" s="2" t="s">
        <v>12</v>
      </c>
      <c r="H51" s="166">
        <f t="shared" si="5"/>
        <v>633397.61807297717</v>
      </c>
    </row>
    <row r="52" spans="1:9">
      <c r="A52" s="286"/>
      <c r="B52" s="2" t="s">
        <v>93</v>
      </c>
      <c r="C52" s="91" t="s">
        <v>12</v>
      </c>
      <c r="D52" s="91" t="s">
        <v>12</v>
      </c>
      <c r="E52" s="91" t="s">
        <v>12</v>
      </c>
      <c r="F52" s="91">
        <f>C61</f>
        <v>460357.89904139488</v>
      </c>
      <c r="G52" s="91">
        <f>D61</f>
        <v>217069.27886259294</v>
      </c>
      <c r="H52" s="166">
        <f t="shared" si="5"/>
        <v>677427.17790398782</v>
      </c>
    </row>
    <row r="53" spans="1:9" ht="15.75" thickBot="1">
      <c r="A53" s="288"/>
      <c r="B53" s="223" t="s">
        <v>94</v>
      </c>
      <c r="C53" s="172" t="s">
        <v>12</v>
      </c>
      <c r="D53" s="172" t="s">
        <v>12</v>
      </c>
      <c r="E53" s="172" t="s">
        <v>12</v>
      </c>
      <c r="F53" s="172">
        <f>C62</f>
        <v>541811.32425405819</v>
      </c>
      <c r="G53" s="172">
        <f>D62</f>
        <v>349608.69327805541</v>
      </c>
      <c r="H53" s="166">
        <f t="shared" si="5"/>
        <v>891420.01753211359</v>
      </c>
    </row>
    <row r="54" spans="1:9" ht="15.75" customHeight="1" thickTop="1">
      <c r="A54" s="287" t="s">
        <v>121</v>
      </c>
      <c r="B54" s="106" t="s">
        <v>91</v>
      </c>
      <c r="C54" s="171">
        <f>C50/'Escenario 1'!$C$186</f>
        <v>23.21982103727208</v>
      </c>
      <c r="D54" s="171">
        <f>D50/'Escenario 1'!$C$186</f>
        <v>7.9177190719158776</v>
      </c>
      <c r="E54" s="171">
        <f>E50/'Escenario 1'!$C$186</f>
        <v>6.3331409993468561</v>
      </c>
      <c r="F54" s="171">
        <f>F50/'Escenario 1'!$C$186</f>
        <v>28.018282394295511</v>
      </c>
      <c r="G54" s="106" t="s">
        <v>12</v>
      </c>
      <c r="H54" s="166">
        <f t="shared" si="5"/>
        <v>65.48896350283033</v>
      </c>
    </row>
    <row r="55" spans="1:9">
      <c r="A55" s="286"/>
      <c r="B55" s="222" t="s">
        <v>92</v>
      </c>
      <c r="C55" s="91">
        <f>C51/'Escenario 2'!$C$186</f>
        <v>103.29498759646374</v>
      </c>
      <c r="D55" s="91">
        <f>D51/'Escenario 2'!$C$186</f>
        <v>129.88940807896216</v>
      </c>
      <c r="E55" s="91">
        <f>E51/'Escenario 2'!$C$186</f>
        <v>26.674242863769809</v>
      </c>
      <c r="F55" s="91">
        <f>F51/'Escenario 2'!$C$186</f>
        <v>82.702667984456482</v>
      </c>
      <c r="G55" s="2" t="s">
        <v>12</v>
      </c>
      <c r="H55" s="166">
        <f t="shared" si="5"/>
        <v>342.56130652365215</v>
      </c>
    </row>
    <row r="56" spans="1:9">
      <c r="A56" s="286"/>
      <c r="B56" s="2" t="s">
        <v>93</v>
      </c>
      <c r="C56" s="91" t="s">
        <v>12</v>
      </c>
      <c r="D56" s="91" t="s">
        <v>12</v>
      </c>
      <c r="E56" s="91" t="s">
        <v>12</v>
      </c>
      <c r="F56" s="91">
        <f>D63*E61</f>
        <v>505.07423435017142</v>
      </c>
      <c r="G56" s="91">
        <f>D63*F61</f>
        <v>238.15405372811819</v>
      </c>
      <c r="H56" s="166">
        <f t="shared" ref="H56:H57" si="7">SUM(C56:G56)</f>
        <v>743.22828807828955</v>
      </c>
    </row>
    <row r="57" spans="1:9" ht="15.75" thickBot="1">
      <c r="A57" s="286"/>
      <c r="B57" s="223" t="s">
        <v>94</v>
      </c>
      <c r="C57" s="172" t="s">
        <v>12</v>
      </c>
      <c r="D57" s="172" t="s">
        <v>12</v>
      </c>
      <c r="E57" s="172" t="s">
        <v>12</v>
      </c>
      <c r="F57" s="172">
        <f>D64*E62</f>
        <v>1289.8475558439543</v>
      </c>
      <c r="G57" s="172">
        <f>D64*F62</f>
        <v>832.28588687646084</v>
      </c>
      <c r="H57" s="166">
        <f t="shared" si="7"/>
        <v>2122.1334427204151</v>
      </c>
    </row>
    <row r="58" spans="1:9" ht="15.75" thickTop="1">
      <c r="A58" s="195"/>
      <c r="B58" s="92"/>
      <c r="C58" s="196"/>
      <c r="D58" s="196"/>
      <c r="E58" s="196"/>
      <c r="F58" s="196"/>
      <c r="G58" s="92"/>
      <c r="H58" s="166"/>
    </row>
    <row r="59" spans="1:9">
      <c r="A59" s="195"/>
      <c r="B59" s="92"/>
      <c r="C59" s="257" t="s">
        <v>122</v>
      </c>
      <c r="D59" s="257"/>
      <c r="E59" s="257"/>
      <c r="F59" s="257"/>
      <c r="G59" s="257"/>
      <c r="H59" s="166"/>
    </row>
    <row r="60" spans="1:9">
      <c r="A60" s="195"/>
      <c r="B60" s="92"/>
      <c r="C60" s="167" t="s">
        <v>123</v>
      </c>
      <c r="D60" s="167" t="s">
        <v>124</v>
      </c>
      <c r="E60" s="167" t="s">
        <v>123</v>
      </c>
      <c r="F60" s="167" t="s">
        <v>124</v>
      </c>
      <c r="G60" s="167" t="s">
        <v>125</v>
      </c>
      <c r="H60" s="166"/>
    </row>
    <row r="61" spans="1:9">
      <c r="A61" s="286" t="s">
        <v>7</v>
      </c>
      <c r="B61" s="2" t="s">
        <v>93</v>
      </c>
      <c r="C61" s="91">
        <f>'Escenario 3 (acet)'!I176</f>
        <v>460357.89904139488</v>
      </c>
      <c r="D61" s="91">
        <f>'Escenario 3 (acet)'!I177</f>
        <v>217069.27886259294</v>
      </c>
      <c r="E61" s="35">
        <f>C61/G61</f>
        <v>0.67956809832427734</v>
      </c>
      <c r="F61" s="35">
        <f>D61/G61</f>
        <v>0.32043190167572272</v>
      </c>
      <c r="G61" s="91">
        <f>'Escenario 3 (acet)'!C181</f>
        <v>677427.17790398782</v>
      </c>
      <c r="H61" s="166"/>
      <c r="I61" s="207"/>
    </row>
    <row r="62" spans="1:9" ht="15.75" thickBot="1">
      <c r="A62" s="286"/>
      <c r="B62" s="194" t="s">
        <v>94</v>
      </c>
      <c r="C62" s="172">
        <f>'Escenario 4 (acet)'!I176</f>
        <v>541811.32425405819</v>
      </c>
      <c r="D62" s="172">
        <f>'Escenario 4 (acet)'!I177</f>
        <v>349608.69327805541</v>
      </c>
      <c r="E62" s="215">
        <f>C62/G62</f>
        <v>0.60780699737263788</v>
      </c>
      <c r="F62" s="215">
        <f>D62/G62</f>
        <v>0.39219300262736212</v>
      </c>
      <c r="G62" s="172">
        <f>'Escenario 4 (acet)'!C181</f>
        <v>891420.01753211359</v>
      </c>
      <c r="H62" s="166"/>
    </row>
    <row r="63" spans="1:9" ht="15.75" thickTop="1">
      <c r="A63" s="287" t="s">
        <v>121</v>
      </c>
      <c r="B63" s="106" t="s">
        <v>93</v>
      </c>
      <c r="C63" s="171">
        <f>'Escenario 3 (acet)'!C183</f>
        <v>65.488963502830316</v>
      </c>
      <c r="D63" s="171">
        <f>'Escenario 3 (acet)'!C182</f>
        <v>743.22828807828955</v>
      </c>
      <c r="E63" s="196"/>
      <c r="F63" s="196"/>
      <c r="G63" s="92"/>
      <c r="H63" s="166"/>
    </row>
    <row r="64" spans="1:9">
      <c r="A64" s="286"/>
      <c r="B64" s="2" t="s">
        <v>94</v>
      </c>
      <c r="C64" s="91">
        <f>'Escenario 4 (acet)'!C183</f>
        <v>342.56130727919367</v>
      </c>
      <c r="D64" s="91">
        <f>'Escenario 4 (acet)'!C182</f>
        <v>2122.1334427204151</v>
      </c>
      <c r="E64" s="196"/>
      <c r="F64" s="196"/>
      <c r="G64" s="92"/>
      <c r="H64" s="166"/>
    </row>
    <row r="65" spans="1:8">
      <c r="D65" s="75"/>
      <c r="E65" s="75"/>
      <c r="F65" s="75"/>
    </row>
    <row r="66" spans="1:8">
      <c r="C66" s="257" t="s">
        <v>126</v>
      </c>
      <c r="D66" s="257"/>
      <c r="E66" s="257"/>
      <c r="F66" s="257"/>
      <c r="G66" s="257"/>
      <c r="H66" s="257"/>
    </row>
    <row r="67" spans="1:8">
      <c r="C67" s="4" t="s">
        <v>127</v>
      </c>
      <c r="D67" s="11" t="s">
        <v>128</v>
      </c>
      <c r="E67" s="4" t="s">
        <v>48</v>
      </c>
      <c r="F67" s="4" t="s">
        <v>47</v>
      </c>
      <c r="G67" s="4" t="s">
        <v>129</v>
      </c>
      <c r="H67" s="281"/>
    </row>
    <row r="68" spans="1:8">
      <c r="A68" s="284"/>
      <c r="B68" s="63" t="s">
        <v>91</v>
      </c>
      <c r="C68" s="91">
        <f>'Escenario 1'!M116</f>
        <v>4049.5787499999942</v>
      </c>
      <c r="D68" s="91">
        <f>'Escenario 1'!M117</f>
        <v>25848.374999999967</v>
      </c>
      <c r="E68" s="91">
        <f>'Escenario 1'!M118</f>
        <v>32741.274999999954</v>
      </c>
      <c r="F68" s="91">
        <f>'Escenario 1'!M120</f>
        <v>19220.045875940992</v>
      </c>
      <c r="G68" s="91">
        <v>0</v>
      </c>
      <c r="H68" s="282"/>
    </row>
    <row r="69" spans="1:8">
      <c r="A69" s="284"/>
      <c r="B69" s="63" t="s">
        <v>92</v>
      </c>
      <c r="C69" s="91">
        <f>'Escenario 2'!M116</f>
        <v>4049.5787499999942</v>
      </c>
      <c r="D69" s="91">
        <f>'Escenario 2'!M117</f>
        <v>25848.374999999967</v>
      </c>
      <c r="E69" s="91">
        <f>'Escenario 2'!M118</f>
        <v>32741.274999999954</v>
      </c>
      <c r="F69" s="91">
        <f>'Escenario 2'!M120</f>
        <v>15022.711144878442</v>
      </c>
      <c r="G69" s="91">
        <v>0</v>
      </c>
      <c r="H69" s="282"/>
    </row>
    <row r="70" spans="1:8">
      <c r="A70" s="284"/>
      <c r="B70" s="63" t="s">
        <v>93</v>
      </c>
      <c r="C70" s="91">
        <f>'Escenario 3 (acet)'!M135</f>
        <v>4049.5787500000001</v>
      </c>
      <c r="D70" s="91">
        <f>'Escenario 3 (acet)'!M136</f>
        <v>25848.375</v>
      </c>
      <c r="E70" s="91">
        <f>'Escenario 3 (acet)'!M137</f>
        <v>27993.790124999996</v>
      </c>
      <c r="F70" s="91">
        <f>'Escenario 3 (acet)'!M139</f>
        <v>15550.895768893235</v>
      </c>
      <c r="G70" s="91">
        <f>'Escenario 3 (acet)'!M140</f>
        <v>3274.1275000000001</v>
      </c>
      <c r="H70" s="282"/>
    </row>
    <row r="71" spans="1:8">
      <c r="A71" s="92"/>
      <c r="B71" s="2" t="s">
        <v>94</v>
      </c>
      <c r="C71" s="91">
        <f>'Escenario 4 (acet)'!M135</f>
        <v>4049.5787500000001</v>
      </c>
      <c r="D71" s="91">
        <f>'Escenario 4 (acet)'!M136</f>
        <v>25848.375</v>
      </c>
      <c r="E71" s="91">
        <f>'Escenario 4 (acet)'!M137</f>
        <v>27993.790124999996</v>
      </c>
      <c r="F71" s="91">
        <f>'Escenario 4 (acet)'!M139</f>
        <v>13218.598652572107</v>
      </c>
      <c r="G71" s="91">
        <f>'Escenario 4 (acet)'!M140</f>
        <v>727.58388888888874</v>
      </c>
      <c r="H71" s="283"/>
    </row>
    <row r="72" spans="1:8">
      <c r="C72" s="4" t="s">
        <v>130</v>
      </c>
      <c r="D72" s="4" t="s">
        <v>131</v>
      </c>
      <c r="E72" s="4" t="s">
        <v>132</v>
      </c>
      <c r="F72" s="4" t="s">
        <v>133</v>
      </c>
      <c r="G72" s="4" t="s">
        <v>134</v>
      </c>
      <c r="H72" s="4" t="s">
        <v>46</v>
      </c>
    </row>
    <row r="73" spans="1:8">
      <c r="B73" s="2" t="s">
        <v>85</v>
      </c>
      <c r="C73" s="91">
        <f>'Escenario 1'!O126</f>
        <v>186.50769999999994</v>
      </c>
      <c r="D73" s="91">
        <f>'Escenario 1'!O125</f>
        <v>4308.0624999999936</v>
      </c>
      <c r="E73" s="91">
        <f>'Escenario 1'!M123</f>
        <v>55332.754749999935</v>
      </c>
      <c r="F73" s="91">
        <f>'Escenario 1'!M124</f>
        <v>4547.3993055555493</v>
      </c>
      <c r="G73" s="91">
        <v>0</v>
      </c>
      <c r="H73" s="91">
        <f>'Escenario 1'!M127</f>
        <v>43532.044644885653</v>
      </c>
    </row>
    <row r="74" spans="1:8">
      <c r="B74" s="2" t="s">
        <v>86</v>
      </c>
      <c r="C74" s="91">
        <f>'Escenario 2'!O126</f>
        <v>186.28869999999998</v>
      </c>
      <c r="D74" s="91">
        <v>0</v>
      </c>
      <c r="E74" s="91">
        <f>'Escenario 2'!M123</f>
        <v>48966.395722222165</v>
      </c>
      <c r="F74" s="91">
        <f>'Escenario 2'!M124</f>
        <v>4547.3993055555493</v>
      </c>
      <c r="G74" s="91">
        <f>'Escenario 2'!O125</f>
        <v>21540.312499999971</v>
      </c>
      <c r="H74" s="91">
        <f>'Escenario 2'!M127</f>
        <v>9673.7876988634798</v>
      </c>
    </row>
    <row r="75" spans="1:8">
      <c r="B75" s="2" t="s">
        <v>87</v>
      </c>
      <c r="C75" s="91">
        <f>'Escenario 3 (acet)'!M145</f>
        <v>292.87599999999998</v>
      </c>
      <c r="D75" s="91">
        <f>'Escenario 3 (acet)'!M146</f>
        <v>4931.2381008333332</v>
      </c>
      <c r="E75" s="91">
        <f>'Escenario 3 (acet)'!M143</f>
        <v>57292.863326954459</v>
      </c>
      <c r="F75" s="91">
        <f>'Escenario 3 (acet)'!M144</f>
        <v>4547.3993055555547</v>
      </c>
      <c r="G75" s="91">
        <v>0</v>
      </c>
      <c r="H75" s="91">
        <f>'Escenario 3 (acet) (2)'!M147</f>
        <v>133994.55838717765</v>
      </c>
    </row>
    <row r="76" spans="1:8">
      <c r="B76" s="2" t="s">
        <v>88</v>
      </c>
      <c r="C76" s="91">
        <f>'Escenario 4 (acet)'!M145</f>
        <v>292.87599999999998</v>
      </c>
      <c r="D76" s="91">
        <v>0</v>
      </c>
      <c r="E76" s="91">
        <f>'Escenario 4 (acet)'!M143</f>
        <v>49421.501094064406</v>
      </c>
      <c r="F76" s="91">
        <f>'Escenario 4 (acet)'!M144</f>
        <v>4547.3993055555547</v>
      </c>
      <c r="G76" s="91">
        <f>'Escenario 4 (acet)'!M146</f>
        <v>22232.729834259258</v>
      </c>
      <c r="H76" s="171">
        <f>'Escenario 4 (acet)'!M147</f>
        <v>29887.417712040635</v>
      </c>
    </row>
    <row r="77" spans="1:8">
      <c r="C77" s="177" t="s">
        <v>135</v>
      </c>
      <c r="D77" s="177" t="s">
        <v>136</v>
      </c>
    </row>
    <row r="78" spans="1:8">
      <c r="B78" s="63" t="s">
        <v>91</v>
      </c>
      <c r="C78" s="91">
        <f>SUM(C68:G68)</f>
        <v>81859.274625940903</v>
      </c>
      <c r="D78" s="91">
        <f>SUM(C73:H73)</f>
        <v>107906.76890044112</v>
      </c>
    </row>
    <row r="79" spans="1:8">
      <c r="B79" s="63" t="s">
        <v>92</v>
      </c>
      <c r="C79" s="91">
        <f>SUM(C69:G69)</f>
        <v>77661.939894878364</v>
      </c>
      <c r="D79" s="91">
        <f>SUM(C74:H74)</f>
        <v>84914.183926641155</v>
      </c>
      <c r="G79" s="207">
        <f>SUM(C68:G68)</f>
        <v>81859.274625940903</v>
      </c>
    </row>
    <row r="80" spans="1:8">
      <c r="B80" s="63" t="s">
        <v>93</v>
      </c>
      <c r="C80" s="91">
        <f>SUM(C70:G70)</f>
        <v>76716.76714389323</v>
      </c>
      <c r="D80" s="91">
        <f>SUM(C75:H75)</f>
        <v>201058.935120521</v>
      </c>
      <c r="G80" s="207">
        <f t="shared" ref="G80:G82" si="8">SUM(C69:G69)</f>
        <v>77661.939894878364</v>
      </c>
    </row>
    <row r="81" spans="2:24">
      <c r="B81" s="2" t="s">
        <v>94</v>
      </c>
      <c r="C81" s="91">
        <f>'Escenario 4 (acet)'!M141</f>
        <v>71837.926416460992</v>
      </c>
      <c r="D81" s="91">
        <f>'Escenario 4 (acet)'!M148</f>
        <v>106381.92394591986</v>
      </c>
      <c r="G81" s="207">
        <f t="shared" si="8"/>
        <v>76716.76714389323</v>
      </c>
    </row>
    <row r="82" spans="2:24">
      <c r="G82" s="207">
        <f t="shared" si="8"/>
        <v>71837.926416460992</v>
      </c>
    </row>
    <row r="84" spans="2:24">
      <c r="C84" s="257" t="s">
        <v>137</v>
      </c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</row>
    <row r="85" spans="2:24" ht="17.25">
      <c r="C85" s="280" t="s">
        <v>138</v>
      </c>
      <c r="D85" s="280"/>
      <c r="E85" s="280"/>
      <c r="F85" s="280" t="s">
        <v>139</v>
      </c>
      <c r="G85" s="280"/>
      <c r="H85" s="280"/>
      <c r="I85" s="280" t="s">
        <v>140</v>
      </c>
      <c r="J85" s="280"/>
      <c r="K85" s="280"/>
      <c r="L85" s="280" t="s">
        <v>141</v>
      </c>
      <c r="M85" s="280"/>
      <c r="N85" s="280"/>
      <c r="Q85" s="275" t="s">
        <v>91</v>
      </c>
      <c r="R85" s="276"/>
      <c r="S85" s="275" t="s">
        <v>92</v>
      </c>
      <c r="T85" s="276"/>
      <c r="U85" s="275" t="s">
        <v>93</v>
      </c>
      <c r="V85" s="276"/>
      <c r="W85" s="275" t="s">
        <v>94</v>
      </c>
      <c r="X85" s="276"/>
    </row>
    <row r="86" spans="2:24">
      <c r="B86" s="2"/>
      <c r="C86" s="2" t="s">
        <v>2</v>
      </c>
      <c r="D86" s="2" t="s">
        <v>3</v>
      </c>
      <c r="E86" s="2" t="s">
        <v>1</v>
      </c>
      <c r="F86" s="2" t="s">
        <v>2</v>
      </c>
      <c r="G86" s="2" t="s">
        <v>3</v>
      </c>
      <c r="H86" s="2" t="s">
        <v>1</v>
      </c>
      <c r="I86" s="2" t="s">
        <v>2</v>
      </c>
      <c r="J86" s="2" t="s">
        <v>3</v>
      </c>
      <c r="K86" s="2" t="s">
        <v>1</v>
      </c>
      <c r="L86" s="2" t="s">
        <v>2</v>
      </c>
      <c r="M86" s="2" t="s">
        <v>3</v>
      </c>
      <c r="N86" s="2" t="s">
        <v>1</v>
      </c>
      <c r="Q86" s="2" t="s">
        <v>2</v>
      </c>
      <c r="R86" s="2" t="s">
        <v>1</v>
      </c>
      <c r="S86" s="2" t="s">
        <v>2</v>
      </c>
      <c r="T86" s="2" t="s">
        <v>1</v>
      </c>
      <c r="U86" s="2" t="s">
        <v>2</v>
      </c>
      <c r="V86" s="2" t="s">
        <v>1</v>
      </c>
      <c r="W86" s="2" t="s">
        <v>2</v>
      </c>
      <c r="X86" s="2" t="s">
        <v>1</v>
      </c>
    </row>
    <row r="87" spans="2:24">
      <c r="B87" s="193" t="s">
        <v>22</v>
      </c>
      <c r="C87" s="227">
        <f>'Sensibilidad proceso 1'!H203</f>
        <v>62.202089405009914</v>
      </c>
      <c r="D87" s="227">
        <f>'Sensibilidad proceso 1'!I203</f>
        <v>65.488963502830316</v>
      </c>
      <c r="E87" s="227">
        <f>'Sensibilidad proceso 1'!G203</f>
        <v>69.617002711753102</v>
      </c>
      <c r="F87" s="227">
        <f>'Sensibilidad proceso 2'!H203</f>
        <v>321.98400532396636</v>
      </c>
      <c r="G87" s="227">
        <f>'Sensibilidad proceso 2'!I203</f>
        <v>342.56130727919367</v>
      </c>
      <c r="H87" s="227">
        <f>'Sensibilidad proceso 2'!G203</f>
        <v>368.02392216388836</v>
      </c>
      <c r="I87" s="227">
        <f>'Sensibilidad proceso 3'!H203</f>
        <v>309.24351973641768</v>
      </c>
      <c r="J87" s="227">
        <f>'Sensibilidad proceso 3'!I203</f>
        <v>349.17164363183332</v>
      </c>
      <c r="K87" s="227">
        <f>'Sensibilidad proceso 3'!G203</f>
        <v>407.96654060661047</v>
      </c>
      <c r="L87" s="227">
        <f>'Sensibilidad proceso 4'!H203</f>
        <v>1767.4280349537776</v>
      </c>
      <c r="M87" s="227">
        <f>'Sensibilidad proceso 4'!I203</f>
        <v>2122.1334427204151</v>
      </c>
      <c r="N87" s="227">
        <f>'Sensibilidad proceso 4'!G203</f>
        <v>2567.055641999902</v>
      </c>
      <c r="P87" s="214" t="s">
        <v>22</v>
      </c>
      <c r="Q87" s="35">
        <f>(D87-C87)/D87</f>
        <v>5.0189740713766966E-2</v>
      </c>
      <c r="R87" s="35">
        <f>(D87-E87)/D87</f>
        <v>-6.3034120378838793E-2</v>
      </c>
      <c r="S87" s="35">
        <f>(G87-F87)/G87</f>
        <v>6.0068961432519399E-2</v>
      </c>
      <c r="T87" s="35">
        <f>(G87-H87)/G87</f>
        <v>-7.4330096083917024E-2</v>
      </c>
      <c r="U87" s="35">
        <f>(J87-I87)/J87</f>
        <v>0.11435099219430277</v>
      </c>
      <c r="V87" s="35">
        <f>(J87-K87)/J87</f>
        <v>-0.16838393966713547</v>
      </c>
      <c r="W87" s="35">
        <f>(M87-L87)/M87</f>
        <v>0.16714566606703674</v>
      </c>
      <c r="X87" s="35">
        <f>(M87-N87)/M87</f>
        <v>-0.2096579745282795</v>
      </c>
    </row>
    <row r="88" spans="2:24">
      <c r="B88" s="193" t="s">
        <v>8</v>
      </c>
      <c r="C88" s="227">
        <f>'Sensibilidad proceso 1'!Q103</f>
        <v>71.641689310885241</v>
      </c>
      <c r="D88" s="227">
        <f>'Sensibilidad proceso 1'!R103</f>
        <v>65.488963502830316</v>
      </c>
      <c r="E88" s="227">
        <f>'Sensibilidad proceso 1'!S103</f>
        <v>59.336237694775399</v>
      </c>
      <c r="F88" s="227">
        <f>'Sensibilidad proceso 2'!Q103</f>
        <v>374.54550786974545</v>
      </c>
      <c r="G88" s="227">
        <f>'Sensibilidad proceso 2'!R103</f>
        <v>342.56130727919367</v>
      </c>
      <c r="H88" s="227">
        <f>'Sensibilidad proceso 2'!S103</f>
        <v>310.57710668864189</v>
      </c>
      <c r="I88" s="227">
        <f>'Sensibilidad proceso 3'!Q103</f>
        <v>420.4160736219211</v>
      </c>
      <c r="J88" s="227">
        <f>'Sensibilidad proceso 3'!R103</f>
        <v>349.17164363183332</v>
      </c>
      <c r="K88" s="227">
        <f>'Sensibilidad proceso 3'!S103</f>
        <v>286.93778578410007</v>
      </c>
      <c r="L88" s="227">
        <f>'Sensibilidad proceso 4'!Q103</f>
        <v>2487.0917536714401</v>
      </c>
      <c r="M88" s="227">
        <f>'Sensibilidad proceso 4'!R103</f>
        <v>2122.1334427204151</v>
      </c>
      <c r="N88" s="227">
        <f>'Sensibilidad proceso 4'!S103</f>
        <v>1757.1751317693906</v>
      </c>
      <c r="P88" s="214" t="s">
        <v>8</v>
      </c>
      <c r="Q88" s="35">
        <f t="shared" ref="Q88:Q92" si="9">(D88-C88)/D88</f>
        <v>-9.3950575470460984E-2</v>
      </c>
      <c r="R88" s="35">
        <f t="shared" ref="R88:R92" si="10">(D88-E88)/D88</f>
        <v>9.3950575470460873E-2</v>
      </c>
      <c r="S88" s="35">
        <f t="shared" ref="S88:S92" si="11">(G88-F88)/G88</f>
        <v>-9.3367814493083068E-2</v>
      </c>
      <c r="T88" s="35">
        <f t="shared" ref="T88:T92" si="12">(G88-H88)/G88</f>
        <v>9.3367814493083068E-2</v>
      </c>
      <c r="U88" s="35">
        <f t="shared" ref="U88:U92" si="13">(J88-I88)/J88</f>
        <v>-0.20403841860998292</v>
      </c>
      <c r="V88" s="35">
        <f t="shared" ref="V88:V92" si="14">(J88-K88)/J88</f>
        <v>0.17823285190177884</v>
      </c>
      <c r="W88" s="35">
        <f t="shared" ref="W88:W92" si="15">(M88-L88)/M88</f>
        <v>-0.1719770791054383</v>
      </c>
      <c r="X88" s="35">
        <f t="shared" ref="X88:X92" si="16">(M88-N88)/M88</f>
        <v>0.17197707910543808</v>
      </c>
    </row>
    <row r="89" spans="2:24">
      <c r="B89" s="193" t="s">
        <v>142</v>
      </c>
      <c r="C89" s="227">
        <f>'Sensibilidad proceso 1'!Q104</f>
        <v>67.470225689351068</v>
      </c>
      <c r="D89" s="227">
        <f>'Sensibilidad proceso 1'!R104</f>
        <v>65.488963502830316</v>
      </c>
      <c r="E89" s="227">
        <f>'Sensibilidad proceso 1'!S104</f>
        <v>63.952249597725519</v>
      </c>
      <c r="F89" s="227">
        <f>'Sensibilidad proceso 2'!Q104</f>
        <v>344.51952819029509</v>
      </c>
      <c r="G89" s="227">
        <f>'Sensibilidad proceso 2'!R104</f>
        <v>342.56130727919367</v>
      </c>
      <c r="H89" s="227">
        <f>'Sensibilidad proceso 2'!S104</f>
        <v>337.21911931324962</v>
      </c>
      <c r="I89" s="227">
        <f>'Sensibilidad proceso 3'!Q104</f>
        <v>417.18936574715758</v>
      </c>
      <c r="J89" s="227">
        <f>'Sensibilidad proceso 3'!R104</f>
        <v>349.17164363183332</v>
      </c>
      <c r="K89" s="227">
        <f>'Sensibilidad proceso 3'!S104</f>
        <v>290.16449365886359</v>
      </c>
      <c r="L89" s="227">
        <f>'Sensibilidad proceso 4'!Q104</f>
        <v>2190.0353715423134</v>
      </c>
      <c r="M89" s="227">
        <f>'Sensibilidad proceso 4'!R104</f>
        <v>2122.1334427204151</v>
      </c>
      <c r="N89" s="227">
        <f>'Sensibilidad proceso 4'!S104</f>
        <v>2054.2315138985173</v>
      </c>
      <c r="P89" s="214" t="s">
        <v>46</v>
      </c>
      <c r="Q89" s="35">
        <f t="shared" si="9"/>
        <v>-3.0253375233754085E-2</v>
      </c>
      <c r="R89" s="35">
        <f t="shared" si="10"/>
        <v>2.3465234795453482E-2</v>
      </c>
      <c r="S89" s="35">
        <f t="shared" si="11"/>
        <v>-5.7164100833648306E-3</v>
      </c>
      <c r="T89" s="35">
        <f t="shared" si="12"/>
        <v>1.559483763176461E-2</v>
      </c>
      <c r="U89" s="35">
        <f t="shared" si="13"/>
        <v>-0.19479738219247314</v>
      </c>
      <c r="V89" s="35">
        <f t="shared" si="14"/>
        <v>0.16899181548426906</v>
      </c>
      <c r="W89" s="35">
        <f t="shared" si="15"/>
        <v>-3.1997011806596455E-2</v>
      </c>
      <c r="X89" s="35">
        <f t="shared" si="16"/>
        <v>3.199701180659624E-2</v>
      </c>
    </row>
    <row r="90" spans="2:24">
      <c r="B90" s="2" t="s">
        <v>47</v>
      </c>
      <c r="C90" s="91">
        <f>'Sensibilidad proceso 1'!Q105</f>
        <v>67.025677407935135</v>
      </c>
      <c r="D90" s="91">
        <f>'Sensibilidad proceso 1'!R105</f>
        <v>65.488963502830316</v>
      </c>
      <c r="E90" s="91">
        <f>'Sensibilidad proceso 1'!S105</f>
        <v>63.952249597725519</v>
      </c>
      <c r="F90" s="91">
        <f>'Sensibilidad proceso 2'!Q105</f>
        <v>347.90349524513766</v>
      </c>
      <c r="G90" s="91">
        <f>'Sensibilidad proceso 2'!R105</f>
        <v>342.56130727919367</v>
      </c>
      <c r="H90" s="91">
        <f>'Sensibilidad proceso 2'!S105</f>
        <v>337.21911931324962</v>
      </c>
      <c r="I90" s="91">
        <f>'Sensibilidad proceso 3'!Q105</f>
        <v>0</v>
      </c>
      <c r="J90" s="91">
        <f>'Sensibilidad proceso 3'!R105</f>
        <v>349.17164363183332</v>
      </c>
      <c r="K90" s="91">
        <f>'Sensibilidad proceso 3'!S105</f>
        <v>0</v>
      </c>
      <c r="L90" s="91">
        <f>'Sensibilidad proceso 4'!Q105</f>
        <v>0</v>
      </c>
      <c r="M90" s="91">
        <f>'Sensibilidad proceso 4'!R105</f>
        <v>2122.1334427204151</v>
      </c>
      <c r="N90" s="91">
        <f>'Sensibilidad proceso 4'!S105</f>
        <v>0</v>
      </c>
      <c r="P90" s="197" t="s">
        <v>47</v>
      </c>
      <c r="Q90" s="35">
        <f t="shared" si="9"/>
        <v>-2.3465234795453808E-2</v>
      </c>
      <c r="R90" s="35">
        <f t="shared" si="10"/>
        <v>2.3465234795453482E-2</v>
      </c>
      <c r="S90" s="35">
        <f t="shared" si="11"/>
        <v>-1.5594837631764443E-2</v>
      </c>
      <c r="T90" s="35">
        <f t="shared" si="12"/>
        <v>1.559483763176461E-2</v>
      </c>
      <c r="U90" s="35">
        <f t="shared" si="13"/>
        <v>1</v>
      </c>
      <c r="V90" s="35">
        <f t="shared" si="14"/>
        <v>1</v>
      </c>
      <c r="W90" s="35">
        <f t="shared" si="15"/>
        <v>1</v>
      </c>
      <c r="X90" s="35">
        <f t="shared" si="16"/>
        <v>1</v>
      </c>
    </row>
    <row r="91" spans="2:24">
      <c r="B91" s="2" t="s">
        <v>48</v>
      </c>
      <c r="C91" s="91">
        <f>'Sensibilidad proceso 1'!Q106</f>
        <v>68.106749791589479</v>
      </c>
      <c r="D91" s="91">
        <f>'Sensibilidad proceso 1'!R106</f>
        <v>65.488963502830316</v>
      </c>
      <c r="E91" s="91">
        <f>'Sensibilidad proceso 1'!S106</f>
        <v>62.87117721407116</v>
      </c>
      <c r="F91" s="91">
        <f>'Sensibilidad proceso 2'!Q106</f>
        <v>354.2043485124197</v>
      </c>
      <c r="G91" s="91">
        <f>'Sensibilidad proceso 2'!R106</f>
        <v>342.56130727919367</v>
      </c>
      <c r="H91" s="91">
        <f>'Sensibilidad proceso 2'!S106</f>
        <v>330.91826604596764</v>
      </c>
      <c r="I91" s="91">
        <f>'Sensibilidad proceso 3'!Q106</f>
        <v>0</v>
      </c>
      <c r="J91" s="91">
        <f>'Sensibilidad proceso 3'!R106</f>
        <v>349.17164363183332</v>
      </c>
      <c r="K91" s="91">
        <f>'Sensibilidad proceso 3'!S106</f>
        <v>0</v>
      </c>
      <c r="L91" s="91">
        <f>'Sensibilidad proceso 4'!Q106</f>
        <v>0</v>
      </c>
      <c r="M91" s="91">
        <f>'Sensibilidad proceso 4'!R106</f>
        <v>2122.1334427204151</v>
      </c>
      <c r="N91" s="91">
        <f>'Sensibilidad proceso 4'!S106</f>
        <v>0</v>
      </c>
      <c r="P91" s="197" t="s">
        <v>48</v>
      </c>
      <c r="Q91" s="35">
        <f t="shared" si="9"/>
        <v>-3.9972938167604791E-2</v>
      </c>
      <c r="R91" s="35">
        <f t="shared" si="10"/>
        <v>3.997293816760468E-2</v>
      </c>
      <c r="S91" s="35">
        <f t="shared" si="11"/>
        <v>-3.3988197107552312E-2</v>
      </c>
      <c r="T91" s="35">
        <f t="shared" si="12"/>
        <v>3.3988197107552312E-2</v>
      </c>
      <c r="U91" s="35">
        <f t="shared" si="13"/>
        <v>1</v>
      </c>
      <c r="V91" s="35">
        <f t="shared" si="14"/>
        <v>1</v>
      </c>
      <c r="W91" s="35">
        <f t="shared" si="15"/>
        <v>1</v>
      </c>
      <c r="X91" s="35">
        <f t="shared" si="16"/>
        <v>1</v>
      </c>
    </row>
    <row r="92" spans="2:24" ht="18">
      <c r="B92" s="2" t="s">
        <v>143</v>
      </c>
      <c r="C92" s="91">
        <f>'Sensibilidad proceso 1'!Q107</f>
        <v>67.555636888692817</v>
      </c>
      <c r="D92" s="91">
        <f>'Sensibilidad proceso 1'!R107</f>
        <v>65.488963502830316</v>
      </c>
      <c r="E92" s="91">
        <f>'Sensibilidad proceso 1'!S107</f>
        <v>63.422290116967829</v>
      </c>
      <c r="F92" s="91">
        <f>'Sensibilidad proceso 2'!Q107</f>
        <v>351.75318193700372</v>
      </c>
      <c r="G92" s="91">
        <f>'Sensibilidad proceso 2'!R107</f>
        <v>342.56130727919367</v>
      </c>
      <c r="H92" s="91">
        <f>'Sensibilidad proceso 2'!S107</f>
        <v>333.36943262138368</v>
      </c>
      <c r="I92" s="91">
        <f>'Sensibilidad proceso 3'!Q107</f>
        <v>0</v>
      </c>
      <c r="J92" s="91">
        <f>'Sensibilidad proceso 3'!R107</f>
        <v>349.17164363183332</v>
      </c>
      <c r="K92" s="91">
        <f>'Sensibilidad proceso 3'!S107</f>
        <v>0</v>
      </c>
      <c r="L92" s="91">
        <f>'Sensibilidad proceso 4'!Q107</f>
        <v>0</v>
      </c>
      <c r="M92" s="91">
        <f>'Sensibilidad proceso 4'!R107</f>
        <v>2122.1334427204151</v>
      </c>
      <c r="N92" s="91">
        <f>'Sensibilidad proceso 4'!S107</f>
        <v>0</v>
      </c>
      <c r="P92" s="198" t="s">
        <v>143</v>
      </c>
      <c r="Q92" s="35">
        <f t="shared" si="9"/>
        <v>-3.1557582763898577E-2</v>
      </c>
      <c r="R92" s="35">
        <f t="shared" si="10"/>
        <v>3.1557582763898355E-2</v>
      </c>
      <c r="S92" s="35">
        <f t="shared" si="11"/>
        <v>-2.6832787190172947E-2</v>
      </c>
      <c r="T92" s="35">
        <f t="shared" si="12"/>
        <v>2.6832787190172781E-2</v>
      </c>
      <c r="U92" s="35">
        <f t="shared" si="13"/>
        <v>1</v>
      </c>
      <c r="V92" s="35">
        <f t="shared" si="14"/>
        <v>1</v>
      </c>
      <c r="W92" s="35">
        <f t="shared" si="15"/>
        <v>1</v>
      </c>
      <c r="X92" s="35">
        <f t="shared" si="16"/>
        <v>1</v>
      </c>
    </row>
    <row r="93" spans="2:24" ht="17.25">
      <c r="C93" s="280" t="s">
        <v>144</v>
      </c>
      <c r="D93" s="280"/>
      <c r="E93" s="280"/>
      <c r="F93" s="280" t="s">
        <v>145</v>
      </c>
      <c r="G93" s="280"/>
      <c r="H93" s="280"/>
      <c r="I93" s="280" t="s">
        <v>146</v>
      </c>
      <c r="J93" s="280"/>
      <c r="K93" s="280"/>
      <c r="L93" s="280" t="s">
        <v>147</v>
      </c>
      <c r="M93" s="280"/>
      <c r="N93" s="280"/>
      <c r="Q93" s="275" t="s">
        <v>91</v>
      </c>
      <c r="R93" s="276"/>
      <c r="S93" s="275" t="s">
        <v>92</v>
      </c>
      <c r="T93" s="276"/>
      <c r="U93" s="275" t="s">
        <v>93</v>
      </c>
      <c r="V93" s="276"/>
      <c r="W93" s="275" t="s">
        <v>94</v>
      </c>
      <c r="X93" s="276"/>
    </row>
    <row r="94" spans="2:24">
      <c r="B94" s="2"/>
      <c r="C94" s="2" t="s">
        <v>2</v>
      </c>
      <c r="D94" s="2" t="s">
        <v>3</v>
      </c>
      <c r="E94" s="2" t="s">
        <v>1</v>
      </c>
      <c r="F94" s="2" t="s">
        <v>2</v>
      </c>
      <c r="G94" s="2" t="s">
        <v>3</v>
      </c>
      <c r="H94" s="2" t="s">
        <v>1</v>
      </c>
      <c r="I94" s="2" t="s">
        <v>2</v>
      </c>
      <c r="J94" s="2" t="s">
        <v>3</v>
      </c>
      <c r="K94" s="2" t="s">
        <v>1</v>
      </c>
      <c r="L94" s="2" t="s">
        <v>2</v>
      </c>
      <c r="M94" s="2" t="s">
        <v>3</v>
      </c>
      <c r="N94" s="2" t="s">
        <v>1</v>
      </c>
      <c r="Q94" s="2" t="s">
        <v>2</v>
      </c>
      <c r="R94" s="2" t="s">
        <v>1</v>
      </c>
      <c r="S94" s="2" t="s">
        <v>2</v>
      </c>
      <c r="T94" s="2" t="s">
        <v>1</v>
      </c>
      <c r="U94" s="2" t="s">
        <v>2</v>
      </c>
      <c r="V94" s="2" t="s">
        <v>1</v>
      </c>
      <c r="W94" s="2" t="s">
        <v>2</v>
      </c>
      <c r="X94" s="2" t="s">
        <v>1</v>
      </c>
    </row>
    <row r="95" spans="2:24">
      <c r="B95" s="193" t="s">
        <v>22</v>
      </c>
      <c r="C95" s="212">
        <f>'Sensibilidad proceso 1'!H204</f>
        <v>9040.9828244526761</v>
      </c>
      <c r="D95" s="212">
        <f>'Sensibilidad proceso 1'!I204</f>
        <v>8223.7588417518691</v>
      </c>
      <c r="E95" s="212">
        <f>'Sensibilidad proceso 1'!G204</f>
        <v>7403.9190744526813</v>
      </c>
      <c r="F95" s="212">
        <f>'Sensibilidad proceso 2'!H204</f>
        <v>2030.9011167341985</v>
      </c>
      <c r="G95" s="212">
        <f>'Sensibilidad proceso 2'!I204</f>
        <v>1849.0051445119771</v>
      </c>
      <c r="H95" s="212">
        <f>'Sensibilidad proceso 2'!G204</f>
        <v>1667.1091722897547</v>
      </c>
      <c r="I95" s="212">
        <f>'Sensibilidad proceso 3'!H204</f>
        <v>868.81336377494165</v>
      </c>
      <c r="J95" s="212">
        <f>'Sensibilidad proceso 3'!I204</f>
        <v>292.0627246627721</v>
      </c>
      <c r="K95" s="212">
        <f>'Sensibilidad proceso 3'!G204</f>
        <v>710.84729763404323</v>
      </c>
      <c r="L95" s="212">
        <f>'Sensibilidad proceso 4'!H204</f>
        <v>181.21836961999497</v>
      </c>
      <c r="M95" s="212">
        <f>'Sensibilidad proceso 4'!I204</f>
        <v>164.74397238181376</v>
      </c>
      <c r="N95" s="212">
        <f>'Sensibilidad proceso 4'!G204</f>
        <v>148.26957514363224</v>
      </c>
      <c r="P95" s="197" t="s">
        <v>22</v>
      </c>
      <c r="Q95" s="35">
        <f>(D95-C95)/D95</f>
        <v>-9.9373534465988497E-2</v>
      </c>
      <c r="R95" s="35">
        <f>(D95-E95)/D95</f>
        <v>9.9691610986557225E-2</v>
      </c>
      <c r="S95" s="35">
        <f>(G95-F95)/G95</f>
        <v>-9.8375049286426236E-2</v>
      </c>
      <c r="T95" s="35">
        <f>(G95-H95)/G95</f>
        <v>9.8375049286426736E-2</v>
      </c>
      <c r="U95" s="35">
        <f>(J95-I95)/J95</f>
        <v>-1.9747492247705012</v>
      </c>
      <c r="V95" s="35">
        <f>(J95-K95)/J95</f>
        <v>-1.433885729357683</v>
      </c>
      <c r="W95" s="35">
        <f t="shared" ref="W95:W100" si="17">(M95-L95)/M95</f>
        <v>-9.9999999999998992E-2</v>
      </c>
      <c r="X95" s="35">
        <f>(L95-N95)/L95</f>
        <v>0.18181818181818188</v>
      </c>
    </row>
    <row r="96" spans="2:24">
      <c r="B96" s="193" t="s">
        <v>8</v>
      </c>
      <c r="C96" s="212">
        <f>'Sensibilidad proceso 1'!Q129</f>
        <v>8223.7588417518691</v>
      </c>
      <c r="D96" s="212">
        <f>'Sensibilidad proceso 1'!R129</f>
        <v>8223.7588417518691</v>
      </c>
      <c r="E96" s="212">
        <f>'Sensibilidad proceso 1'!S129</f>
        <v>8223.7588417518691</v>
      </c>
      <c r="F96" s="212">
        <f>'Sensibilidad proceso 2'!Q129</f>
        <v>1849.0051445119771</v>
      </c>
      <c r="G96" s="212">
        <f>'Sensibilidad proceso 2'!R129</f>
        <v>1849.0051445119771</v>
      </c>
      <c r="H96" s="212">
        <f>'Sensibilidad proceso 2'!S129</f>
        <v>1849.0051445119771</v>
      </c>
      <c r="I96" s="212">
        <f>'Sensibilidad proceso 3'!Q129</f>
        <v>292.0627246627721</v>
      </c>
      <c r="J96" s="212">
        <f>'Sensibilidad proceso 3'!R129</f>
        <v>292.0627246627721</v>
      </c>
      <c r="K96" s="212">
        <f>'Sensibilidad proceso 3'!S129</f>
        <v>292.0627246627721</v>
      </c>
      <c r="L96" s="212">
        <f>'Sensibilidad proceso 4'!Q129</f>
        <v>164.74397238181376</v>
      </c>
      <c r="M96" s="212">
        <f>'Sensibilidad proceso 4'!R129</f>
        <v>164.74397238181376</v>
      </c>
      <c r="N96" s="212">
        <f>'Sensibilidad proceso 4'!S129</f>
        <v>164.74397238181376</v>
      </c>
      <c r="P96" s="197" t="s">
        <v>8</v>
      </c>
      <c r="Q96" s="35">
        <f t="shared" ref="Q96:Q100" si="18">(D96-C96)/D96</f>
        <v>0</v>
      </c>
      <c r="R96" s="35">
        <f t="shared" ref="R96:R100" si="19">(D96-E96)/D96</f>
        <v>0</v>
      </c>
      <c r="S96" s="35">
        <f t="shared" ref="S96:S100" si="20">(G96-F96)/G96</f>
        <v>0</v>
      </c>
      <c r="T96" s="35">
        <f t="shared" ref="T96:T100" si="21">(G96-H96)/G96</f>
        <v>0</v>
      </c>
      <c r="U96" s="35">
        <f t="shared" ref="U96:U100" si="22">(J96-I96)/J96</f>
        <v>0</v>
      </c>
      <c r="V96" s="35">
        <f t="shared" ref="V96:V100" si="23">(J96-K96)/J96</f>
        <v>0</v>
      </c>
      <c r="W96" s="35">
        <f t="shared" si="17"/>
        <v>0</v>
      </c>
      <c r="X96" s="35">
        <f t="shared" ref="X96:X100" si="24">(M96-N96)/M96</f>
        <v>0</v>
      </c>
    </row>
    <row r="97" spans="2:24">
      <c r="B97" s="193" t="s">
        <v>46</v>
      </c>
      <c r="C97" s="212">
        <f>'Sensibilidad proceso 1'!Q130</f>
        <v>8223.7588417518691</v>
      </c>
      <c r="D97" s="212">
        <f>'Sensibilidad proceso 1'!R130</f>
        <v>8223.7588417518691</v>
      </c>
      <c r="E97" s="212">
        <f>'Sensibilidad proceso 1'!S130</f>
        <v>8223.7588417518691</v>
      </c>
      <c r="F97" s="212">
        <f>'Sensibilidad proceso 2'!Q130</f>
        <v>1849.0051445119771</v>
      </c>
      <c r="G97" s="212">
        <f>'Sensibilidad proceso 2'!R130</f>
        <v>1849.0051445119771</v>
      </c>
      <c r="H97" s="212">
        <f>'Sensibilidad proceso 2'!S130</f>
        <v>1849.0051445119771</v>
      </c>
      <c r="I97" s="212">
        <f>'Sensibilidad proceso 3'!Q130</f>
        <v>292.0627246627721</v>
      </c>
      <c r="J97" s="212">
        <f>'Sensibilidad proceso 3'!R130</f>
        <v>292.0627246627721</v>
      </c>
      <c r="K97" s="212">
        <f>'Sensibilidad proceso 3'!S130</f>
        <v>292.0627246627721</v>
      </c>
      <c r="L97" s="212">
        <f>'Sensibilidad proceso 4'!Q130</f>
        <v>164.74397238181376</v>
      </c>
      <c r="M97" s="212">
        <f>'Sensibilidad proceso 4'!R130</f>
        <v>164.74397238181376</v>
      </c>
      <c r="N97" s="212">
        <f>'Sensibilidad proceso 4'!S130</f>
        <v>164.74397238181376</v>
      </c>
      <c r="P97" s="197" t="s">
        <v>46</v>
      </c>
      <c r="Q97" s="35">
        <f t="shared" si="18"/>
        <v>0</v>
      </c>
      <c r="R97" s="35">
        <f t="shared" si="19"/>
        <v>0</v>
      </c>
      <c r="S97" s="35">
        <f t="shared" si="20"/>
        <v>0</v>
      </c>
      <c r="T97" s="35">
        <f t="shared" si="21"/>
        <v>0</v>
      </c>
      <c r="U97" s="35">
        <f t="shared" si="22"/>
        <v>0</v>
      </c>
      <c r="V97" s="35">
        <f t="shared" si="23"/>
        <v>0</v>
      </c>
      <c r="W97" s="35">
        <f t="shared" si="17"/>
        <v>0</v>
      </c>
      <c r="X97" s="35">
        <f t="shared" si="24"/>
        <v>0</v>
      </c>
    </row>
    <row r="98" spans="2:24">
      <c r="B98" s="2" t="s">
        <v>47</v>
      </c>
      <c r="C98" s="9">
        <f>'Sensibilidad proceso 1'!Q131</f>
        <v>8223.7588417518691</v>
      </c>
      <c r="D98" s="9">
        <f>'Sensibilidad proceso 1'!R131</f>
        <v>8223.7588417518691</v>
      </c>
      <c r="E98" s="9">
        <f>'Sensibilidad proceso 1'!S131</f>
        <v>8223.7588417518691</v>
      </c>
      <c r="F98" s="9">
        <f>'Sensibilidad proceso 2'!Q131</f>
        <v>1849.0051445119771</v>
      </c>
      <c r="G98" s="9">
        <f>'Sensibilidad proceso 2'!R131</f>
        <v>1849.0051445119771</v>
      </c>
      <c r="H98" s="9">
        <f>'Sensibilidad proceso 2'!S131</f>
        <v>1849.0051445119771</v>
      </c>
      <c r="I98" s="9">
        <f>'Sensibilidad proceso 3'!Q131</f>
        <v>292.0627246627721</v>
      </c>
      <c r="J98" s="9">
        <f>'Sensibilidad proceso 3'!R131</f>
        <v>292.0627246627721</v>
      </c>
      <c r="K98" s="9">
        <f>'Sensibilidad proceso 3'!S131</f>
        <v>292.0627246627721</v>
      </c>
      <c r="L98" s="9">
        <f>'Sensibilidad proceso 4'!Q131</f>
        <v>164.74397238181376</v>
      </c>
      <c r="M98" s="9">
        <f>'Sensibilidad proceso 4'!R131</f>
        <v>164.74397238181376</v>
      </c>
      <c r="N98" s="9">
        <f>'Sensibilidad proceso 4'!S131</f>
        <v>164.74397238181376</v>
      </c>
      <c r="P98" s="197" t="s">
        <v>47</v>
      </c>
      <c r="Q98" s="35">
        <f t="shared" si="18"/>
        <v>0</v>
      </c>
      <c r="R98" s="35">
        <f t="shared" si="19"/>
        <v>0</v>
      </c>
      <c r="S98" s="35">
        <f t="shared" si="20"/>
        <v>0</v>
      </c>
      <c r="T98" s="35">
        <f t="shared" si="21"/>
        <v>0</v>
      </c>
      <c r="U98" s="35">
        <f t="shared" si="22"/>
        <v>0</v>
      </c>
      <c r="V98" s="35">
        <f t="shared" si="23"/>
        <v>0</v>
      </c>
      <c r="W98" s="35">
        <f t="shared" si="17"/>
        <v>0</v>
      </c>
      <c r="X98" s="35">
        <f t="shared" si="24"/>
        <v>0</v>
      </c>
    </row>
    <row r="99" spans="2:24">
      <c r="B99" s="2" t="s">
        <v>48</v>
      </c>
      <c r="C99" s="9">
        <f>'Sensibilidad proceso 1'!Q132</f>
        <v>8223.7588417518691</v>
      </c>
      <c r="D99" s="9">
        <f>'Sensibilidad proceso 1'!R132</f>
        <v>8223.7588417518691</v>
      </c>
      <c r="E99" s="9">
        <f>'Sensibilidad proceso 1'!S132</f>
        <v>8223.7588417518691</v>
      </c>
      <c r="F99" s="9">
        <f>'Sensibilidad proceso 2'!Q132</f>
        <v>1849.0051445119771</v>
      </c>
      <c r="G99" s="9">
        <f>'Sensibilidad proceso 2'!R132</f>
        <v>1849.0051445119771</v>
      </c>
      <c r="H99" s="9">
        <f>'Sensibilidad proceso 2'!S132</f>
        <v>1849.0051445119771</v>
      </c>
      <c r="I99" s="9">
        <f>'Sensibilidad proceso 3'!Q132</f>
        <v>292.0627246627721</v>
      </c>
      <c r="J99" s="9">
        <f>'Sensibilidad proceso 3'!R132</f>
        <v>292.0627246627721</v>
      </c>
      <c r="K99" s="9">
        <f>'Sensibilidad proceso 3'!S132</f>
        <v>292.0627246627721</v>
      </c>
      <c r="L99" s="9">
        <f>'Sensibilidad proceso 4'!Q132</f>
        <v>164.74397238181376</v>
      </c>
      <c r="M99" s="9">
        <f>'Sensibilidad proceso 4'!R132</f>
        <v>164.74397238181376</v>
      </c>
      <c r="N99" s="9">
        <f>'Sensibilidad proceso 4'!S132</f>
        <v>164.74397238181376</v>
      </c>
      <c r="P99" s="197" t="s">
        <v>48</v>
      </c>
      <c r="Q99" s="35">
        <f t="shared" si="18"/>
        <v>0</v>
      </c>
      <c r="R99" s="35">
        <f t="shared" si="19"/>
        <v>0</v>
      </c>
      <c r="S99" s="35">
        <f t="shared" si="20"/>
        <v>0</v>
      </c>
      <c r="T99" s="35">
        <f t="shared" si="21"/>
        <v>0</v>
      </c>
      <c r="U99" s="35">
        <f t="shared" si="22"/>
        <v>0</v>
      </c>
      <c r="V99" s="35">
        <f t="shared" si="23"/>
        <v>0</v>
      </c>
      <c r="W99" s="35">
        <f t="shared" si="17"/>
        <v>0</v>
      </c>
      <c r="X99" s="35">
        <f t="shared" si="24"/>
        <v>0</v>
      </c>
    </row>
    <row r="100" spans="2:24" ht="18">
      <c r="B100" s="2" t="s">
        <v>143</v>
      </c>
      <c r="C100" s="9">
        <f>'Sensibilidad proceso 1'!Q133</f>
        <v>8223.7588417518691</v>
      </c>
      <c r="D100" s="9">
        <f>'Sensibilidad proceso 1'!R133</f>
        <v>8223.7588417518691</v>
      </c>
      <c r="E100" s="9">
        <f>'Sensibilidad proceso 1'!S133</f>
        <v>8223.7588417518691</v>
      </c>
      <c r="F100" s="9">
        <f>'Sensibilidad proceso 2'!Q133</f>
        <v>1849.0051445119771</v>
      </c>
      <c r="G100" s="9">
        <f>'Sensibilidad proceso 2'!R133</f>
        <v>1849.0051445119771</v>
      </c>
      <c r="H100" s="9">
        <f>'Sensibilidad proceso 2'!S133</f>
        <v>1849.0051445119771</v>
      </c>
      <c r="I100" s="9">
        <f>'Sensibilidad proceso 3'!Q133</f>
        <v>292.0627246627721</v>
      </c>
      <c r="J100" s="9">
        <f>'Sensibilidad proceso 3'!R133</f>
        <v>292.0627246627721</v>
      </c>
      <c r="K100" s="9">
        <f>'Sensibilidad proceso 3'!S133</f>
        <v>292.0627246627721</v>
      </c>
      <c r="L100" s="9">
        <f>'Sensibilidad proceso 4'!Q133</f>
        <v>164.74397238181376</v>
      </c>
      <c r="M100" s="9">
        <f>'Sensibilidad proceso 4'!R133</f>
        <v>164.74397238181376</v>
      </c>
      <c r="N100" s="9">
        <f>'Sensibilidad proceso 4'!S133</f>
        <v>164.74397238181376</v>
      </c>
      <c r="P100" s="198" t="s">
        <v>143</v>
      </c>
      <c r="Q100" s="35">
        <f t="shared" si="18"/>
        <v>0</v>
      </c>
      <c r="R100" s="35">
        <f t="shared" si="19"/>
        <v>0</v>
      </c>
      <c r="S100" s="35">
        <f t="shared" si="20"/>
        <v>0</v>
      </c>
      <c r="T100" s="35">
        <f t="shared" si="21"/>
        <v>0</v>
      </c>
      <c r="U100" s="35">
        <f t="shared" si="22"/>
        <v>0</v>
      </c>
      <c r="V100" s="35">
        <f t="shared" si="23"/>
        <v>0</v>
      </c>
      <c r="W100" s="35">
        <f t="shared" si="17"/>
        <v>0</v>
      </c>
      <c r="X100" s="35">
        <f t="shared" si="24"/>
        <v>0</v>
      </c>
    </row>
    <row r="140" spans="2:26">
      <c r="C140" s="277" t="s">
        <v>148</v>
      </c>
      <c r="D140" s="278"/>
      <c r="E140" s="278"/>
      <c r="F140" s="278"/>
      <c r="G140" s="279"/>
      <c r="J140" s="277" t="s">
        <v>149</v>
      </c>
      <c r="K140" s="278"/>
      <c r="L140" s="278"/>
      <c r="M140" s="278"/>
      <c r="N140" s="279"/>
      <c r="Q140" s="257" t="s">
        <v>150</v>
      </c>
      <c r="R140" s="257"/>
      <c r="S140" s="257"/>
      <c r="T140" s="257"/>
      <c r="U140" s="257"/>
      <c r="V140" s="257"/>
      <c r="Y140" s="257" t="s">
        <v>151</v>
      </c>
      <c r="Z140" s="257"/>
    </row>
    <row r="141" spans="2:26" ht="30">
      <c r="C141" s="169" t="s">
        <v>78</v>
      </c>
      <c r="D141" s="170" t="s">
        <v>79</v>
      </c>
      <c r="E141" s="170" t="s">
        <v>80</v>
      </c>
      <c r="F141" s="169" t="s">
        <v>81</v>
      </c>
      <c r="G141" s="169" t="s">
        <v>82</v>
      </c>
      <c r="J141" s="6" t="s">
        <v>127</v>
      </c>
      <c r="K141" s="12" t="s">
        <v>128</v>
      </c>
      <c r="L141" s="6" t="s">
        <v>48</v>
      </c>
      <c r="M141" s="6" t="s">
        <v>47</v>
      </c>
      <c r="N141" s="6" t="s">
        <v>152</v>
      </c>
      <c r="Q141" s="6" t="s">
        <v>130</v>
      </c>
      <c r="R141" s="6" t="s">
        <v>131</v>
      </c>
      <c r="S141" s="6" t="s">
        <v>132</v>
      </c>
      <c r="T141" s="6" t="s">
        <v>133</v>
      </c>
      <c r="U141" s="6" t="s">
        <v>134</v>
      </c>
      <c r="V141" s="6" t="s">
        <v>46</v>
      </c>
      <c r="Y141" s="6" t="s">
        <v>153</v>
      </c>
      <c r="Z141" s="6" t="s">
        <v>46</v>
      </c>
    </row>
    <row r="142" spans="2:26">
      <c r="B142" s="2" t="s">
        <v>91</v>
      </c>
      <c r="C142" s="178">
        <f>(R4/$R$10)</f>
        <v>0.36106539774610918</v>
      </c>
      <c r="D142" s="178">
        <f>(S4/$R$10)</f>
        <v>0.16698665434320198</v>
      </c>
      <c r="E142" s="178">
        <f>(T4/$R$10)</f>
        <v>8.1929125385279189E-2</v>
      </c>
      <c r="F142" s="178">
        <f>(U4/$R$10)</f>
        <v>0.3900188225254097</v>
      </c>
      <c r="G142" s="178">
        <f>(V4/$R$10)</f>
        <v>0</v>
      </c>
      <c r="I142" s="2" t="s">
        <v>91</v>
      </c>
      <c r="J142" s="178">
        <f>(C68/$C$78)</f>
        <v>4.947000530489306E-2</v>
      </c>
      <c r="K142" s="178">
        <f t="shared" ref="K142:N142" si="25">(D68/$C$78)</f>
        <v>0.31576599130782806</v>
      </c>
      <c r="L142" s="178">
        <f t="shared" si="25"/>
        <v>0.39997025565658217</v>
      </c>
      <c r="M142" s="178">
        <f t="shared" si="25"/>
        <v>0.23479374773069672</v>
      </c>
      <c r="N142" s="178">
        <f t="shared" si="25"/>
        <v>0</v>
      </c>
      <c r="P142" s="2" t="s">
        <v>91</v>
      </c>
      <c r="Q142" s="178">
        <f>C73/$D$78</f>
        <v>1.7284152041664692E-3</v>
      </c>
      <c r="R142" s="178">
        <f t="shared" ref="R142:V142" si="26">D73/$D$78</f>
        <v>3.99239319636637E-2</v>
      </c>
      <c r="S142" s="178">
        <f t="shared" si="26"/>
        <v>0.51278298214129669</v>
      </c>
      <c r="T142" s="178">
        <f t="shared" si="26"/>
        <v>4.2141928183867243E-2</v>
      </c>
      <c r="U142" s="178">
        <f t="shared" si="26"/>
        <v>0</v>
      </c>
      <c r="V142" s="178">
        <f t="shared" si="26"/>
        <v>0.40342274250700594</v>
      </c>
      <c r="X142" s="63" t="s">
        <v>91</v>
      </c>
      <c r="Y142" s="179">
        <f>SUM(Q142:U142)</f>
        <v>0.59657725749299406</v>
      </c>
      <c r="Z142" s="179">
        <f>V142</f>
        <v>0.40342274250700594</v>
      </c>
    </row>
    <row r="143" spans="2:26">
      <c r="B143" s="2" t="s">
        <v>92</v>
      </c>
      <c r="C143" s="178">
        <f>(R5/$R$11)</f>
        <v>0.19689489071390581</v>
      </c>
      <c r="D143" s="178">
        <f>(S5/$R$11)</f>
        <v>0.62217778770294452</v>
      </c>
      <c r="E143" s="178">
        <f>(T5/$R$11)</f>
        <v>3.4675487483500966E-2</v>
      </c>
      <c r="F143" s="178">
        <f>(U5/$R$11)</f>
        <v>0.14625183409964859</v>
      </c>
      <c r="G143" s="178">
        <f>(V5/$R$11)</f>
        <v>0</v>
      </c>
      <c r="I143" s="2" t="s">
        <v>92</v>
      </c>
      <c r="J143" s="178">
        <f>(C69/$C$79)</f>
        <v>5.2143672376474527E-2</v>
      </c>
      <c r="K143" s="178">
        <f t="shared" ref="K143:N143" si="27">(D69/$C$79)</f>
        <v>0.33283195133919918</v>
      </c>
      <c r="L143" s="178">
        <f t="shared" si="27"/>
        <v>0.42158713836298556</v>
      </c>
      <c r="M143" s="178">
        <f t="shared" si="27"/>
        <v>0.19343723792134063</v>
      </c>
      <c r="N143" s="178">
        <f t="shared" si="27"/>
        <v>0</v>
      </c>
      <c r="P143" s="2" t="s">
        <v>92</v>
      </c>
      <c r="Q143" s="178">
        <f>C74/$D$79</f>
        <v>2.193846674201545E-3</v>
      </c>
      <c r="R143" s="178">
        <f t="shared" ref="R143:V143" si="28">D74/$D$79</f>
        <v>0</v>
      </c>
      <c r="S143" s="178">
        <f t="shared" si="28"/>
        <v>0.57665743763756938</v>
      </c>
      <c r="T143" s="178">
        <f t="shared" si="28"/>
        <v>5.355288239576237E-2</v>
      </c>
      <c r="U143" s="178">
        <f t="shared" si="28"/>
        <v>0.25367154819045334</v>
      </c>
      <c r="V143" s="178">
        <f t="shared" si="28"/>
        <v>0.11392428510201351</v>
      </c>
      <c r="X143" s="63" t="s">
        <v>92</v>
      </c>
      <c r="Y143" s="179">
        <f t="shared" ref="Y143:Y145" si="29">SUM(Q143:U143)</f>
        <v>0.88607571489798664</v>
      </c>
      <c r="Z143" s="179">
        <f t="shared" ref="Z143:Z145" si="30">V143</f>
        <v>0.11392428510201351</v>
      </c>
    </row>
    <row r="144" spans="2:26">
      <c r="B144" s="2" t="s">
        <v>93</v>
      </c>
      <c r="C144" s="178">
        <f>(R6/$R$12)</f>
        <v>0.23317081318177801</v>
      </c>
      <c r="D144" s="178">
        <f>(S6/$R$12)</f>
        <v>0.10783756689719644</v>
      </c>
      <c r="E144" s="178">
        <f>(T6/$R$12)</f>
        <v>5.2908644551950115E-2</v>
      </c>
      <c r="F144" s="178">
        <f>(U6/$R$12)</f>
        <v>0.26304461016802466</v>
      </c>
      <c r="G144" s="178">
        <f>(V6/$R$12)</f>
        <v>0.3430383652010508</v>
      </c>
      <c r="I144" s="2" t="s">
        <v>93</v>
      </c>
      <c r="J144" s="178">
        <f>C70/$C$80</f>
        <v>5.2786097495537553E-2</v>
      </c>
      <c r="K144" s="178">
        <f t="shared" ref="K144:N144" si="31">D70/$C$80</f>
        <v>0.33693253720555882</v>
      </c>
      <c r="L144" s="178">
        <f t="shared" si="31"/>
        <v>0.36489793779362018</v>
      </c>
      <c r="M144" s="178">
        <f t="shared" si="31"/>
        <v>0.20270530612591264</v>
      </c>
      <c r="N144" s="178">
        <f t="shared" si="31"/>
        <v>4.2678121379370784E-2</v>
      </c>
      <c r="P144" s="2" t="s">
        <v>93</v>
      </c>
      <c r="Q144" s="178">
        <f>C75/$D$80</f>
        <v>1.456667418557852E-3</v>
      </c>
      <c r="R144" s="178">
        <f t="shared" ref="R144:V144" si="32">D75/$D$80</f>
        <v>2.4526331534967076E-2</v>
      </c>
      <c r="S144" s="178">
        <f t="shared" si="32"/>
        <v>0.28495556933399319</v>
      </c>
      <c r="T144" s="178">
        <f>F75/$D$80</f>
        <v>2.2617245549568347E-2</v>
      </c>
      <c r="U144" s="178">
        <f t="shared" si="32"/>
        <v>0</v>
      </c>
      <c r="V144" s="178">
        <f t="shared" si="32"/>
        <v>0.66644418616291357</v>
      </c>
      <c r="X144" s="63" t="s">
        <v>93</v>
      </c>
      <c r="Y144" s="179">
        <f t="shared" si="29"/>
        <v>0.33355581383708643</v>
      </c>
      <c r="Z144" s="179">
        <f t="shared" si="30"/>
        <v>0.66644418616291357</v>
      </c>
    </row>
    <row r="145" spans="2:26">
      <c r="B145" s="2" t="s">
        <v>94</v>
      </c>
      <c r="C145" s="178">
        <f>(R7/$R$13)</f>
        <v>0.107718224344049</v>
      </c>
      <c r="D145" s="178">
        <f>(S7/$R$13)</f>
        <v>0.34038408144907994</v>
      </c>
      <c r="E145" s="178">
        <f>(T7/$R$13)</f>
        <v>2.4184123720777048E-2</v>
      </c>
      <c r="F145" s="178">
        <f>(U7/$R$13)</f>
        <v>9.5684911023906138E-2</v>
      </c>
      <c r="G145" s="178">
        <f>(V7/$R$13)</f>
        <v>0.43202865946218794</v>
      </c>
      <c r="I145" s="2" t="s">
        <v>94</v>
      </c>
      <c r="J145" s="178">
        <f>C71/$C$81</f>
        <v>5.6371041760360119E-2</v>
      </c>
      <c r="K145" s="178">
        <f t="shared" ref="K145:N145" si="33">D71/$C$81</f>
        <v>0.35981516017251142</v>
      </c>
      <c r="L145" s="178">
        <f t="shared" si="33"/>
        <v>0.38967981846682981</v>
      </c>
      <c r="M145" s="178">
        <f t="shared" si="33"/>
        <v>0.18400584916581317</v>
      </c>
      <c r="N145" s="178">
        <f t="shared" si="33"/>
        <v>1.0128130434485504E-2</v>
      </c>
      <c r="P145" s="2" t="s">
        <v>94</v>
      </c>
      <c r="Q145" s="178">
        <f>C76/$D$81</f>
        <v>2.7530616963544101E-3</v>
      </c>
      <c r="R145" s="178">
        <f t="shared" ref="R145:V145" si="34">D76/$D$81</f>
        <v>0</v>
      </c>
      <c r="S145" s="178">
        <f t="shared" si="34"/>
        <v>0.46456671642062275</v>
      </c>
      <c r="T145" s="178">
        <f t="shared" si="34"/>
        <v>4.2745977294669564E-2</v>
      </c>
      <c r="U145" s="178">
        <f t="shared" si="34"/>
        <v>0.20898973255608211</v>
      </c>
      <c r="V145" s="178">
        <f t="shared" si="34"/>
        <v>0.28094451203227117</v>
      </c>
      <c r="X145" s="2" t="s">
        <v>94</v>
      </c>
      <c r="Y145" s="179">
        <f t="shared" si="29"/>
        <v>0.71905548796772889</v>
      </c>
      <c r="Z145" s="179">
        <f t="shared" si="30"/>
        <v>0.28094451203227117</v>
      </c>
    </row>
    <row r="164" spans="2:35">
      <c r="B164" s="256" t="s">
        <v>154</v>
      </c>
      <c r="C164" s="256"/>
      <c r="D164" s="256"/>
      <c r="E164" s="256"/>
      <c r="F164" s="256"/>
      <c r="G164" s="256"/>
      <c r="H164" s="256"/>
      <c r="I164" s="256"/>
      <c r="J164" s="256"/>
      <c r="K164" s="256"/>
    </row>
    <row r="166" spans="2:35">
      <c r="B166" s="200" t="s">
        <v>155</v>
      </c>
      <c r="C166" s="200" t="s">
        <v>156</v>
      </c>
      <c r="D166" s="200" t="s">
        <v>157</v>
      </c>
      <c r="E166" s="208" t="s">
        <v>158</v>
      </c>
      <c r="F166" s="208" t="s">
        <v>159</v>
      </c>
      <c r="G166" s="208" t="s">
        <v>160</v>
      </c>
      <c r="H166" s="208" t="s">
        <v>161</v>
      </c>
      <c r="I166" s="208" t="s">
        <v>162</v>
      </c>
      <c r="J166" s="208" t="s">
        <v>163</v>
      </c>
      <c r="K166" s="208" t="s">
        <v>164</v>
      </c>
      <c r="L166" s="208" t="s">
        <v>165</v>
      </c>
      <c r="M166" s="208" t="s">
        <v>166</v>
      </c>
      <c r="N166" s="208" t="s">
        <v>167</v>
      </c>
      <c r="O166" s="208" t="s">
        <v>168</v>
      </c>
      <c r="P166" s="208" t="s">
        <v>169</v>
      </c>
      <c r="Q166" s="208" t="s">
        <v>170</v>
      </c>
      <c r="R166" s="208" t="s">
        <v>171</v>
      </c>
      <c r="S166" s="208" t="s">
        <v>172</v>
      </c>
      <c r="T166" s="208" t="s">
        <v>173</v>
      </c>
      <c r="U166" s="208" t="s">
        <v>174</v>
      </c>
      <c r="V166" s="208" t="s">
        <v>175</v>
      </c>
      <c r="W166" s="208" t="s">
        <v>176</v>
      </c>
      <c r="X166" s="208" t="s">
        <v>177</v>
      </c>
      <c r="Y166" s="208" t="s">
        <v>178</v>
      </c>
      <c r="Z166" s="208" t="s">
        <v>179</v>
      </c>
      <c r="AA166" s="208" t="s">
        <v>180</v>
      </c>
      <c r="AB166" s="208" t="s">
        <v>181</v>
      </c>
      <c r="AC166" s="208" t="s">
        <v>182</v>
      </c>
      <c r="AD166" s="208" t="s">
        <v>183</v>
      </c>
      <c r="AE166" s="208" t="s">
        <v>184</v>
      </c>
      <c r="AF166" s="208" t="s">
        <v>185</v>
      </c>
      <c r="AG166" s="208" t="s">
        <v>186</v>
      </c>
      <c r="AH166" s="208" t="s">
        <v>187</v>
      </c>
      <c r="AI166" s="208" t="s">
        <v>188</v>
      </c>
    </row>
    <row r="167" spans="2:35">
      <c r="B167" s="89" t="s">
        <v>189</v>
      </c>
      <c r="C167" s="91">
        <f>C193</f>
        <v>11.543699999999999</v>
      </c>
      <c r="D167" s="91">
        <f t="shared" ref="D167:AI171" si="35">D193</f>
        <v>13.087400000000001</v>
      </c>
      <c r="E167" s="91">
        <f t="shared" si="35"/>
        <v>16.174800000000001</v>
      </c>
      <c r="F167" s="91">
        <f t="shared" si="35"/>
        <v>19.2622</v>
      </c>
      <c r="G167" s="91">
        <f t="shared" si="35"/>
        <v>22.349599999999999</v>
      </c>
      <c r="H167" s="91">
        <f t="shared" si="35"/>
        <v>25.437000000000001</v>
      </c>
      <c r="I167" s="91">
        <f t="shared" si="35"/>
        <v>28.5244</v>
      </c>
      <c r="J167" s="91">
        <f t="shared" si="35"/>
        <v>31.611799999999999</v>
      </c>
      <c r="K167" s="91">
        <f t="shared" si="35"/>
        <v>34.699199999999998</v>
      </c>
      <c r="L167" s="91">
        <f t="shared" si="35"/>
        <v>37.7866</v>
      </c>
      <c r="M167" s="91">
        <f t="shared" si="35"/>
        <v>40.874000000000002</v>
      </c>
      <c r="N167" s="91">
        <f t="shared" si="35"/>
        <v>43.961399999999998</v>
      </c>
      <c r="O167" s="91">
        <f t="shared" si="35"/>
        <v>47.0488</v>
      </c>
      <c r="P167" s="91">
        <f t="shared" si="35"/>
        <v>50.136200000000002</v>
      </c>
      <c r="Q167" s="91">
        <f t="shared" si="35"/>
        <v>53.223599999999998</v>
      </c>
      <c r="R167" s="91">
        <f t="shared" si="35"/>
        <v>56.311</v>
      </c>
      <c r="S167" s="91">
        <f t="shared" si="35"/>
        <v>71.748000000000005</v>
      </c>
      <c r="T167" s="91">
        <f t="shared" si="35"/>
        <v>87.185000000000002</v>
      </c>
      <c r="U167" s="91">
        <f t="shared" si="35"/>
        <v>102.622</v>
      </c>
      <c r="V167" s="91">
        <f t="shared" si="35"/>
        <v>118.059</v>
      </c>
      <c r="W167" s="91">
        <f t="shared" si="35"/>
        <v>133.49600000000001</v>
      </c>
      <c r="X167" s="91">
        <f t="shared" si="35"/>
        <v>148.93299999999999</v>
      </c>
      <c r="Y167" s="91">
        <f t="shared" si="35"/>
        <v>164.37</v>
      </c>
      <c r="Z167" s="91">
        <f t="shared" si="35"/>
        <v>179.80700000000002</v>
      </c>
      <c r="AA167" s="91">
        <f t="shared" si="35"/>
        <v>195.244</v>
      </c>
      <c r="AB167" s="91">
        <f t="shared" si="35"/>
        <v>210.68099999999998</v>
      </c>
      <c r="AC167" s="91">
        <f t="shared" si="35"/>
        <v>226.11799999999999</v>
      </c>
      <c r="AD167" s="91">
        <f t="shared" si="35"/>
        <v>241.55500000000001</v>
      </c>
      <c r="AE167" s="91">
        <f t="shared" si="35"/>
        <v>256.99200000000002</v>
      </c>
      <c r="AF167" s="91">
        <f t="shared" si="35"/>
        <v>272.42899999999997</v>
      </c>
      <c r="AG167" s="91">
        <f t="shared" si="35"/>
        <v>287.86599999999999</v>
      </c>
      <c r="AH167" s="91">
        <f t="shared" si="35"/>
        <v>303.303</v>
      </c>
      <c r="AI167" s="91">
        <f t="shared" si="35"/>
        <v>318.74</v>
      </c>
    </row>
    <row r="168" spans="2:35">
      <c r="B168" s="203" t="s">
        <v>190</v>
      </c>
      <c r="C168" s="91">
        <f>C194</f>
        <v>11.962</v>
      </c>
      <c r="D168" s="91">
        <f t="shared" si="35"/>
        <v>13.923999999999999</v>
      </c>
      <c r="E168" s="91">
        <f t="shared" si="35"/>
        <v>17.847999999999999</v>
      </c>
      <c r="F168" s="91">
        <f t="shared" si="35"/>
        <v>21.771999999999998</v>
      </c>
      <c r="G168" s="91">
        <f t="shared" si="35"/>
        <v>25.695999999999998</v>
      </c>
      <c r="H168" s="91">
        <f t="shared" si="35"/>
        <v>29.62</v>
      </c>
      <c r="I168" s="91">
        <f t="shared" si="35"/>
        <v>33.543999999999997</v>
      </c>
      <c r="J168" s="91">
        <f t="shared" si="35"/>
        <v>37.468000000000004</v>
      </c>
      <c r="K168" s="91">
        <f t="shared" si="35"/>
        <v>41.391999999999996</v>
      </c>
      <c r="L168" s="91">
        <f t="shared" si="35"/>
        <v>45.316000000000003</v>
      </c>
      <c r="M168" s="91">
        <f t="shared" si="35"/>
        <v>49.24</v>
      </c>
      <c r="N168" s="91">
        <f t="shared" si="35"/>
        <v>53.164000000000001</v>
      </c>
      <c r="O168" s="91">
        <f t="shared" si="35"/>
        <v>57.088000000000001</v>
      </c>
      <c r="P168" s="91">
        <f t="shared" si="35"/>
        <v>61.012</v>
      </c>
      <c r="Q168" s="91">
        <f t="shared" si="35"/>
        <v>64.936000000000007</v>
      </c>
      <c r="R168" s="91">
        <f t="shared" si="35"/>
        <v>68.86</v>
      </c>
      <c r="S168" s="91">
        <f t="shared" si="35"/>
        <v>88.48</v>
      </c>
      <c r="T168" s="91">
        <f t="shared" si="35"/>
        <v>108.1</v>
      </c>
      <c r="U168" s="91">
        <f t="shared" si="35"/>
        <v>127.72</v>
      </c>
      <c r="V168" s="91">
        <f t="shared" si="35"/>
        <v>147.34</v>
      </c>
      <c r="W168" s="91">
        <f t="shared" si="35"/>
        <v>166.96</v>
      </c>
      <c r="X168" s="91">
        <f t="shared" si="35"/>
        <v>186.57999999999998</v>
      </c>
      <c r="Y168" s="91">
        <f t="shared" si="35"/>
        <v>206.2</v>
      </c>
      <c r="Z168" s="91">
        <f t="shared" si="35"/>
        <v>225.82</v>
      </c>
      <c r="AA168" s="91">
        <f t="shared" si="35"/>
        <v>245.44</v>
      </c>
      <c r="AB168" s="91">
        <f t="shared" si="35"/>
        <v>265.06</v>
      </c>
      <c r="AC168" s="91">
        <f t="shared" si="35"/>
        <v>284.68</v>
      </c>
      <c r="AD168" s="91">
        <f t="shared" si="35"/>
        <v>304.3</v>
      </c>
      <c r="AE168" s="91">
        <f t="shared" si="35"/>
        <v>323.92</v>
      </c>
      <c r="AF168" s="91">
        <f t="shared" si="35"/>
        <v>343.53999999999996</v>
      </c>
      <c r="AG168" s="91">
        <f t="shared" si="35"/>
        <v>363.15999999999997</v>
      </c>
      <c r="AH168" s="91">
        <f t="shared" si="35"/>
        <v>382.78</v>
      </c>
      <c r="AI168" s="91">
        <f t="shared" si="35"/>
        <v>402.4</v>
      </c>
    </row>
    <row r="169" spans="2:35">
      <c r="B169" s="203" t="s">
        <v>191</v>
      </c>
      <c r="C169" s="91">
        <f>C195</f>
        <v>12.2201</v>
      </c>
      <c r="D169" s="91">
        <f t="shared" si="35"/>
        <v>14.440200000000001</v>
      </c>
      <c r="E169" s="91">
        <f t="shared" si="35"/>
        <v>18.880400000000002</v>
      </c>
      <c r="F169" s="91">
        <f t="shared" si="35"/>
        <v>23.320599999999999</v>
      </c>
      <c r="G169" s="91">
        <f t="shared" si="35"/>
        <v>27.7608</v>
      </c>
      <c r="H169" s="91">
        <f t="shared" si="35"/>
        <v>32.201000000000001</v>
      </c>
      <c r="I169" s="91">
        <f t="shared" si="35"/>
        <v>36.641199999999998</v>
      </c>
      <c r="J169" s="91">
        <f t="shared" si="35"/>
        <v>41.081400000000002</v>
      </c>
      <c r="K169" s="91">
        <f t="shared" si="35"/>
        <v>45.521599999999999</v>
      </c>
      <c r="L169" s="91">
        <f t="shared" si="35"/>
        <v>49.961799999999997</v>
      </c>
      <c r="M169" s="91">
        <f t="shared" si="35"/>
        <v>54.402000000000001</v>
      </c>
      <c r="N169" s="91">
        <f t="shared" si="35"/>
        <v>58.842199999999998</v>
      </c>
      <c r="O169" s="91">
        <f t="shared" si="35"/>
        <v>63.282399999999996</v>
      </c>
      <c r="P169" s="91">
        <f t="shared" si="35"/>
        <v>67.7226</v>
      </c>
      <c r="Q169" s="91">
        <f t="shared" si="35"/>
        <v>72.162800000000004</v>
      </c>
      <c r="R169" s="91">
        <f t="shared" si="35"/>
        <v>76.602999999999994</v>
      </c>
      <c r="S169" s="91">
        <f t="shared" si="35"/>
        <v>98.804000000000002</v>
      </c>
      <c r="T169" s="91">
        <f t="shared" si="35"/>
        <v>121.005</v>
      </c>
      <c r="U169" s="91">
        <f t="shared" si="35"/>
        <v>143.20599999999999</v>
      </c>
      <c r="V169" s="91">
        <f t="shared" si="35"/>
        <v>165.40699999999998</v>
      </c>
      <c r="W169" s="91">
        <f t="shared" si="35"/>
        <v>187.608</v>
      </c>
      <c r="X169" s="91">
        <f t="shared" si="35"/>
        <v>209.809</v>
      </c>
      <c r="Y169" s="91">
        <f t="shared" si="35"/>
        <v>232.01</v>
      </c>
      <c r="Z169" s="91">
        <f t="shared" si="35"/>
        <v>254.21100000000001</v>
      </c>
      <c r="AA169" s="91">
        <f t="shared" si="35"/>
        <v>276.41199999999998</v>
      </c>
      <c r="AB169" s="91">
        <f t="shared" si="35"/>
        <v>298.613</v>
      </c>
      <c r="AC169" s="91">
        <f t="shared" si="35"/>
        <v>320.81399999999996</v>
      </c>
      <c r="AD169" s="91">
        <f t="shared" si="35"/>
        <v>343.01499999999999</v>
      </c>
      <c r="AE169" s="91">
        <f t="shared" si="35"/>
        <v>365.21600000000001</v>
      </c>
      <c r="AF169" s="91">
        <f t="shared" si="35"/>
        <v>387.41700000000003</v>
      </c>
      <c r="AG169" s="91">
        <f t="shared" si="35"/>
        <v>409.61799999999999</v>
      </c>
      <c r="AH169" s="91">
        <f t="shared" si="35"/>
        <v>431.81899999999996</v>
      </c>
      <c r="AI169" s="91">
        <f t="shared" si="35"/>
        <v>454.02</v>
      </c>
    </row>
    <row r="170" spans="2:35">
      <c r="B170" s="204" t="s">
        <v>192</v>
      </c>
      <c r="C170" s="91">
        <f>C196</f>
        <v>12.852</v>
      </c>
      <c r="D170" s="91">
        <f t="shared" si="35"/>
        <v>15.704000000000001</v>
      </c>
      <c r="E170" s="91">
        <f t="shared" si="35"/>
        <v>21.408000000000001</v>
      </c>
      <c r="F170" s="91">
        <f t="shared" si="35"/>
        <v>27.112000000000002</v>
      </c>
      <c r="G170" s="91">
        <f t="shared" si="35"/>
        <v>32.816000000000003</v>
      </c>
      <c r="H170" s="91">
        <f t="shared" si="35"/>
        <v>38.519999999999996</v>
      </c>
      <c r="I170" s="91">
        <f t="shared" si="35"/>
        <v>44.224000000000004</v>
      </c>
      <c r="J170" s="91">
        <f t="shared" si="35"/>
        <v>49.927999999999997</v>
      </c>
      <c r="K170" s="91">
        <f t="shared" si="35"/>
        <v>55.632000000000005</v>
      </c>
      <c r="L170" s="91">
        <f t="shared" si="35"/>
        <v>61.335999999999999</v>
      </c>
      <c r="M170" s="91">
        <f t="shared" si="35"/>
        <v>67.039999999999992</v>
      </c>
      <c r="N170" s="91">
        <f t="shared" si="35"/>
        <v>72.744</v>
      </c>
      <c r="O170" s="91">
        <f t="shared" si="35"/>
        <v>78.448000000000008</v>
      </c>
      <c r="P170" s="91">
        <f t="shared" si="35"/>
        <v>84.152000000000001</v>
      </c>
      <c r="Q170" s="91">
        <f t="shared" si="35"/>
        <v>89.855999999999995</v>
      </c>
      <c r="R170" s="91">
        <f t="shared" si="35"/>
        <v>95.56</v>
      </c>
      <c r="S170" s="91">
        <f t="shared" si="35"/>
        <v>124.08</v>
      </c>
      <c r="T170" s="91">
        <f t="shared" si="35"/>
        <v>152.60000000000002</v>
      </c>
      <c r="U170" s="91">
        <f t="shared" si="35"/>
        <v>181.12</v>
      </c>
      <c r="V170" s="91">
        <f t="shared" si="35"/>
        <v>209.64</v>
      </c>
      <c r="W170" s="91">
        <f t="shared" si="35"/>
        <v>238.16</v>
      </c>
      <c r="X170" s="91">
        <f t="shared" si="35"/>
        <v>266.68</v>
      </c>
      <c r="Y170" s="91">
        <f t="shared" si="35"/>
        <v>295.20000000000005</v>
      </c>
      <c r="Z170" s="91">
        <f t="shared" si="35"/>
        <v>323.72000000000003</v>
      </c>
      <c r="AA170" s="91">
        <f t="shared" si="35"/>
        <v>352.24</v>
      </c>
      <c r="AB170" s="91">
        <f t="shared" si="35"/>
        <v>380.76</v>
      </c>
      <c r="AC170" s="91">
        <f t="shared" si="35"/>
        <v>409.28</v>
      </c>
      <c r="AD170" s="91">
        <f t="shared" si="35"/>
        <v>437.8</v>
      </c>
      <c r="AE170" s="91">
        <f t="shared" si="35"/>
        <v>466.32</v>
      </c>
      <c r="AF170" s="91">
        <f t="shared" si="35"/>
        <v>494.84000000000003</v>
      </c>
      <c r="AG170" s="91">
        <f t="shared" si="35"/>
        <v>523.36</v>
      </c>
      <c r="AH170" s="91">
        <f t="shared" si="35"/>
        <v>551.88</v>
      </c>
      <c r="AI170" s="91">
        <f t="shared" si="35"/>
        <v>580.40000000000009</v>
      </c>
    </row>
    <row r="171" spans="2:35">
      <c r="B171" s="204" t="s">
        <v>193</v>
      </c>
      <c r="C171" s="91">
        <f>C197</f>
        <v>13.056699999999999</v>
      </c>
      <c r="D171" s="91">
        <f t="shared" si="35"/>
        <v>16.113399999999999</v>
      </c>
      <c r="E171" s="91">
        <f t="shared" si="35"/>
        <v>22.226800000000001</v>
      </c>
      <c r="F171" s="91">
        <f t="shared" si="35"/>
        <v>28.340200000000003</v>
      </c>
      <c r="G171" s="91">
        <f t="shared" si="35"/>
        <v>34.453600000000002</v>
      </c>
      <c r="H171" s="91">
        <f t="shared" si="35"/>
        <v>40.567000000000007</v>
      </c>
      <c r="I171" s="91">
        <f t="shared" si="35"/>
        <v>46.680400000000006</v>
      </c>
      <c r="J171" s="91">
        <f t="shared" si="35"/>
        <v>52.793800000000005</v>
      </c>
      <c r="K171" s="91">
        <f t="shared" si="35"/>
        <v>58.907200000000003</v>
      </c>
      <c r="L171" s="91">
        <f t="shared" si="35"/>
        <v>65.020600000000002</v>
      </c>
      <c r="M171" s="91">
        <f t="shared" si="35"/>
        <v>71.134000000000015</v>
      </c>
      <c r="N171" s="91">
        <f t="shared" si="35"/>
        <v>77.247399999999999</v>
      </c>
      <c r="O171" s="91">
        <f t="shared" si="35"/>
        <v>83.360800000000012</v>
      </c>
      <c r="P171" s="91">
        <f t="shared" si="35"/>
        <v>89.474199999999996</v>
      </c>
      <c r="Q171" s="91">
        <f t="shared" si="35"/>
        <v>95.587600000000009</v>
      </c>
      <c r="R171" s="91">
        <f t="shared" si="35"/>
        <v>101.70100000000001</v>
      </c>
      <c r="S171" s="91">
        <f t="shared" si="35"/>
        <v>132.26800000000003</v>
      </c>
      <c r="T171" s="91">
        <f t="shared" si="35"/>
        <v>162.83500000000001</v>
      </c>
      <c r="U171" s="91">
        <f t="shared" si="35"/>
        <v>193.40200000000002</v>
      </c>
      <c r="V171" s="91">
        <f t="shared" si="35"/>
        <v>223.96900000000002</v>
      </c>
      <c r="W171" s="91">
        <f t="shared" si="35"/>
        <v>254.53600000000003</v>
      </c>
      <c r="X171" s="91">
        <f t="shared" si="35"/>
        <v>285.10300000000001</v>
      </c>
      <c r="Y171" s="91">
        <f t="shared" si="35"/>
        <v>315.67</v>
      </c>
      <c r="Z171" s="91">
        <f t="shared" si="35"/>
        <v>346.23700000000002</v>
      </c>
      <c r="AA171" s="91">
        <f t="shared" si="35"/>
        <v>376.80400000000003</v>
      </c>
      <c r="AB171" s="91">
        <f t="shared" si="35"/>
        <v>407.37100000000004</v>
      </c>
      <c r="AC171" s="91">
        <f t="shared" si="35"/>
        <v>437.93800000000005</v>
      </c>
      <c r="AD171" s="91">
        <f t="shared" si="35"/>
        <v>468.50500000000005</v>
      </c>
      <c r="AE171" s="91">
        <f t="shared" si="35"/>
        <v>499.07200000000006</v>
      </c>
      <c r="AF171" s="91">
        <f t="shared" si="35"/>
        <v>529.63900000000012</v>
      </c>
      <c r="AG171" s="91">
        <f t="shared" si="35"/>
        <v>560.20600000000002</v>
      </c>
      <c r="AH171" s="91">
        <f t="shared" si="35"/>
        <v>590.77300000000002</v>
      </c>
      <c r="AI171" s="91">
        <f t="shared" si="35"/>
        <v>621.34</v>
      </c>
    </row>
    <row r="173" spans="2:35">
      <c r="B173" s="267" t="s">
        <v>194</v>
      </c>
      <c r="C173" s="267"/>
      <c r="D173" s="2">
        <v>1.78</v>
      </c>
    </row>
    <row r="174" spans="2:35">
      <c r="B174" s="268" t="s">
        <v>195</v>
      </c>
      <c r="C174" s="269"/>
      <c r="D174" s="2">
        <v>10</v>
      </c>
    </row>
    <row r="175" spans="2:35">
      <c r="B175" s="267" t="s">
        <v>196</v>
      </c>
      <c r="C175" s="267"/>
      <c r="D175" s="2">
        <v>80</v>
      </c>
    </row>
    <row r="177" spans="2:36">
      <c r="B177" s="270" t="s">
        <v>197</v>
      </c>
      <c r="C177" s="271"/>
      <c r="D177" s="201">
        <v>0.08</v>
      </c>
      <c r="F177" s="274" t="s">
        <v>198</v>
      </c>
      <c r="G177" s="274"/>
      <c r="H177" s="199">
        <f>$D$173*D177</f>
        <v>0.1424</v>
      </c>
      <c r="I177" s="60" t="s">
        <v>190</v>
      </c>
    </row>
    <row r="178" spans="2:36">
      <c r="B178" s="272"/>
      <c r="C178" s="273"/>
      <c r="D178" s="2">
        <v>0.18</v>
      </c>
      <c r="F178" s="274"/>
      <c r="G178" s="274"/>
      <c r="H178" s="199">
        <f>$D$173*D178</f>
        <v>0.32040000000000002</v>
      </c>
      <c r="I178" s="60" t="s">
        <v>192</v>
      </c>
    </row>
    <row r="179" spans="2:36">
      <c r="B179" s="274" t="s">
        <v>199</v>
      </c>
      <c r="C179" s="274"/>
      <c r="D179" s="2">
        <v>0.20300000000000001</v>
      </c>
      <c r="F179" s="274"/>
      <c r="G179" s="274"/>
      <c r="H179" s="199">
        <f t="shared" ref="H179:H181" si="36">$D$173*D179</f>
        <v>0.36134000000000005</v>
      </c>
      <c r="I179" s="60" t="s">
        <v>193</v>
      </c>
    </row>
    <row r="180" spans="2:36">
      <c r="B180" s="274"/>
      <c r="C180" s="274"/>
      <c r="D180" s="2">
        <v>0.33100000000000002</v>
      </c>
      <c r="F180" s="274"/>
      <c r="G180" s="274"/>
      <c r="H180" s="199">
        <f>$D$173*D180</f>
        <v>0.58918000000000004</v>
      </c>
      <c r="I180" s="60" t="s">
        <v>200</v>
      </c>
    </row>
    <row r="181" spans="2:36">
      <c r="B181" s="274" t="s">
        <v>197</v>
      </c>
      <c r="C181" s="274"/>
      <c r="D181" s="2">
        <v>0.109</v>
      </c>
      <c r="F181" s="274"/>
      <c r="G181" s="274"/>
      <c r="H181" s="199">
        <f t="shared" si="36"/>
        <v>0.19402</v>
      </c>
      <c r="I181" s="206" t="s">
        <v>191</v>
      </c>
    </row>
    <row r="182" spans="2:36">
      <c r="B182" s="274"/>
      <c r="C182" s="274"/>
      <c r="D182" s="2">
        <v>3.3000000000000002E-2</v>
      </c>
      <c r="F182" s="274"/>
      <c r="G182" s="274"/>
      <c r="H182" s="199">
        <f>$D$173*D182</f>
        <v>5.8740000000000001E-2</v>
      </c>
      <c r="I182" s="206" t="s">
        <v>189</v>
      </c>
    </row>
    <row r="184" spans="2:36">
      <c r="B184" s="89" t="s">
        <v>201</v>
      </c>
      <c r="C184" s="29">
        <v>5</v>
      </c>
      <c r="D184" s="29">
        <v>10</v>
      </c>
      <c r="E184" s="29">
        <v>20</v>
      </c>
      <c r="F184" s="29">
        <v>30</v>
      </c>
      <c r="G184" s="29">
        <v>40</v>
      </c>
      <c r="H184" s="29">
        <v>50</v>
      </c>
      <c r="I184" s="29">
        <v>60</v>
      </c>
      <c r="J184" s="29">
        <v>70</v>
      </c>
      <c r="K184" s="29">
        <v>80</v>
      </c>
      <c r="L184" s="29">
        <v>90</v>
      </c>
      <c r="M184" s="29">
        <v>100</v>
      </c>
      <c r="N184" s="29">
        <v>110</v>
      </c>
      <c r="O184" s="29">
        <v>120</v>
      </c>
      <c r="P184" s="29">
        <v>130</v>
      </c>
      <c r="Q184" s="29">
        <v>140</v>
      </c>
      <c r="R184" s="29">
        <v>150</v>
      </c>
      <c r="S184" s="29">
        <v>200</v>
      </c>
      <c r="T184" s="29">
        <v>250</v>
      </c>
      <c r="U184" s="29">
        <v>300</v>
      </c>
      <c r="V184" s="29">
        <v>350</v>
      </c>
      <c r="W184" s="29">
        <v>400</v>
      </c>
      <c r="X184" s="29">
        <v>450</v>
      </c>
      <c r="Y184" s="29">
        <v>500</v>
      </c>
      <c r="Z184" s="29">
        <v>550</v>
      </c>
      <c r="AA184" s="29">
        <v>600</v>
      </c>
      <c r="AB184" s="29">
        <v>650</v>
      </c>
      <c r="AC184" s="29">
        <v>700</v>
      </c>
      <c r="AD184" s="29">
        <v>750</v>
      </c>
      <c r="AE184" s="29">
        <v>800</v>
      </c>
      <c r="AF184" s="29">
        <v>850</v>
      </c>
      <c r="AG184" s="29">
        <v>900</v>
      </c>
      <c r="AH184" s="29">
        <v>950</v>
      </c>
      <c r="AI184" s="29">
        <v>1000</v>
      </c>
    </row>
    <row r="185" spans="2:36">
      <c r="B185" s="89" t="s">
        <v>202</v>
      </c>
      <c r="C185" s="2">
        <f t="shared" ref="C185:AI185" si="37">(C184/$D$175)*2</f>
        <v>0.125</v>
      </c>
      <c r="D185" s="2">
        <f t="shared" si="37"/>
        <v>0.25</v>
      </c>
      <c r="E185" s="2">
        <f t="shared" si="37"/>
        <v>0.5</v>
      </c>
      <c r="F185" s="2">
        <f t="shared" si="37"/>
        <v>0.75</v>
      </c>
      <c r="G185" s="2">
        <f t="shared" si="37"/>
        <v>1</v>
      </c>
      <c r="H185" s="2">
        <f t="shared" si="37"/>
        <v>1.25</v>
      </c>
      <c r="I185" s="2">
        <f t="shared" si="37"/>
        <v>1.5</v>
      </c>
      <c r="J185" s="2">
        <f t="shared" si="37"/>
        <v>1.75</v>
      </c>
      <c r="K185" s="2">
        <f t="shared" si="37"/>
        <v>2</v>
      </c>
      <c r="L185" s="2">
        <f t="shared" si="37"/>
        <v>2.25</v>
      </c>
      <c r="M185" s="2">
        <f t="shared" si="37"/>
        <v>2.5</v>
      </c>
      <c r="N185" s="2">
        <f t="shared" si="37"/>
        <v>2.75</v>
      </c>
      <c r="O185" s="2">
        <f t="shared" si="37"/>
        <v>3</v>
      </c>
      <c r="P185" s="2">
        <f t="shared" si="37"/>
        <v>3.25</v>
      </c>
      <c r="Q185" s="2">
        <f t="shared" si="37"/>
        <v>3.5</v>
      </c>
      <c r="R185" s="2">
        <f t="shared" si="37"/>
        <v>3.75</v>
      </c>
      <c r="S185" s="2">
        <f t="shared" si="37"/>
        <v>5</v>
      </c>
      <c r="T185" s="2">
        <f t="shared" si="37"/>
        <v>6.25</v>
      </c>
      <c r="U185" s="2">
        <f t="shared" si="37"/>
        <v>7.5</v>
      </c>
      <c r="V185" s="2">
        <f t="shared" si="37"/>
        <v>8.75</v>
      </c>
      <c r="W185" s="2">
        <f t="shared" si="37"/>
        <v>10</v>
      </c>
      <c r="X185" s="2">
        <f t="shared" si="37"/>
        <v>11.25</v>
      </c>
      <c r="Y185" s="2">
        <f t="shared" si="37"/>
        <v>12.5</v>
      </c>
      <c r="Z185" s="2">
        <f t="shared" si="37"/>
        <v>13.75</v>
      </c>
      <c r="AA185" s="2">
        <f t="shared" si="37"/>
        <v>15</v>
      </c>
      <c r="AB185" s="2">
        <f t="shared" si="37"/>
        <v>16.25</v>
      </c>
      <c r="AC185" s="2">
        <f t="shared" si="37"/>
        <v>17.5</v>
      </c>
      <c r="AD185" s="2">
        <f t="shared" si="37"/>
        <v>18.75</v>
      </c>
      <c r="AE185" s="2">
        <f t="shared" si="37"/>
        <v>20</v>
      </c>
      <c r="AF185" s="2">
        <f t="shared" si="37"/>
        <v>21.25</v>
      </c>
      <c r="AG185" s="2">
        <f t="shared" si="37"/>
        <v>22.5</v>
      </c>
      <c r="AH185" s="2">
        <f t="shared" si="37"/>
        <v>23.75</v>
      </c>
      <c r="AI185" s="2">
        <f t="shared" si="37"/>
        <v>25</v>
      </c>
      <c r="AJ185" s="60" t="s">
        <v>203</v>
      </c>
    </row>
    <row r="186" spans="2:36">
      <c r="B186" s="89" t="s">
        <v>204</v>
      </c>
      <c r="C186" s="2">
        <f>C185+1</f>
        <v>1.125</v>
      </c>
      <c r="D186" s="2">
        <f t="shared" ref="D186:AI186" si="38">D185+1</f>
        <v>1.25</v>
      </c>
      <c r="E186" s="2">
        <f t="shared" si="38"/>
        <v>1.5</v>
      </c>
      <c r="F186" s="2">
        <f t="shared" si="38"/>
        <v>1.75</v>
      </c>
      <c r="G186" s="2">
        <f t="shared" si="38"/>
        <v>2</v>
      </c>
      <c r="H186" s="2">
        <f t="shared" si="38"/>
        <v>2.25</v>
      </c>
      <c r="I186" s="2">
        <f t="shared" si="38"/>
        <v>2.5</v>
      </c>
      <c r="J186" s="2">
        <f t="shared" si="38"/>
        <v>2.75</v>
      </c>
      <c r="K186" s="2">
        <f t="shared" si="38"/>
        <v>3</v>
      </c>
      <c r="L186" s="2">
        <f t="shared" si="38"/>
        <v>3.25</v>
      </c>
      <c r="M186" s="2">
        <f t="shared" si="38"/>
        <v>3.5</v>
      </c>
      <c r="N186" s="2">
        <f t="shared" si="38"/>
        <v>3.75</v>
      </c>
      <c r="O186" s="2">
        <f t="shared" si="38"/>
        <v>4</v>
      </c>
      <c r="P186" s="2">
        <f t="shared" si="38"/>
        <v>4.25</v>
      </c>
      <c r="Q186" s="2">
        <f t="shared" si="38"/>
        <v>4.5</v>
      </c>
      <c r="R186" s="2">
        <f t="shared" si="38"/>
        <v>4.75</v>
      </c>
      <c r="S186" s="2">
        <f t="shared" si="38"/>
        <v>6</v>
      </c>
      <c r="T186" s="2">
        <f t="shared" si="38"/>
        <v>7.25</v>
      </c>
      <c r="U186" s="2">
        <f t="shared" si="38"/>
        <v>8.5</v>
      </c>
      <c r="V186" s="2">
        <f t="shared" si="38"/>
        <v>9.75</v>
      </c>
      <c r="W186" s="2">
        <f t="shared" si="38"/>
        <v>11</v>
      </c>
      <c r="X186" s="2">
        <f t="shared" si="38"/>
        <v>12.25</v>
      </c>
      <c r="Y186" s="2">
        <f t="shared" si="38"/>
        <v>13.5</v>
      </c>
      <c r="Z186" s="2">
        <f t="shared" si="38"/>
        <v>14.75</v>
      </c>
      <c r="AA186" s="2">
        <f t="shared" si="38"/>
        <v>16</v>
      </c>
      <c r="AB186" s="2">
        <f t="shared" si="38"/>
        <v>17.25</v>
      </c>
      <c r="AC186" s="2">
        <f t="shared" si="38"/>
        <v>18.5</v>
      </c>
      <c r="AD186" s="2">
        <f t="shared" si="38"/>
        <v>19.75</v>
      </c>
      <c r="AE186" s="2">
        <f t="shared" si="38"/>
        <v>21</v>
      </c>
      <c r="AF186" s="2">
        <f t="shared" si="38"/>
        <v>22.25</v>
      </c>
      <c r="AG186" s="2">
        <f t="shared" si="38"/>
        <v>23.5</v>
      </c>
      <c r="AH186" s="2">
        <f t="shared" si="38"/>
        <v>24.75</v>
      </c>
      <c r="AI186" s="2">
        <f t="shared" si="38"/>
        <v>26</v>
      </c>
      <c r="AJ186" s="60" t="s">
        <v>205</v>
      </c>
    </row>
    <row r="187" spans="2:36">
      <c r="B187" s="209" t="s">
        <v>206</v>
      </c>
      <c r="C187" s="205">
        <f>C186*$D$174</f>
        <v>11.25</v>
      </c>
      <c r="D187" s="205">
        <f t="shared" ref="D187:AI187" si="39">D186*$D$174</f>
        <v>12.5</v>
      </c>
      <c r="E187" s="205">
        <f t="shared" si="39"/>
        <v>15</v>
      </c>
      <c r="F187" s="205">
        <f t="shared" si="39"/>
        <v>17.5</v>
      </c>
      <c r="G187" s="205">
        <f t="shared" si="39"/>
        <v>20</v>
      </c>
      <c r="H187" s="205">
        <f t="shared" si="39"/>
        <v>22.5</v>
      </c>
      <c r="I187" s="205">
        <f t="shared" si="39"/>
        <v>25</v>
      </c>
      <c r="J187" s="205">
        <f t="shared" si="39"/>
        <v>27.5</v>
      </c>
      <c r="K187" s="205">
        <f t="shared" si="39"/>
        <v>30</v>
      </c>
      <c r="L187" s="205">
        <f t="shared" si="39"/>
        <v>32.5</v>
      </c>
      <c r="M187" s="205">
        <f t="shared" si="39"/>
        <v>35</v>
      </c>
      <c r="N187" s="205">
        <f t="shared" si="39"/>
        <v>37.5</v>
      </c>
      <c r="O187" s="205">
        <f t="shared" si="39"/>
        <v>40</v>
      </c>
      <c r="P187" s="205">
        <f t="shared" si="39"/>
        <v>42.5</v>
      </c>
      <c r="Q187" s="205">
        <f t="shared" si="39"/>
        <v>45</v>
      </c>
      <c r="R187" s="205">
        <f t="shared" si="39"/>
        <v>47.5</v>
      </c>
      <c r="S187" s="205">
        <f t="shared" si="39"/>
        <v>60</v>
      </c>
      <c r="T187" s="205">
        <f t="shared" si="39"/>
        <v>72.5</v>
      </c>
      <c r="U187" s="205">
        <f t="shared" si="39"/>
        <v>85</v>
      </c>
      <c r="V187" s="205">
        <f t="shared" si="39"/>
        <v>97.5</v>
      </c>
      <c r="W187" s="205">
        <f t="shared" si="39"/>
        <v>110</v>
      </c>
      <c r="X187" s="205">
        <f t="shared" si="39"/>
        <v>122.5</v>
      </c>
      <c r="Y187" s="205">
        <f t="shared" si="39"/>
        <v>135</v>
      </c>
      <c r="Z187" s="205">
        <f t="shared" si="39"/>
        <v>147.5</v>
      </c>
      <c r="AA187" s="205">
        <f t="shared" si="39"/>
        <v>160</v>
      </c>
      <c r="AB187" s="205">
        <f t="shared" si="39"/>
        <v>172.5</v>
      </c>
      <c r="AC187" s="205">
        <f t="shared" si="39"/>
        <v>185</v>
      </c>
      <c r="AD187" s="205">
        <f t="shared" si="39"/>
        <v>197.5</v>
      </c>
      <c r="AE187" s="205">
        <f t="shared" si="39"/>
        <v>210</v>
      </c>
      <c r="AF187" s="205">
        <f t="shared" si="39"/>
        <v>222.5</v>
      </c>
      <c r="AG187" s="205">
        <f t="shared" si="39"/>
        <v>235</v>
      </c>
      <c r="AH187" s="205">
        <f t="shared" si="39"/>
        <v>247.5</v>
      </c>
      <c r="AI187" s="205">
        <f t="shared" si="39"/>
        <v>260</v>
      </c>
      <c r="AJ187" s="60" t="s">
        <v>207</v>
      </c>
    </row>
    <row r="188" spans="2:36">
      <c r="B188" s="259" t="s">
        <v>208</v>
      </c>
      <c r="C188" s="91">
        <f>$H$182*C184</f>
        <v>0.29370000000000002</v>
      </c>
      <c r="D188" s="91">
        <f t="shared" ref="D188:AI188" si="40">$H$182*D184</f>
        <v>0.58740000000000003</v>
      </c>
      <c r="E188" s="91">
        <f t="shared" si="40"/>
        <v>1.1748000000000001</v>
      </c>
      <c r="F188" s="91">
        <f t="shared" si="40"/>
        <v>1.7622</v>
      </c>
      <c r="G188" s="91">
        <f t="shared" si="40"/>
        <v>2.3496000000000001</v>
      </c>
      <c r="H188" s="91">
        <f t="shared" si="40"/>
        <v>2.9369999999999998</v>
      </c>
      <c r="I188" s="91">
        <f t="shared" si="40"/>
        <v>3.5244</v>
      </c>
      <c r="J188" s="91">
        <f t="shared" si="40"/>
        <v>4.1117999999999997</v>
      </c>
      <c r="K188" s="91">
        <f t="shared" si="40"/>
        <v>4.6992000000000003</v>
      </c>
      <c r="L188" s="91">
        <f t="shared" si="40"/>
        <v>5.2866</v>
      </c>
      <c r="M188" s="91">
        <f t="shared" si="40"/>
        <v>5.8739999999999997</v>
      </c>
      <c r="N188" s="91">
        <f t="shared" si="40"/>
        <v>6.4614000000000003</v>
      </c>
      <c r="O188" s="91">
        <f t="shared" si="40"/>
        <v>7.0488</v>
      </c>
      <c r="P188" s="91">
        <f t="shared" si="40"/>
        <v>7.6361999999999997</v>
      </c>
      <c r="Q188" s="91">
        <f t="shared" si="40"/>
        <v>8.2235999999999994</v>
      </c>
      <c r="R188" s="91">
        <f t="shared" si="40"/>
        <v>8.8109999999999999</v>
      </c>
      <c r="S188" s="91">
        <f t="shared" si="40"/>
        <v>11.747999999999999</v>
      </c>
      <c r="T188" s="91">
        <f t="shared" si="40"/>
        <v>14.685</v>
      </c>
      <c r="U188" s="91">
        <f t="shared" si="40"/>
        <v>17.622</v>
      </c>
      <c r="V188" s="91">
        <f t="shared" si="40"/>
        <v>20.559000000000001</v>
      </c>
      <c r="W188" s="91">
        <f t="shared" si="40"/>
        <v>23.495999999999999</v>
      </c>
      <c r="X188" s="91">
        <f t="shared" si="40"/>
        <v>26.433</v>
      </c>
      <c r="Y188" s="91">
        <f t="shared" si="40"/>
        <v>29.37</v>
      </c>
      <c r="Z188" s="91">
        <f t="shared" si="40"/>
        <v>32.307000000000002</v>
      </c>
      <c r="AA188" s="91">
        <f t="shared" si="40"/>
        <v>35.244</v>
      </c>
      <c r="AB188" s="91">
        <f t="shared" si="40"/>
        <v>38.180999999999997</v>
      </c>
      <c r="AC188" s="91">
        <f t="shared" si="40"/>
        <v>41.118000000000002</v>
      </c>
      <c r="AD188" s="91">
        <f t="shared" si="40"/>
        <v>44.055</v>
      </c>
      <c r="AE188" s="91">
        <f t="shared" si="40"/>
        <v>46.991999999999997</v>
      </c>
      <c r="AF188" s="91">
        <f t="shared" si="40"/>
        <v>49.929000000000002</v>
      </c>
      <c r="AG188" s="91">
        <f t="shared" si="40"/>
        <v>52.866</v>
      </c>
      <c r="AH188" s="91">
        <f t="shared" si="40"/>
        <v>55.802999999999997</v>
      </c>
      <c r="AI188" s="91">
        <f t="shared" si="40"/>
        <v>58.74</v>
      </c>
      <c r="AJ188" s="60" t="s">
        <v>209</v>
      </c>
    </row>
    <row r="189" spans="2:36">
      <c r="B189" s="260"/>
      <c r="C189" s="91">
        <f>C184*$H$177</f>
        <v>0.71199999999999997</v>
      </c>
      <c r="D189" s="91">
        <f t="shared" ref="D189:AI189" si="41">D184*$H$177</f>
        <v>1.4239999999999999</v>
      </c>
      <c r="E189" s="91">
        <f t="shared" si="41"/>
        <v>2.8479999999999999</v>
      </c>
      <c r="F189" s="91">
        <f t="shared" si="41"/>
        <v>4.2720000000000002</v>
      </c>
      <c r="G189" s="91">
        <f t="shared" si="41"/>
        <v>5.6959999999999997</v>
      </c>
      <c r="H189" s="91">
        <f t="shared" si="41"/>
        <v>7.12</v>
      </c>
      <c r="I189" s="91">
        <f t="shared" si="41"/>
        <v>8.5440000000000005</v>
      </c>
      <c r="J189" s="91">
        <f t="shared" si="41"/>
        <v>9.968</v>
      </c>
      <c r="K189" s="91">
        <f t="shared" si="41"/>
        <v>11.391999999999999</v>
      </c>
      <c r="L189" s="91">
        <f t="shared" si="41"/>
        <v>12.816000000000001</v>
      </c>
      <c r="M189" s="91">
        <f t="shared" si="41"/>
        <v>14.24</v>
      </c>
      <c r="N189" s="91">
        <f t="shared" si="41"/>
        <v>15.664</v>
      </c>
      <c r="O189" s="91">
        <f t="shared" si="41"/>
        <v>17.088000000000001</v>
      </c>
      <c r="P189" s="91">
        <f t="shared" si="41"/>
        <v>18.512</v>
      </c>
      <c r="Q189" s="91">
        <f t="shared" si="41"/>
        <v>19.936</v>
      </c>
      <c r="R189" s="91">
        <f t="shared" si="41"/>
        <v>21.36</v>
      </c>
      <c r="S189" s="91">
        <f t="shared" si="41"/>
        <v>28.48</v>
      </c>
      <c r="T189" s="91">
        <f t="shared" si="41"/>
        <v>35.6</v>
      </c>
      <c r="U189" s="91">
        <f t="shared" si="41"/>
        <v>42.72</v>
      </c>
      <c r="V189" s="91">
        <f t="shared" si="41"/>
        <v>49.839999999999996</v>
      </c>
      <c r="W189" s="91">
        <f t="shared" si="41"/>
        <v>56.96</v>
      </c>
      <c r="X189" s="91">
        <f t="shared" si="41"/>
        <v>64.08</v>
      </c>
      <c r="Y189" s="91">
        <f t="shared" si="41"/>
        <v>71.2</v>
      </c>
      <c r="Z189" s="91">
        <f t="shared" si="41"/>
        <v>78.319999999999993</v>
      </c>
      <c r="AA189" s="91">
        <f t="shared" si="41"/>
        <v>85.44</v>
      </c>
      <c r="AB189" s="91">
        <f t="shared" si="41"/>
        <v>92.56</v>
      </c>
      <c r="AC189" s="91">
        <f t="shared" si="41"/>
        <v>99.679999999999993</v>
      </c>
      <c r="AD189" s="91">
        <f t="shared" si="41"/>
        <v>106.8</v>
      </c>
      <c r="AE189" s="91">
        <f t="shared" si="41"/>
        <v>113.92</v>
      </c>
      <c r="AF189" s="91">
        <f t="shared" si="41"/>
        <v>121.03999999999999</v>
      </c>
      <c r="AG189" s="91">
        <f t="shared" si="41"/>
        <v>128.16</v>
      </c>
      <c r="AH189" s="91">
        <f t="shared" si="41"/>
        <v>135.28</v>
      </c>
      <c r="AI189" s="91">
        <f t="shared" si="41"/>
        <v>142.4</v>
      </c>
      <c r="AJ189" s="60" t="s">
        <v>210</v>
      </c>
    </row>
    <row r="190" spans="2:36">
      <c r="B190" s="260"/>
      <c r="C190" s="91">
        <f>C184*$H$181</f>
        <v>0.97009999999999996</v>
      </c>
      <c r="D190" s="91">
        <f t="shared" ref="D190:AI190" si="42">D184*$H$181</f>
        <v>1.9401999999999999</v>
      </c>
      <c r="E190" s="91">
        <f t="shared" si="42"/>
        <v>3.8803999999999998</v>
      </c>
      <c r="F190" s="91">
        <f t="shared" si="42"/>
        <v>5.8205999999999998</v>
      </c>
      <c r="G190" s="91">
        <f t="shared" si="42"/>
        <v>7.7607999999999997</v>
      </c>
      <c r="H190" s="91">
        <f t="shared" si="42"/>
        <v>9.7010000000000005</v>
      </c>
      <c r="I190" s="91">
        <f t="shared" si="42"/>
        <v>11.6412</v>
      </c>
      <c r="J190" s="91">
        <f t="shared" si="42"/>
        <v>13.5814</v>
      </c>
      <c r="K190" s="91">
        <f t="shared" si="42"/>
        <v>15.521599999999999</v>
      </c>
      <c r="L190" s="91">
        <f t="shared" si="42"/>
        <v>17.4618</v>
      </c>
      <c r="M190" s="91">
        <f t="shared" si="42"/>
        <v>19.402000000000001</v>
      </c>
      <c r="N190" s="91">
        <f t="shared" si="42"/>
        <v>21.342199999999998</v>
      </c>
      <c r="O190" s="91">
        <f t="shared" si="42"/>
        <v>23.282399999999999</v>
      </c>
      <c r="P190" s="91">
        <f t="shared" si="42"/>
        <v>25.2226</v>
      </c>
      <c r="Q190" s="91">
        <f t="shared" si="42"/>
        <v>27.162800000000001</v>
      </c>
      <c r="R190" s="91">
        <f t="shared" si="42"/>
        <v>29.102999999999998</v>
      </c>
      <c r="S190" s="91">
        <f t="shared" si="42"/>
        <v>38.804000000000002</v>
      </c>
      <c r="T190" s="91">
        <f t="shared" si="42"/>
        <v>48.505000000000003</v>
      </c>
      <c r="U190" s="91">
        <f t="shared" si="42"/>
        <v>58.205999999999996</v>
      </c>
      <c r="V190" s="91">
        <f t="shared" si="42"/>
        <v>67.906999999999996</v>
      </c>
      <c r="W190" s="91">
        <f t="shared" si="42"/>
        <v>77.608000000000004</v>
      </c>
      <c r="X190" s="91">
        <f t="shared" si="42"/>
        <v>87.308999999999997</v>
      </c>
      <c r="Y190" s="91">
        <f t="shared" si="42"/>
        <v>97.01</v>
      </c>
      <c r="Z190" s="91">
        <f t="shared" si="42"/>
        <v>106.711</v>
      </c>
      <c r="AA190" s="91">
        <f t="shared" si="42"/>
        <v>116.41199999999999</v>
      </c>
      <c r="AB190" s="91">
        <f t="shared" si="42"/>
        <v>126.113</v>
      </c>
      <c r="AC190" s="91">
        <f t="shared" si="42"/>
        <v>135.81399999999999</v>
      </c>
      <c r="AD190" s="91">
        <f t="shared" si="42"/>
        <v>145.51499999999999</v>
      </c>
      <c r="AE190" s="91">
        <f t="shared" si="42"/>
        <v>155.21600000000001</v>
      </c>
      <c r="AF190" s="91">
        <f t="shared" si="42"/>
        <v>164.917</v>
      </c>
      <c r="AG190" s="91">
        <f t="shared" si="42"/>
        <v>174.61799999999999</v>
      </c>
      <c r="AH190" s="91">
        <f t="shared" si="42"/>
        <v>184.31899999999999</v>
      </c>
      <c r="AI190" s="91">
        <f t="shared" si="42"/>
        <v>194.02</v>
      </c>
      <c r="AJ190" s="60" t="s">
        <v>211</v>
      </c>
    </row>
    <row r="191" spans="2:36">
      <c r="B191" s="260"/>
      <c r="C191" s="91">
        <f>$H$178*C184</f>
        <v>1.6020000000000001</v>
      </c>
      <c r="D191" s="91">
        <f t="shared" ref="D191:AI191" si="43">$H$178*D184</f>
        <v>3.2040000000000002</v>
      </c>
      <c r="E191" s="91">
        <f t="shared" si="43"/>
        <v>6.4080000000000004</v>
      </c>
      <c r="F191" s="91">
        <f t="shared" si="43"/>
        <v>9.6120000000000001</v>
      </c>
      <c r="G191" s="91">
        <f t="shared" si="43"/>
        <v>12.816000000000001</v>
      </c>
      <c r="H191" s="91">
        <f t="shared" si="43"/>
        <v>16.02</v>
      </c>
      <c r="I191" s="91">
        <f t="shared" si="43"/>
        <v>19.224</v>
      </c>
      <c r="J191" s="91">
        <f t="shared" si="43"/>
        <v>22.428000000000001</v>
      </c>
      <c r="K191" s="91">
        <f t="shared" si="43"/>
        <v>25.632000000000001</v>
      </c>
      <c r="L191" s="91">
        <f t="shared" si="43"/>
        <v>28.836000000000002</v>
      </c>
      <c r="M191" s="91">
        <f t="shared" si="43"/>
        <v>32.04</v>
      </c>
      <c r="N191" s="91">
        <f t="shared" si="43"/>
        <v>35.244</v>
      </c>
      <c r="O191" s="91">
        <f t="shared" si="43"/>
        <v>38.448</v>
      </c>
      <c r="P191" s="91">
        <f t="shared" si="43"/>
        <v>41.652000000000001</v>
      </c>
      <c r="Q191" s="91">
        <f t="shared" si="43"/>
        <v>44.856000000000002</v>
      </c>
      <c r="R191" s="91">
        <f t="shared" si="43"/>
        <v>48.06</v>
      </c>
      <c r="S191" s="91">
        <f t="shared" si="43"/>
        <v>64.08</v>
      </c>
      <c r="T191" s="91">
        <f t="shared" si="43"/>
        <v>80.100000000000009</v>
      </c>
      <c r="U191" s="91">
        <f t="shared" si="43"/>
        <v>96.12</v>
      </c>
      <c r="V191" s="91">
        <f t="shared" si="43"/>
        <v>112.14</v>
      </c>
      <c r="W191" s="91">
        <f t="shared" si="43"/>
        <v>128.16</v>
      </c>
      <c r="X191" s="91">
        <f t="shared" si="43"/>
        <v>144.18</v>
      </c>
      <c r="Y191" s="91">
        <f t="shared" si="43"/>
        <v>160.20000000000002</v>
      </c>
      <c r="Z191" s="91">
        <f t="shared" si="43"/>
        <v>176.22</v>
      </c>
      <c r="AA191" s="91">
        <f t="shared" si="43"/>
        <v>192.24</v>
      </c>
      <c r="AB191" s="91">
        <f t="shared" si="43"/>
        <v>208.26000000000002</v>
      </c>
      <c r="AC191" s="91">
        <f t="shared" si="43"/>
        <v>224.28</v>
      </c>
      <c r="AD191" s="91">
        <f t="shared" si="43"/>
        <v>240.3</v>
      </c>
      <c r="AE191" s="91">
        <f t="shared" si="43"/>
        <v>256.32</v>
      </c>
      <c r="AF191" s="91">
        <f t="shared" si="43"/>
        <v>272.34000000000003</v>
      </c>
      <c r="AG191" s="91">
        <f t="shared" si="43"/>
        <v>288.36</v>
      </c>
      <c r="AH191" s="91">
        <f t="shared" si="43"/>
        <v>304.38</v>
      </c>
      <c r="AI191" s="91">
        <f t="shared" si="43"/>
        <v>320.40000000000003</v>
      </c>
      <c r="AJ191" s="60" t="s">
        <v>212</v>
      </c>
    </row>
    <row r="192" spans="2:36" ht="15.75" thickBot="1">
      <c r="B192" s="261"/>
      <c r="C192" s="172">
        <f>C184*$H$179</f>
        <v>1.8067000000000002</v>
      </c>
      <c r="D192" s="172">
        <f t="shared" ref="D192:AI192" si="44">D184*$H$179</f>
        <v>3.6134000000000004</v>
      </c>
      <c r="E192" s="172">
        <f t="shared" si="44"/>
        <v>7.2268000000000008</v>
      </c>
      <c r="F192" s="172">
        <f t="shared" si="44"/>
        <v>10.840200000000001</v>
      </c>
      <c r="G192" s="172">
        <f t="shared" si="44"/>
        <v>14.453600000000002</v>
      </c>
      <c r="H192" s="172">
        <f t="shared" si="44"/>
        <v>18.067000000000004</v>
      </c>
      <c r="I192" s="172">
        <f t="shared" si="44"/>
        <v>21.680400000000002</v>
      </c>
      <c r="J192" s="172">
        <f t="shared" si="44"/>
        <v>25.293800000000005</v>
      </c>
      <c r="K192" s="172">
        <f t="shared" si="44"/>
        <v>28.907200000000003</v>
      </c>
      <c r="L192" s="172">
        <f t="shared" si="44"/>
        <v>32.520600000000002</v>
      </c>
      <c r="M192" s="172">
        <f t="shared" si="44"/>
        <v>36.134000000000007</v>
      </c>
      <c r="N192" s="172">
        <f t="shared" si="44"/>
        <v>39.747400000000006</v>
      </c>
      <c r="O192" s="172">
        <f t="shared" si="44"/>
        <v>43.360800000000005</v>
      </c>
      <c r="P192" s="172">
        <f t="shared" si="44"/>
        <v>46.974200000000003</v>
      </c>
      <c r="Q192" s="172">
        <f t="shared" si="44"/>
        <v>50.587600000000009</v>
      </c>
      <c r="R192" s="172">
        <f t="shared" si="44"/>
        <v>54.201000000000008</v>
      </c>
      <c r="S192" s="172">
        <f t="shared" si="44"/>
        <v>72.268000000000015</v>
      </c>
      <c r="T192" s="172">
        <f t="shared" si="44"/>
        <v>90.335000000000008</v>
      </c>
      <c r="U192" s="172">
        <f t="shared" si="44"/>
        <v>108.40200000000002</v>
      </c>
      <c r="V192" s="172">
        <f t="shared" si="44"/>
        <v>126.46900000000002</v>
      </c>
      <c r="W192" s="172">
        <f t="shared" si="44"/>
        <v>144.53600000000003</v>
      </c>
      <c r="X192" s="172">
        <f t="shared" si="44"/>
        <v>162.60300000000001</v>
      </c>
      <c r="Y192" s="172">
        <f t="shared" si="44"/>
        <v>180.67000000000002</v>
      </c>
      <c r="Z192" s="172">
        <f t="shared" si="44"/>
        <v>198.73700000000002</v>
      </c>
      <c r="AA192" s="172">
        <f t="shared" si="44"/>
        <v>216.80400000000003</v>
      </c>
      <c r="AB192" s="172">
        <f t="shared" si="44"/>
        <v>234.87100000000004</v>
      </c>
      <c r="AC192" s="172">
        <f t="shared" si="44"/>
        <v>252.93800000000005</v>
      </c>
      <c r="AD192" s="172">
        <f t="shared" si="44"/>
        <v>271.00500000000005</v>
      </c>
      <c r="AE192" s="172">
        <f t="shared" si="44"/>
        <v>289.07200000000006</v>
      </c>
      <c r="AF192" s="172">
        <f t="shared" si="44"/>
        <v>307.13900000000007</v>
      </c>
      <c r="AG192" s="172">
        <f t="shared" si="44"/>
        <v>325.20600000000002</v>
      </c>
      <c r="AH192" s="172">
        <f t="shared" si="44"/>
        <v>343.27300000000002</v>
      </c>
      <c r="AI192" s="172">
        <f t="shared" si="44"/>
        <v>361.34000000000003</v>
      </c>
      <c r="AJ192" s="60" t="s">
        <v>213</v>
      </c>
    </row>
    <row r="193" spans="2:36" ht="15.75" thickTop="1">
      <c r="B193" s="262" t="s">
        <v>214</v>
      </c>
      <c r="C193" s="217">
        <f>C187+C188</f>
        <v>11.543699999999999</v>
      </c>
      <c r="D193" s="217">
        <f t="shared" ref="D193:AI193" si="45">D187+D188</f>
        <v>13.087400000000001</v>
      </c>
      <c r="E193" s="217">
        <f t="shared" si="45"/>
        <v>16.174800000000001</v>
      </c>
      <c r="F193" s="217">
        <f t="shared" si="45"/>
        <v>19.2622</v>
      </c>
      <c r="G193" s="217">
        <f t="shared" si="45"/>
        <v>22.349599999999999</v>
      </c>
      <c r="H193" s="217">
        <f t="shared" si="45"/>
        <v>25.437000000000001</v>
      </c>
      <c r="I193" s="217">
        <f t="shared" si="45"/>
        <v>28.5244</v>
      </c>
      <c r="J193" s="217">
        <f t="shared" si="45"/>
        <v>31.611799999999999</v>
      </c>
      <c r="K193" s="217">
        <f t="shared" si="45"/>
        <v>34.699199999999998</v>
      </c>
      <c r="L193" s="217">
        <f t="shared" si="45"/>
        <v>37.7866</v>
      </c>
      <c r="M193" s="217">
        <f t="shared" si="45"/>
        <v>40.874000000000002</v>
      </c>
      <c r="N193" s="217">
        <f t="shared" si="45"/>
        <v>43.961399999999998</v>
      </c>
      <c r="O193" s="217">
        <f t="shared" si="45"/>
        <v>47.0488</v>
      </c>
      <c r="P193" s="217">
        <f t="shared" si="45"/>
        <v>50.136200000000002</v>
      </c>
      <c r="Q193" s="217">
        <f t="shared" si="45"/>
        <v>53.223599999999998</v>
      </c>
      <c r="R193" s="217">
        <f t="shared" si="45"/>
        <v>56.311</v>
      </c>
      <c r="S193" s="217">
        <f t="shared" si="45"/>
        <v>71.748000000000005</v>
      </c>
      <c r="T193" s="217">
        <f t="shared" si="45"/>
        <v>87.185000000000002</v>
      </c>
      <c r="U193" s="217">
        <f t="shared" si="45"/>
        <v>102.622</v>
      </c>
      <c r="V193" s="217">
        <f t="shared" si="45"/>
        <v>118.059</v>
      </c>
      <c r="W193" s="217">
        <f t="shared" si="45"/>
        <v>133.49600000000001</v>
      </c>
      <c r="X193" s="217">
        <f t="shared" si="45"/>
        <v>148.93299999999999</v>
      </c>
      <c r="Y193" s="217">
        <f t="shared" si="45"/>
        <v>164.37</v>
      </c>
      <c r="Z193" s="217">
        <f t="shared" si="45"/>
        <v>179.80700000000002</v>
      </c>
      <c r="AA193" s="217">
        <f t="shared" si="45"/>
        <v>195.244</v>
      </c>
      <c r="AB193" s="217">
        <f t="shared" si="45"/>
        <v>210.68099999999998</v>
      </c>
      <c r="AC193" s="217">
        <f t="shared" si="45"/>
        <v>226.11799999999999</v>
      </c>
      <c r="AD193" s="217">
        <f t="shared" si="45"/>
        <v>241.55500000000001</v>
      </c>
      <c r="AE193" s="217">
        <f t="shared" si="45"/>
        <v>256.99200000000002</v>
      </c>
      <c r="AF193" s="217">
        <f t="shared" si="45"/>
        <v>272.42899999999997</v>
      </c>
      <c r="AG193" s="217">
        <f t="shared" si="45"/>
        <v>287.86599999999999</v>
      </c>
      <c r="AH193" s="217">
        <f t="shared" si="45"/>
        <v>303.303</v>
      </c>
      <c r="AI193" s="217">
        <f t="shared" si="45"/>
        <v>318.74</v>
      </c>
      <c r="AJ193" s="60" t="s">
        <v>215</v>
      </c>
    </row>
    <row r="194" spans="2:36">
      <c r="B194" s="263"/>
      <c r="C194" s="202">
        <f>C187+C189</f>
        <v>11.962</v>
      </c>
      <c r="D194" s="202">
        <f t="shared" ref="D194:AI194" si="46">D187+D189</f>
        <v>13.923999999999999</v>
      </c>
      <c r="E194" s="202">
        <f t="shared" si="46"/>
        <v>17.847999999999999</v>
      </c>
      <c r="F194" s="202">
        <f t="shared" si="46"/>
        <v>21.771999999999998</v>
      </c>
      <c r="G194" s="202">
        <f t="shared" si="46"/>
        <v>25.695999999999998</v>
      </c>
      <c r="H194" s="202">
        <f t="shared" si="46"/>
        <v>29.62</v>
      </c>
      <c r="I194" s="202">
        <f t="shared" si="46"/>
        <v>33.543999999999997</v>
      </c>
      <c r="J194" s="202">
        <f t="shared" si="46"/>
        <v>37.468000000000004</v>
      </c>
      <c r="K194" s="202">
        <f t="shared" si="46"/>
        <v>41.391999999999996</v>
      </c>
      <c r="L194" s="202">
        <f t="shared" si="46"/>
        <v>45.316000000000003</v>
      </c>
      <c r="M194" s="202">
        <f t="shared" si="46"/>
        <v>49.24</v>
      </c>
      <c r="N194" s="202">
        <f t="shared" si="46"/>
        <v>53.164000000000001</v>
      </c>
      <c r="O194" s="202">
        <f t="shared" si="46"/>
        <v>57.088000000000001</v>
      </c>
      <c r="P194" s="202">
        <f t="shared" si="46"/>
        <v>61.012</v>
      </c>
      <c r="Q194" s="202">
        <f t="shared" si="46"/>
        <v>64.936000000000007</v>
      </c>
      <c r="R194" s="202">
        <f t="shared" si="46"/>
        <v>68.86</v>
      </c>
      <c r="S194" s="202">
        <f t="shared" si="46"/>
        <v>88.48</v>
      </c>
      <c r="T194" s="202">
        <f t="shared" si="46"/>
        <v>108.1</v>
      </c>
      <c r="U194" s="202">
        <f t="shared" si="46"/>
        <v>127.72</v>
      </c>
      <c r="V194" s="202">
        <f t="shared" si="46"/>
        <v>147.34</v>
      </c>
      <c r="W194" s="202">
        <f t="shared" si="46"/>
        <v>166.96</v>
      </c>
      <c r="X194" s="202">
        <f t="shared" si="46"/>
        <v>186.57999999999998</v>
      </c>
      <c r="Y194" s="202">
        <f t="shared" si="46"/>
        <v>206.2</v>
      </c>
      <c r="Z194" s="202">
        <f t="shared" si="46"/>
        <v>225.82</v>
      </c>
      <c r="AA194" s="202">
        <f t="shared" si="46"/>
        <v>245.44</v>
      </c>
      <c r="AB194" s="202">
        <f t="shared" si="46"/>
        <v>265.06</v>
      </c>
      <c r="AC194" s="202">
        <f t="shared" si="46"/>
        <v>284.68</v>
      </c>
      <c r="AD194" s="202">
        <f t="shared" si="46"/>
        <v>304.3</v>
      </c>
      <c r="AE194" s="202">
        <f t="shared" si="46"/>
        <v>323.92</v>
      </c>
      <c r="AF194" s="202">
        <f t="shared" si="46"/>
        <v>343.53999999999996</v>
      </c>
      <c r="AG194" s="202">
        <f t="shared" si="46"/>
        <v>363.15999999999997</v>
      </c>
      <c r="AH194" s="202">
        <f t="shared" si="46"/>
        <v>382.78</v>
      </c>
      <c r="AI194" s="202">
        <f t="shared" si="46"/>
        <v>402.4</v>
      </c>
      <c r="AJ194" s="60" t="s">
        <v>216</v>
      </c>
    </row>
    <row r="195" spans="2:36">
      <c r="B195" s="263"/>
      <c r="C195" s="202">
        <f>C187+C190</f>
        <v>12.2201</v>
      </c>
      <c r="D195" s="202">
        <f t="shared" ref="D195:AI195" si="47">D187+D190</f>
        <v>14.440200000000001</v>
      </c>
      <c r="E195" s="202">
        <f t="shared" si="47"/>
        <v>18.880400000000002</v>
      </c>
      <c r="F195" s="202">
        <f t="shared" si="47"/>
        <v>23.320599999999999</v>
      </c>
      <c r="G195" s="202">
        <f t="shared" si="47"/>
        <v>27.7608</v>
      </c>
      <c r="H195" s="202">
        <f t="shared" si="47"/>
        <v>32.201000000000001</v>
      </c>
      <c r="I195" s="202">
        <f t="shared" si="47"/>
        <v>36.641199999999998</v>
      </c>
      <c r="J195" s="202">
        <f t="shared" si="47"/>
        <v>41.081400000000002</v>
      </c>
      <c r="K195" s="202">
        <f t="shared" si="47"/>
        <v>45.521599999999999</v>
      </c>
      <c r="L195" s="202">
        <f t="shared" si="47"/>
        <v>49.961799999999997</v>
      </c>
      <c r="M195" s="202">
        <f t="shared" si="47"/>
        <v>54.402000000000001</v>
      </c>
      <c r="N195" s="202">
        <f t="shared" si="47"/>
        <v>58.842199999999998</v>
      </c>
      <c r="O195" s="202">
        <f t="shared" si="47"/>
        <v>63.282399999999996</v>
      </c>
      <c r="P195" s="202">
        <f t="shared" si="47"/>
        <v>67.7226</v>
      </c>
      <c r="Q195" s="202">
        <f t="shared" si="47"/>
        <v>72.162800000000004</v>
      </c>
      <c r="R195" s="202">
        <f t="shared" si="47"/>
        <v>76.602999999999994</v>
      </c>
      <c r="S195" s="202">
        <f t="shared" si="47"/>
        <v>98.804000000000002</v>
      </c>
      <c r="T195" s="202">
        <f t="shared" si="47"/>
        <v>121.005</v>
      </c>
      <c r="U195" s="202">
        <f t="shared" si="47"/>
        <v>143.20599999999999</v>
      </c>
      <c r="V195" s="202">
        <f t="shared" si="47"/>
        <v>165.40699999999998</v>
      </c>
      <c r="W195" s="202">
        <f t="shared" si="47"/>
        <v>187.608</v>
      </c>
      <c r="X195" s="202">
        <f t="shared" si="47"/>
        <v>209.809</v>
      </c>
      <c r="Y195" s="202">
        <f t="shared" si="47"/>
        <v>232.01</v>
      </c>
      <c r="Z195" s="202">
        <f t="shared" si="47"/>
        <v>254.21100000000001</v>
      </c>
      <c r="AA195" s="202">
        <f t="shared" si="47"/>
        <v>276.41199999999998</v>
      </c>
      <c r="AB195" s="202">
        <f t="shared" si="47"/>
        <v>298.613</v>
      </c>
      <c r="AC195" s="202">
        <f t="shared" si="47"/>
        <v>320.81399999999996</v>
      </c>
      <c r="AD195" s="202">
        <f t="shared" si="47"/>
        <v>343.01499999999999</v>
      </c>
      <c r="AE195" s="202">
        <f t="shared" si="47"/>
        <v>365.21600000000001</v>
      </c>
      <c r="AF195" s="202">
        <f t="shared" si="47"/>
        <v>387.41700000000003</v>
      </c>
      <c r="AG195" s="202">
        <f t="shared" si="47"/>
        <v>409.61799999999999</v>
      </c>
      <c r="AH195" s="202">
        <f t="shared" si="47"/>
        <v>431.81899999999996</v>
      </c>
      <c r="AI195" s="202">
        <f t="shared" si="47"/>
        <v>454.02</v>
      </c>
      <c r="AJ195" s="60" t="s">
        <v>217</v>
      </c>
    </row>
    <row r="196" spans="2:36">
      <c r="B196" s="263"/>
      <c r="C196" s="202">
        <f>C187+C191</f>
        <v>12.852</v>
      </c>
      <c r="D196" s="202">
        <f t="shared" ref="D196:AI196" si="48">D187+D191</f>
        <v>15.704000000000001</v>
      </c>
      <c r="E196" s="202">
        <f t="shared" si="48"/>
        <v>21.408000000000001</v>
      </c>
      <c r="F196" s="202">
        <f t="shared" si="48"/>
        <v>27.112000000000002</v>
      </c>
      <c r="G196" s="202">
        <f t="shared" si="48"/>
        <v>32.816000000000003</v>
      </c>
      <c r="H196" s="202">
        <f t="shared" si="48"/>
        <v>38.519999999999996</v>
      </c>
      <c r="I196" s="202">
        <f t="shared" si="48"/>
        <v>44.224000000000004</v>
      </c>
      <c r="J196" s="202">
        <f t="shared" si="48"/>
        <v>49.927999999999997</v>
      </c>
      <c r="K196" s="202">
        <f t="shared" si="48"/>
        <v>55.632000000000005</v>
      </c>
      <c r="L196" s="202">
        <f t="shared" si="48"/>
        <v>61.335999999999999</v>
      </c>
      <c r="M196" s="202">
        <f t="shared" si="48"/>
        <v>67.039999999999992</v>
      </c>
      <c r="N196" s="202">
        <f t="shared" si="48"/>
        <v>72.744</v>
      </c>
      <c r="O196" s="202">
        <f t="shared" si="48"/>
        <v>78.448000000000008</v>
      </c>
      <c r="P196" s="202">
        <f t="shared" si="48"/>
        <v>84.152000000000001</v>
      </c>
      <c r="Q196" s="202">
        <f t="shared" si="48"/>
        <v>89.855999999999995</v>
      </c>
      <c r="R196" s="202">
        <f t="shared" si="48"/>
        <v>95.56</v>
      </c>
      <c r="S196" s="202">
        <f t="shared" si="48"/>
        <v>124.08</v>
      </c>
      <c r="T196" s="202">
        <f t="shared" si="48"/>
        <v>152.60000000000002</v>
      </c>
      <c r="U196" s="202">
        <f t="shared" si="48"/>
        <v>181.12</v>
      </c>
      <c r="V196" s="202">
        <f t="shared" si="48"/>
        <v>209.64</v>
      </c>
      <c r="W196" s="202">
        <f t="shared" si="48"/>
        <v>238.16</v>
      </c>
      <c r="X196" s="202">
        <f t="shared" si="48"/>
        <v>266.68</v>
      </c>
      <c r="Y196" s="202">
        <f t="shared" si="48"/>
        <v>295.20000000000005</v>
      </c>
      <c r="Z196" s="202">
        <f t="shared" si="48"/>
        <v>323.72000000000003</v>
      </c>
      <c r="AA196" s="202">
        <f t="shared" si="48"/>
        <v>352.24</v>
      </c>
      <c r="AB196" s="202">
        <f t="shared" si="48"/>
        <v>380.76</v>
      </c>
      <c r="AC196" s="202">
        <f t="shared" si="48"/>
        <v>409.28</v>
      </c>
      <c r="AD196" s="202">
        <f t="shared" si="48"/>
        <v>437.8</v>
      </c>
      <c r="AE196" s="202">
        <f t="shared" si="48"/>
        <v>466.32</v>
      </c>
      <c r="AF196" s="202">
        <f t="shared" si="48"/>
        <v>494.84000000000003</v>
      </c>
      <c r="AG196" s="202">
        <f t="shared" si="48"/>
        <v>523.36</v>
      </c>
      <c r="AH196" s="202">
        <f t="shared" si="48"/>
        <v>551.88</v>
      </c>
      <c r="AI196" s="202">
        <f t="shared" si="48"/>
        <v>580.40000000000009</v>
      </c>
      <c r="AJ196" s="60" t="s">
        <v>218</v>
      </c>
    </row>
    <row r="197" spans="2:36" ht="15.75" thickBot="1">
      <c r="B197" s="264"/>
      <c r="C197" s="218">
        <f>C187+C192</f>
        <v>13.056699999999999</v>
      </c>
      <c r="D197" s="218">
        <f t="shared" ref="D197:AI197" si="49">D187+D192</f>
        <v>16.113399999999999</v>
      </c>
      <c r="E197" s="218">
        <f t="shared" si="49"/>
        <v>22.226800000000001</v>
      </c>
      <c r="F197" s="218">
        <f t="shared" si="49"/>
        <v>28.340200000000003</v>
      </c>
      <c r="G197" s="218">
        <f t="shared" si="49"/>
        <v>34.453600000000002</v>
      </c>
      <c r="H197" s="218">
        <f t="shared" si="49"/>
        <v>40.567000000000007</v>
      </c>
      <c r="I197" s="218">
        <f t="shared" si="49"/>
        <v>46.680400000000006</v>
      </c>
      <c r="J197" s="218">
        <f t="shared" si="49"/>
        <v>52.793800000000005</v>
      </c>
      <c r="K197" s="218">
        <f t="shared" si="49"/>
        <v>58.907200000000003</v>
      </c>
      <c r="L197" s="218">
        <f t="shared" si="49"/>
        <v>65.020600000000002</v>
      </c>
      <c r="M197" s="218">
        <f t="shared" si="49"/>
        <v>71.134000000000015</v>
      </c>
      <c r="N197" s="218">
        <f t="shared" si="49"/>
        <v>77.247399999999999</v>
      </c>
      <c r="O197" s="218">
        <f t="shared" si="49"/>
        <v>83.360800000000012</v>
      </c>
      <c r="P197" s="218">
        <f t="shared" si="49"/>
        <v>89.474199999999996</v>
      </c>
      <c r="Q197" s="218">
        <f t="shared" si="49"/>
        <v>95.587600000000009</v>
      </c>
      <c r="R197" s="218">
        <f t="shared" si="49"/>
        <v>101.70100000000001</v>
      </c>
      <c r="S197" s="218">
        <f t="shared" si="49"/>
        <v>132.26800000000003</v>
      </c>
      <c r="T197" s="218">
        <f t="shared" si="49"/>
        <v>162.83500000000001</v>
      </c>
      <c r="U197" s="218">
        <f t="shared" si="49"/>
        <v>193.40200000000002</v>
      </c>
      <c r="V197" s="218">
        <f t="shared" si="49"/>
        <v>223.96900000000002</v>
      </c>
      <c r="W197" s="218">
        <f t="shared" si="49"/>
        <v>254.53600000000003</v>
      </c>
      <c r="X197" s="218">
        <f t="shared" si="49"/>
        <v>285.10300000000001</v>
      </c>
      <c r="Y197" s="218">
        <f t="shared" si="49"/>
        <v>315.67</v>
      </c>
      <c r="Z197" s="218">
        <f t="shared" si="49"/>
        <v>346.23700000000002</v>
      </c>
      <c r="AA197" s="218">
        <f t="shared" si="49"/>
        <v>376.80400000000003</v>
      </c>
      <c r="AB197" s="218">
        <f t="shared" si="49"/>
        <v>407.37100000000004</v>
      </c>
      <c r="AC197" s="218">
        <f t="shared" si="49"/>
        <v>437.93800000000005</v>
      </c>
      <c r="AD197" s="218">
        <f t="shared" si="49"/>
        <v>468.50500000000005</v>
      </c>
      <c r="AE197" s="218">
        <f t="shared" si="49"/>
        <v>499.07200000000006</v>
      </c>
      <c r="AF197" s="218">
        <f t="shared" si="49"/>
        <v>529.63900000000012</v>
      </c>
      <c r="AG197" s="218">
        <f t="shared" si="49"/>
        <v>560.20600000000002</v>
      </c>
      <c r="AH197" s="218">
        <f t="shared" si="49"/>
        <v>590.77300000000002</v>
      </c>
      <c r="AI197" s="218">
        <f t="shared" si="49"/>
        <v>621.34</v>
      </c>
      <c r="AJ197" s="60" t="s">
        <v>219</v>
      </c>
    </row>
    <row r="198" spans="2:36" ht="15.75" thickTop="1">
      <c r="B198" s="265" t="s">
        <v>220</v>
      </c>
      <c r="C198" s="216">
        <f>C193/C$184</f>
        <v>2.3087399999999998</v>
      </c>
      <c r="D198" s="216">
        <f>D193/D$184</f>
        <v>1.30874</v>
      </c>
      <c r="E198" s="216">
        <f t="shared" ref="E198:AI202" si="50">E193/E$184</f>
        <v>0.80874000000000001</v>
      </c>
      <c r="F198" s="216">
        <f t="shared" si="50"/>
        <v>0.64207333333333338</v>
      </c>
      <c r="G198" s="216">
        <f t="shared" si="50"/>
        <v>0.55874000000000001</v>
      </c>
      <c r="H198" s="216">
        <f t="shared" si="50"/>
        <v>0.50873999999999997</v>
      </c>
      <c r="I198" s="216">
        <f t="shared" si="50"/>
        <v>0.47540666666666664</v>
      </c>
      <c r="J198" s="216">
        <f t="shared" si="50"/>
        <v>0.45159714285714286</v>
      </c>
      <c r="K198" s="216">
        <f t="shared" si="50"/>
        <v>0.43373999999999996</v>
      </c>
      <c r="L198" s="216">
        <f t="shared" si="50"/>
        <v>0.41985111111111112</v>
      </c>
      <c r="M198" s="216">
        <f t="shared" si="50"/>
        <v>0.40874000000000005</v>
      </c>
      <c r="N198" s="216">
        <f t="shared" si="50"/>
        <v>0.3996490909090909</v>
      </c>
      <c r="O198" s="216">
        <f t="shared" si="50"/>
        <v>0.39207333333333333</v>
      </c>
      <c r="P198" s="216">
        <f t="shared" si="50"/>
        <v>0.38566307692307694</v>
      </c>
      <c r="Q198" s="216">
        <f t="shared" si="50"/>
        <v>0.38016857142857141</v>
      </c>
      <c r="R198" s="216">
        <f t="shared" si="50"/>
        <v>0.37540666666666667</v>
      </c>
      <c r="S198" s="216">
        <f t="shared" si="50"/>
        <v>0.35874</v>
      </c>
      <c r="T198" s="216">
        <f t="shared" si="50"/>
        <v>0.34873999999999999</v>
      </c>
      <c r="U198" s="216">
        <f t="shared" si="50"/>
        <v>0.34207333333333334</v>
      </c>
      <c r="V198" s="216">
        <f t="shared" si="50"/>
        <v>0.33731142857142854</v>
      </c>
      <c r="W198" s="216">
        <f t="shared" si="50"/>
        <v>0.33374000000000004</v>
      </c>
      <c r="X198" s="216">
        <f t="shared" si="50"/>
        <v>0.33096222222222221</v>
      </c>
      <c r="Y198" s="216">
        <f t="shared" si="50"/>
        <v>0.32874000000000003</v>
      </c>
      <c r="Z198" s="216">
        <f t="shared" si="50"/>
        <v>0.3269218181818182</v>
      </c>
      <c r="AA198" s="216">
        <f t="shared" si="50"/>
        <v>0.32540666666666668</v>
      </c>
      <c r="AB198" s="216">
        <f t="shared" si="50"/>
        <v>0.32412461538461534</v>
      </c>
      <c r="AC198" s="216">
        <f t="shared" si="50"/>
        <v>0.3230257142857143</v>
      </c>
      <c r="AD198" s="216">
        <f t="shared" si="50"/>
        <v>0.32207333333333332</v>
      </c>
      <c r="AE198" s="216">
        <f t="shared" si="50"/>
        <v>0.32124000000000003</v>
      </c>
      <c r="AF198" s="216">
        <f t="shared" si="50"/>
        <v>0.32050470588235291</v>
      </c>
      <c r="AG198" s="216">
        <f t="shared" si="50"/>
        <v>0.31985111111111109</v>
      </c>
      <c r="AH198" s="216">
        <f t="shared" si="50"/>
        <v>0.31926631578947368</v>
      </c>
      <c r="AI198" s="216">
        <f t="shared" si="50"/>
        <v>0.31874000000000002</v>
      </c>
      <c r="AJ198" s="60" t="s">
        <v>215</v>
      </c>
    </row>
    <row r="199" spans="2:36">
      <c r="B199" s="266"/>
      <c r="C199" s="205">
        <f t="shared" ref="C199:D202" si="51">C194/C$184</f>
        <v>2.3923999999999999</v>
      </c>
      <c r="D199" s="205">
        <f t="shared" si="51"/>
        <v>1.3923999999999999</v>
      </c>
      <c r="E199" s="205">
        <f t="shared" si="50"/>
        <v>0.89239999999999997</v>
      </c>
      <c r="F199" s="205">
        <f t="shared" si="50"/>
        <v>0.72573333333333323</v>
      </c>
      <c r="G199" s="205">
        <f t="shared" si="50"/>
        <v>0.64239999999999997</v>
      </c>
      <c r="H199" s="205">
        <f t="shared" si="50"/>
        <v>0.59240000000000004</v>
      </c>
      <c r="I199" s="205">
        <f t="shared" si="50"/>
        <v>0.5590666666666666</v>
      </c>
      <c r="J199" s="205">
        <f t="shared" si="50"/>
        <v>0.53525714285714288</v>
      </c>
      <c r="K199" s="205">
        <f t="shared" si="50"/>
        <v>0.51739999999999997</v>
      </c>
      <c r="L199" s="205">
        <f t="shared" si="50"/>
        <v>0.50351111111111113</v>
      </c>
      <c r="M199" s="205">
        <f t="shared" si="50"/>
        <v>0.4924</v>
      </c>
      <c r="N199" s="205">
        <f t="shared" si="50"/>
        <v>0.48330909090909091</v>
      </c>
      <c r="O199" s="205">
        <f t="shared" si="50"/>
        <v>0.47573333333333334</v>
      </c>
      <c r="P199" s="205">
        <f t="shared" si="50"/>
        <v>0.46932307692307695</v>
      </c>
      <c r="Q199" s="205">
        <f t="shared" si="50"/>
        <v>0.46382857142857148</v>
      </c>
      <c r="R199" s="205">
        <f t="shared" si="50"/>
        <v>0.45906666666666668</v>
      </c>
      <c r="S199" s="205">
        <f t="shared" si="50"/>
        <v>0.44240000000000002</v>
      </c>
      <c r="T199" s="205">
        <f t="shared" si="50"/>
        <v>0.43239999999999995</v>
      </c>
      <c r="U199" s="205">
        <f t="shared" si="50"/>
        <v>0.42573333333333335</v>
      </c>
      <c r="V199" s="205">
        <f t="shared" si="50"/>
        <v>0.42097142857142861</v>
      </c>
      <c r="W199" s="205">
        <f t="shared" si="50"/>
        <v>0.41739999999999999</v>
      </c>
      <c r="X199" s="205">
        <f t="shared" si="50"/>
        <v>0.41462222222222217</v>
      </c>
      <c r="Y199" s="205">
        <f t="shared" si="50"/>
        <v>0.41239999999999999</v>
      </c>
      <c r="Z199" s="205">
        <f t="shared" si="50"/>
        <v>0.41058181818181816</v>
      </c>
      <c r="AA199" s="205">
        <f t="shared" si="50"/>
        <v>0.40906666666666669</v>
      </c>
      <c r="AB199" s="205">
        <f t="shared" si="50"/>
        <v>0.40778461538461541</v>
      </c>
      <c r="AC199" s="205">
        <f t="shared" si="50"/>
        <v>0.40668571428571432</v>
      </c>
      <c r="AD199" s="205">
        <f t="shared" si="50"/>
        <v>0.40573333333333333</v>
      </c>
      <c r="AE199" s="205">
        <f t="shared" si="50"/>
        <v>0.40490000000000004</v>
      </c>
      <c r="AF199" s="205">
        <f t="shared" si="50"/>
        <v>0.40416470588235293</v>
      </c>
      <c r="AG199" s="205">
        <f t="shared" si="50"/>
        <v>0.4035111111111111</v>
      </c>
      <c r="AH199" s="205">
        <f t="shared" si="50"/>
        <v>0.40292631578947363</v>
      </c>
      <c r="AI199" s="205">
        <f t="shared" si="50"/>
        <v>0.40239999999999998</v>
      </c>
      <c r="AJ199" s="60" t="s">
        <v>216</v>
      </c>
    </row>
    <row r="200" spans="2:36">
      <c r="B200" s="266"/>
      <c r="C200" s="205">
        <f t="shared" si="51"/>
        <v>2.4440200000000001</v>
      </c>
      <c r="D200" s="205">
        <f t="shared" si="51"/>
        <v>1.4440200000000001</v>
      </c>
      <c r="E200" s="205">
        <f t="shared" si="50"/>
        <v>0.94402000000000008</v>
      </c>
      <c r="F200" s="205">
        <f t="shared" si="50"/>
        <v>0.77735333333333334</v>
      </c>
      <c r="G200" s="205">
        <f t="shared" si="50"/>
        <v>0.69401999999999997</v>
      </c>
      <c r="H200" s="205">
        <f t="shared" si="50"/>
        <v>0.64402000000000004</v>
      </c>
      <c r="I200" s="205">
        <f t="shared" si="50"/>
        <v>0.6106866666666666</v>
      </c>
      <c r="J200" s="205">
        <f t="shared" si="50"/>
        <v>0.58687714285714287</v>
      </c>
      <c r="K200" s="205">
        <f t="shared" si="50"/>
        <v>0.56901999999999997</v>
      </c>
      <c r="L200" s="205">
        <f t="shared" si="50"/>
        <v>0.55513111111111102</v>
      </c>
      <c r="M200" s="205">
        <f t="shared" si="50"/>
        <v>0.54402000000000006</v>
      </c>
      <c r="N200" s="205">
        <f t="shared" si="50"/>
        <v>0.53492909090909091</v>
      </c>
      <c r="O200" s="205">
        <f t="shared" si="50"/>
        <v>0.52735333333333334</v>
      </c>
      <c r="P200" s="205">
        <f t="shared" si="50"/>
        <v>0.52094307692307695</v>
      </c>
      <c r="Q200" s="205">
        <f t="shared" si="50"/>
        <v>0.51544857142857148</v>
      </c>
      <c r="R200" s="205">
        <f t="shared" si="50"/>
        <v>0.51068666666666662</v>
      </c>
      <c r="S200" s="205">
        <f t="shared" si="50"/>
        <v>0.49402000000000001</v>
      </c>
      <c r="T200" s="205">
        <f t="shared" si="50"/>
        <v>0.48402000000000001</v>
      </c>
      <c r="U200" s="205">
        <f t="shared" si="50"/>
        <v>0.4773533333333333</v>
      </c>
      <c r="V200" s="205">
        <f t="shared" si="50"/>
        <v>0.4725914285714285</v>
      </c>
      <c r="W200" s="205">
        <f t="shared" si="50"/>
        <v>0.46901999999999999</v>
      </c>
      <c r="X200" s="205">
        <f t="shared" si="50"/>
        <v>0.46624222222222222</v>
      </c>
      <c r="Y200" s="205">
        <f t="shared" si="50"/>
        <v>0.46401999999999999</v>
      </c>
      <c r="Z200" s="205">
        <f t="shared" si="50"/>
        <v>0.46220181818181821</v>
      </c>
      <c r="AA200" s="205">
        <f t="shared" si="50"/>
        <v>0.46068666666666663</v>
      </c>
      <c r="AB200" s="205">
        <f t="shared" si="50"/>
        <v>0.45940461538461541</v>
      </c>
      <c r="AC200" s="205">
        <f t="shared" si="50"/>
        <v>0.45830571428571426</v>
      </c>
      <c r="AD200" s="205">
        <f t="shared" si="50"/>
        <v>0.45735333333333333</v>
      </c>
      <c r="AE200" s="205">
        <f t="shared" si="50"/>
        <v>0.45652000000000004</v>
      </c>
      <c r="AF200" s="205">
        <f t="shared" si="50"/>
        <v>0.45578470588235298</v>
      </c>
      <c r="AG200" s="205">
        <f t="shared" si="50"/>
        <v>0.4551311111111111</v>
      </c>
      <c r="AH200" s="205">
        <f t="shared" si="50"/>
        <v>0.45454631578947363</v>
      </c>
      <c r="AI200" s="205">
        <f t="shared" si="50"/>
        <v>0.45401999999999998</v>
      </c>
      <c r="AJ200" s="60" t="s">
        <v>217</v>
      </c>
    </row>
    <row r="201" spans="2:36">
      <c r="B201" s="266"/>
      <c r="C201" s="205">
        <f t="shared" si="51"/>
        <v>2.5704000000000002</v>
      </c>
      <c r="D201" s="205">
        <f t="shared" si="51"/>
        <v>1.5704</v>
      </c>
      <c r="E201" s="205">
        <f t="shared" si="50"/>
        <v>1.0704</v>
      </c>
      <c r="F201" s="205">
        <f t="shared" si="50"/>
        <v>0.90373333333333339</v>
      </c>
      <c r="G201" s="205">
        <f t="shared" si="50"/>
        <v>0.82040000000000002</v>
      </c>
      <c r="H201" s="205">
        <f t="shared" si="50"/>
        <v>0.77039999999999997</v>
      </c>
      <c r="I201" s="205">
        <f t="shared" si="50"/>
        <v>0.73706666666666676</v>
      </c>
      <c r="J201" s="205">
        <f t="shared" si="50"/>
        <v>0.71325714285714281</v>
      </c>
      <c r="K201" s="205">
        <f t="shared" si="50"/>
        <v>0.69540000000000002</v>
      </c>
      <c r="L201" s="205">
        <f t="shared" si="50"/>
        <v>0.68151111111111107</v>
      </c>
      <c r="M201" s="205">
        <f t="shared" si="50"/>
        <v>0.67039999999999988</v>
      </c>
      <c r="N201" s="205">
        <f t="shared" si="50"/>
        <v>0.66130909090909096</v>
      </c>
      <c r="O201" s="205">
        <f t="shared" si="50"/>
        <v>0.65373333333333339</v>
      </c>
      <c r="P201" s="205">
        <f t="shared" si="50"/>
        <v>0.64732307692307689</v>
      </c>
      <c r="Q201" s="205">
        <f t="shared" si="50"/>
        <v>0.64182857142857141</v>
      </c>
      <c r="R201" s="205">
        <f t="shared" si="50"/>
        <v>0.63706666666666667</v>
      </c>
      <c r="S201" s="205">
        <f t="shared" si="50"/>
        <v>0.62039999999999995</v>
      </c>
      <c r="T201" s="205">
        <f t="shared" si="50"/>
        <v>0.61040000000000005</v>
      </c>
      <c r="U201" s="205">
        <f t="shared" si="50"/>
        <v>0.60373333333333334</v>
      </c>
      <c r="V201" s="205">
        <f t="shared" si="50"/>
        <v>0.59897142857142849</v>
      </c>
      <c r="W201" s="205">
        <f t="shared" si="50"/>
        <v>0.59540000000000004</v>
      </c>
      <c r="X201" s="205">
        <f t="shared" si="50"/>
        <v>0.59262222222222227</v>
      </c>
      <c r="Y201" s="205">
        <f t="shared" si="50"/>
        <v>0.59040000000000004</v>
      </c>
      <c r="Z201" s="205">
        <f t="shared" si="50"/>
        <v>0.58858181818181821</v>
      </c>
      <c r="AA201" s="205">
        <f t="shared" si="50"/>
        <v>0.58706666666666674</v>
      </c>
      <c r="AB201" s="205">
        <f t="shared" si="50"/>
        <v>0.58578461538461535</v>
      </c>
      <c r="AC201" s="205">
        <f t="shared" si="50"/>
        <v>0.58468571428571425</v>
      </c>
      <c r="AD201" s="205">
        <f t="shared" si="50"/>
        <v>0.58373333333333333</v>
      </c>
      <c r="AE201" s="205">
        <f t="shared" si="50"/>
        <v>0.58289999999999997</v>
      </c>
      <c r="AF201" s="205">
        <f t="shared" si="50"/>
        <v>0.58216470588235303</v>
      </c>
      <c r="AG201" s="205">
        <f t="shared" si="50"/>
        <v>0.58151111111111109</v>
      </c>
      <c r="AH201" s="205">
        <f t="shared" si="50"/>
        <v>0.58092631578947362</v>
      </c>
      <c r="AI201" s="205">
        <f t="shared" si="50"/>
        <v>0.58040000000000014</v>
      </c>
      <c r="AJ201" s="60" t="s">
        <v>218</v>
      </c>
    </row>
    <row r="202" spans="2:36">
      <c r="B202" s="266"/>
      <c r="C202" s="205">
        <f t="shared" si="51"/>
        <v>2.6113399999999998</v>
      </c>
      <c r="D202" s="205">
        <f t="shared" si="51"/>
        <v>1.6113399999999998</v>
      </c>
      <c r="E202" s="205">
        <f t="shared" si="50"/>
        <v>1.11134</v>
      </c>
      <c r="F202" s="205">
        <f t="shared" si="50"/>
        <v>0.94467333333333348</v>
      </c>
      <c r="G202" s="205">
        <f t="shared" si="50"/>
        <v>0.86133999999999999</v>
      </c>
      <c r="H202" s="205">
        <f t="shared" si="50"/>
        <v>0.81134000000000017</v>
      </c>
      <c r="I202" s="205">
        <f t="shared" si="50"/>
        <v>0.77800666666666674</v>
      </c>
      <c r="J202" s="205">
        <f t="shared" si="50"/>
        <v>0.7541971428571429</v>
      </c>
      <c r="K202" s="205">
        <f t="shared" si="50"/>
        <v>0.73633999999999999</v>
      </c>
      <c r="L202" s="205">
        <f t="shared" si="50"/>
        <v>0.72245111111111115</v>
      </c>
      <c r="M202" s="205">
        <f t="shared" si="50"/>
        <v>0.71134000000000019</v>
      </c>
      <c r="N202" s="205">
        <f t="shared" si="50"/>
        <v>0.70224909090909093</v>
      </c>
      <c r="O202" s="205">
        <f t="shared" si="50"/>
        <v>0.69467333333333348</v>
      </c>
      <c r="P202" s="205">
        <f t="shared" si="50"/>
        <v>0.68826307692307687</v>
      </c>
      <c r="Q202" s="205">
        <f t="shared" si="50"/>
        <v>0.6827685714285715</v>
      </c>
      <c r="R202" s="205">
        <f t="shared" si="50"/>
        <v>0.67800666666666676</v>
      </c>
      <c r="S202" s="205">
        <f t="shared" si="50"/>
        <v>0.66134000000000015</v>
      </c>
      <c r="T202" s="205">
        <f t="shared" si="50"/>
        <v>0.65134000000000003</v>
      </c>
      <c r="U202" s="205">
        <f t="shared" si="50"/>
        <v>0.64467333333333343</v>
      </c>
      <c r="V202" s="205">
        <f t="shared" si="50"/>
        <v>0.63991142857142869</v>
      </c>
      <c r="W202" s="205">
        <f t="shared" si="50"/>
        <v>0.63634000000000013</v>
      </c>
      <c r="X202" s="205">
        <f t="shared" si="50"/>
        <v>0.63356222222222225</v>
      </c>
      <c r="Y202" s="205">
        <f t="shared" si="50"/>
        <v>0.63134000000000001</v>
      </c>
      <c r="Z202" s="205">
        <f t="shared" si="50"/>
        <v>0.62952181818181818</v>
      </c>
      <c r="AA202" s="205">
        <f t="shared" si="50"/>
        <v>0.62800666666666671</v>
      </c>
      <c r="AB202" s="205">
        <f t="shared" si="50"/>
        <v>0.62672461538461544</v>
      </c>
      <c r="AC202" s="205">
        <f t="shared" si="50"/>
        <v>0.62562571428571434</v>
      </c>
      <c r="AD202" s="205">
        <f t="shared" si="50"/>
        <v>0.62467333333333341</v>
      </c>
      <c r="AE202" s="205">
        <f t="shared" si="50"/>
        <v>0.62384000000000006</v>
      </c>
      <c r="AF202" s="205">
        <f t="shared" si="50"/>
        <v>0.62310470588235312</v>
      </c>
      <c r="AG202" s="205">
        <f t="shared" si="50"/>
        <v>0.62245111111111118</v>
      </c>
      <c r="AH202" s="205">
        <f t="shared" si="50"/>
        <v>0.62186631578947371</v>
      </c>
      <c r="AI202" s="205">
        <f t="shared" si="50"/>
        <v>0.62134</v>
      </c>
      <c r="AJ202" s="60" t="s">
        <v>219</v>
      </c>
    </row>
    <row r="204" spans="2:36" ht="17.25" hidden="1">
      <c r="C204" s="2" t="s">
        <v>221</v>
      </c>
      <c r="D204" s="2" t="s">
        <v>222</v>
      </c>
      <c r="E204" s="2" t="s">
        <v>223</v>
      </c>
      <c r="F204" s="92"/>
    </row>
    <row r="205" spans="2:36" hidden="1">
      <c r="B205" s="63" t="s">
        <v>91</v>
      </c>
      <c r="C205" s="9">
        <f>E22/1000</f>
        <v>3.0357220052360319</v>
      </c>
      <c r="D205" s="9">
        <f>D22</f>
        <v>198.80628760564133</v>
      </c>
      <c r="E205" s="2">
        <v>5</v>
      </c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</row>
    <row r="206" spans="2:36" hidden="1">
      <c r="B206" s="63" t="s">
        <v>92</v>
      </c>
      <c r="C206" s="9">
        <f>E23/1000</f>
        <v>0.87146682253550145</v>
      </c>
      <c r="D206" s="9">
        <f>D23</f>
        <v>298.53081397820642</v>
      </c>
      <c r="E206" s="2">
        <v>1</v>
      </c>
    </row>
    <row r="207" spans="2:36" hidden="1">
      <c r="B207" s="63" t="s">
        <v>93</v>
      </c>
      <c r="C207" s="9">
        <f>E24/1000</f>
        <v>3.2090463809243124</v>
      </c>
      <c r="D207" s="9">
        <f>D24</f>
        <v>210.15712131924201</v>
      </c>
      <c r="E207" s="2">
        <v>5</v>
      </c>
    </row>
    <row r="208" spans="2:36" hidden="1">
      <c r="B208" s="63" t="s">
        <v>94</v>
      </c>
      <c r="C208" s="9">
        <f>E25/1000</f>
        <v>0.84803366349275167</v>
      </c>
      <c r="D208" s="9">
        <f>D25</f>
        <v>290.5035203828408</v>
      </c>
      <c r="E208" s="2">
        <v>1</v>
      </c>
    </row>
    <row r="209" spans="1:35" hidden="1"/>
    <row r="210" spans="1:35" hidden="1">
      <c r="A210" s="153" t="s">
        <v>224</v>
      </c>
      <c r="B210" s="208">
        <v>0</v>
      </c>
      <c r="C210" s="208">
        <v>5</v>
      </c>
      <c r="D210" s="208">
        <v>10</v>
      </c>
      <c r="E210" s="208">
        <v>20</v>
      </c>
      <c r="F210" s="208">
        <v>30</v>
      </c>
      <c r="G210" s="208">
        <v>40</v>
      </c>
      <c r="H210" s="208">
        <v>50</v>
      </c>
      <c r="I210" s="208">
        <v>60</v>
      </c>
      <c r="J210" s="208">
        <v>70</v>
      </c>
      <c r="K210" s="208">
        <v>80</v>
      </c>
      <c r="L210" s="208">
        <v>90</v>
      </c>
      <c r="M210" s="208">
        <v>100</v>
      </c>
      <c r="N210" s="208">
        <v>110</v>
      </c>
      <c r="O210" s="208">
        <v>120</v>
      </c>
      <c r="P210" s="208">
        <v>130</v>
      </c>
      <c r="Q210" s="208">
        <v>140</v>
      </c>
      <c r="R210" s="208">
        <v>150</v>
      </c>
      <c r="S210" s="208">
        <v>200</v>
      </c>
      <c r="T210" s="208">
        <v>250</v>
      </c>
      <c r="U210" s="208">
        <v>300</v>
      </c>
      <c r="V210" s="208">
        <v>350</v>
      </c>
      <c r="W210" s="208">
        <v>400</v>
      </c>
      <c r="X210" s="208">
        <v>450</v>
      </c>
      <c r="Y210" s="208">
        <v>500</v>
      </c>
      <c r="Z210" s="208">
        <v>550</v>
      </c>
      <c r="AA210" s="208">
        <v>600</v>
      </c>
      <c r="AB210" s="208">
        <v>650</v>
      </c>
      <c r="AC210" s="208">
        <v>700</v>
      </c>
      <c r="AD210" s="208">
        <v>750</v>
      </c>
      <c r="AE210" s="208">
        <v>800</v>
      </c>
      <c r="AF210" s="208">
        <v>850</v>
      </c>
      <c r="AG210" s="208">
        <v>900</v>
      </c>
      <c r="AH210" s="208">
        <v>950</v>
      </c>
      <c r="AI210" s="208">
        <v>1000</v>
      </c>
    </row>
    <row r="211" spans="1:35" hidden="1">
      <c r="A211" s="210" t="s">
        <v>91</v>
      </c>
      <c r="B211" s="91">
        <f>D205</f>
        <v>198.80628760564133</v>
      </c>
      <c r="C211" s="91">
        <f>$B$211+C169</f>
        <v>211.02638760564133</v>
      </c>
      <c r="D211" s="91">
        <f t="shared" ref="D211:AI211" si="52">$B$211+D169</f>
        <v>213.24648760564133</v>
      </c>
      <c r="E211" s="91">
        <f t="shared" si="52"/>
        <v>217.68668760564134</v>
      </c>
      <c r="F211" s="91">
        <f t="shared" si="52"/>
        <v>222.12688760564134</v>
      </c>
      <c r="G211" s="91">
        <f t="shared" si="52"/>
        <v>226.56708760564132</v>
      </c>
      <c r="H211" s="91">
        <f t="shared" si="52"/>
        <v>231.00728760564132</v>
      </c>
      <c r="I211" s="91">
        <f t="shared" si="52"/>
        <v>235.44748760564133</v>
      </c>
      <c r="J211" s="91">
        <f t="shared" si="52"/>
        <v>239.88768760564133</v>
      </c>
      <c r="K211" s="91">
        <f t="shared" si="52"/>
        <v>244.32788760564134</v>
      </c>
      <c r="L211" s="91">
        <f t="shared" si="52"/>
        <v>248.76808760564131</v>
      </c>
      <c r="M211" s="91">
        <f t="shared" si="52"/>
        <v>253.20828760564132</v>
      </c>
      <c r="N211" s="91">
        <f t="shared" si="52"/>
        <v>257.64848760564132</v>
      </c>
      <c r="O211" s="91">
        <f t="shared" si="52"/>
        <v>262.08868760564133</v>
      </c>
      <c r="P211" s="91">
        <f t="shared" si="52"/>
        <v>266.52888760564133</v>
      </c>
      <c r="Q211" s="91">
        <f t="shared" si="52"/>
        <v>270.96908760564133</v>
      </c>
      <c r="R211" s="91">
        <f t="shared" si="52"/>
        <v>275.40928760564134</v>
      </c>
      <c r="S211" s="91">
        <f t="shared" si="52"/>
        <v>297.61028760564136</v>
      </c>
      <c r="T211" s="91">
        <f t="shared" si="52"/>
        <v>319.81128760564133</v>
      </c>
      <c r="U211" s="91">
        <f t="shared" si="52"/>
        <v>342.01228760564129</v>
      </c>
      <c r="V211" s="91">
        <f t="shared" si="52"/>
        <v>364.21328760564131</v>
      </c>
      <c r="W211" s="91">
        <f t="shared" si="52"/>
        <v>386.41428760564133</v>
      </c>
      <c r="X211" s="91">
        <f t="shared" si="52"/>
        <v>408.61528760564136</v>
      </c>
      <c r="Y211" s="91">
        <f t="shared" si="52"/>
        <v>430.81628760564132</v>
      </c>
      <c r="Z211" s="91">
        <f t="shared" si="52"/>
        <v>453.01728760564134</v>
      </c>
      <c r="AA211" s="91">
        <f t="shared" si="52"/>
        <v>475.21828760564131</v>
      </c>
      <c r="AB211" s="91">
        <f t="shared" si="52"/>
        <v>497.41928760564133</v>
      </c>
      <c r="AC211" s="91">
        <f t="shared" si="52"/>
        <v>519.62028760564135</v>
      </c>
      <c r="AD211" s="91">
        <f t="shared" si="52"/>
        <v>541.82128760564137</v>
      </c>
      <c r="AE211" s="91">
        <f t="shared" si="52"/>
        <v>564.0222876056414</v>
      </c>
      <c r="AF211" s="91">
        <f t="shared" si="52"/>
        <v>586.22328760564142</v>
      </c>
      <c r="AG211" s="91">
        <f t="shared" si="52"/>
        <v>608.42428760564133</v>
      </c>
      <c r="AH211" s="91">
        <f t="shared" si="52"/>
        <v>630.62528760564123</v>
      </c>
      <c r="AI211" s="91">
        <f t="shared" si="52"/>
        <v>652.82628760564126</v>
      </c>
    </row>
    <row r="212" spans="1:35" hidden="1">
      <c r="A212" s="210" t="s">
        <v>92</v>
      </c>
      <c r="B212" s="91">
        <f t="shared" ref="B212:B214" si="53">D206</f>
        <v>298.53081397820642</v>
      </c>
      <c r="C212" s="91">
        <f>$B$212+C167</f>
        <v>310.07451397820643</v>
      </c>
      <c r="D212" s="91">
        <f t="shared" ref="D212:AI212" si="54">$B$212+D167</f>
        <v>311.61821397820643</v>
      </c>
      <c r="E212" s="91">
        <f t="shared" si="54"/>
        <v>314.70561397820643</v>
      </c>
      <c r="F212" s="91">
        <f t="shared" si="54"/>
        <v>317.79301397820643</v>
      </c>
      <c r="G212" s="91">
        <f t="shared" si="54"/>
        <v>320.88041397820643</v>
      </c>
      <c r="H212" s="91">
        <f t="shared" si="54"/>
        <v>323.96781397820644</v>
      </c>
      <c r="I212" s="91">
        <f t="shared" si="54"/>
        <v>327.05521397820644</v>
      </c>
      <c r="J212" s="91">
        <f t="shared" si="54"/>
        <v>330.14261397820644</v>
      </c>
      <c r="K212" s="91">
        <f t="shared" si="54"/>
        <v>333.23001397820644</v>
      </c>
      <c r="L212" s="91">
        <f t="shared" si="54"/>
        <v>336.31741397820645</v>
      </c>
      <c r="M212" s="91">
        <f t="shared" si="54"/>
        <v>339.40481397820645</v>
      </c>
      <c r="N212" s="91">
        <f t="shared" si="54"/>
        <v>342.49221397820645</v>
      </c>
      <c r="O212" s="91">
        <f t="shared" si="54"/>
        <v>345.57961397820645</v>
      </c>
      <c r="P212" s="91">
        <f t="shared" si="54"/>
        <v>348.66701397820646</v>
      </c>
      <c r="Q212" s="91">
        <f t="shared" si="54"/>
        <v>351.7544139782064</v>
      </c>
      <c r="R212" s="91">
        <f t="shared" si="54"/>
        <v>354.8418139782064</v>
      </c>
      <c r="S212" s="91">
        <f t="shared" si="54"/>
        <v>370.27881397820641</v>
      </c>
      <c r="T212" s="91">
        <f t="shared" si="54"/>
        <v>385.71581397820643</v>
      </c>
      <c r="U212" s="91">
        <f t="shared" si="54"/>
        <v>401.15281397820644</v>
      </c>
      <c r="V212" s="91">
        <f t="shared" si="54"/>
        <v>416.58981397820639</v>
      </c>
      <c r="W212" s="91">
        <f t="shared" si="54"/>
        <v>432.02681397820641</v>
      </c>
      <c r="X212" s="91">
        <f t="shared" si="54"/>
        <v>447.46381397820642</v>
      </c>
      <c r="Y212" s="91">
        <f t="shared" si="54"/>
        <v>462.90081397820643</v>
      </c>
      <c r="Z212" s="91">
        <f t="shared" si="54"/>
        <v>478.33781397820644</v>
      </c>
      <c r="AA212" s="91">
        <f t="shared" si="54"/>
        <v>493.77481397820645</v>
      </c>
      <c r="AB212" s="91">
        <f t="shared" si="54"/>
        <v>509.21181397820641</v>
      </c>
      <c r="AC212" s="91">
        <f t="shared" si="54"/>
        <v>524.64881397820636</v>
      </c>
      <c r="AD212" s="91">
        <f t="shared" si="54"/>
        <v>540.08581397820649</v>
      </c>
      <c r="AE212" s="91">
        <f t="shared" si="54"/>
        <v>555.52281397820639</v>
      </c>
      <c r="AF212" s="91">
        <f t="shared" si="54"/>
        <v>570.9598139782064</v>
      </c>
      <c r="AG212" s="91">
        <f t="shared" si="54"/>
        <v>586.39681397820641</v>
      </c>
      <c r="AH212" s="91">
        <f t="shared" si="54"/>
        <v>601.83381397820642</v>
      </c>
      <c r="AI212" s="91">
        <f t="shared" si="54"/>
        <v>617.27081397820643</v>
      </c>
    </row>
    <row r="213" spans="1:35" hidden="1">
      <c r="A213" s="89" t="s">
        <v>93</v>
      </c>
      <c r="B213" s="91">
        <f t="shared" si="53"/>
        <v>210.15712131924201</v>
      </c>
      <c r="C213" s="91">
        <f>$B$213+C169</f>
        <v>222.37722131924201</v>
      </c>
      <c r="D213" s="91">
        <f t="shared" ref="D213:AI213" si="55">$B$213+D169</f>
        <v>224.59732131924201</v>
      </c>
      <c r="E213" s="91">
        <f t="shared" si="55"/>
        <v>229.03752131924202</v>
      </c>
      <c r="F213" s="91">
        <f t="shared" si="55"/>
        <v>233.47772131924199</v>
      </c>
      <c r="G213" s="91">
        <f t="shared" si="55"/>
        <v>237.917921319242</v>
      </c>
      <c r="H213" s="91">
        <f t="shared" si="55"/>
        <v>242.358121319242</v>
      </c>
      <c r="I213" s="91">
        <f t="shared" si="55"/>
        <v>246.79832131924201</v>
      </c>
      <c r="J213" s="91">
        <f t="shared" si="55"/>
        <v>251.23852131924201</v>
      </c>
      <c r="K213" s="91">
        <f t="shared" si="55"/>
        <v>255.67872131924202</v>
      </c>
      <c r="L213" s="91">
        <f t="shared" si="55"/>
        <v>260.11892131924202</v>
      </c>
      <c r="M213" s="91">
        <f t="shared" si="55"/>
        <v>264.55912131924202</v>
      </c>
      <c r="N213" s="91">
        <f t="shared" si="55"/>
        <v>268.99932131924203</v>
      </c>
      <c r="O213" s="91">
        <f t="shared" si="55"/>
        <v>273.43952131924198</v>
      </c>
      <c r="P213" s="91">
        <f t="shared" si="55"/>
        <v>277.87972131924198</v>
      </c>
      <c r="Q213" s="91">
        <f t="shared" si="55"/>
        <v>282.31992131924198</v>
      </c>
      <c r="R213" s="91">
        <f t="shared" si="55"/>
        <v>286.76012131924199</v>
      </c>
      <c r="S213" s="91">
        <f t="shared" si="55"/>
        <v>308.96112131924201</v>
      </c>
      <c r="T213" s="91">
        <f t="shared" si="55"/>
        <v>331.16212131924203</v>
      </c>
      <c r="U213" s="91">
        <f t="shared" si="55"/>
        <v>353.363121319242</v>
      </c>
      <c r="V213" s="91">
        <f t="shared" si="55"/>
        <v>375.56412131924196</v>
      </c>
      <c r="W213" s="91">
        <f t="shared" si="55"/>
        <v>397.76512131924198</v>
      </c>
      <c r="X213" s="91">
        <f t="shared" si="55"/>
        <v>419.96612131924201</v>
      </c>
      <c r="Y213" s="91">
        <f t="shared" si="55"/>
        <v>442.16712131924203</v>
      </c>
      <c r="Z213" s="91">
        <f t="shared" si="55"/>
        <v>464.36812131924205</v>
      </c>
      <c r="AA213" s="91">
        <f t="shared" si="55"/>
        <v>486.56912131924196</v>
      </c>
      <c r="AB213" s="91">
        <f t="shared" si="55"/>
        <v>508.77012131924198</v>
      </c>
      <c r="AC213" s="91">
        <f t="shared" si="55"/>
        <v>530.971121319242</v>
      </c>
      <c r="AD213" s="91">
        <f t="shared" si="55"/>
        <v>553.17212131924202</v>
      </c>
      <c r="AE213" s="91">
        <f t="shared" si="55"/>
        <v>575.37312131924205</v>
      </c>
      <c r="AF213" s="91">
        <f t="shared" si="55"/>
        <v>597.57412131924207</v>
      </c>
      <c r="AG213" s="91">
        <f t="shared" si="55"/>
        <v>619.77512131924198</v>
      </c>
      <c r="AH213" s="91">
        <f t="shared" si="55"/>
        <v>641.976121319242</v>
      </c>
      <c r="AI213" s="91">
        <f t="shared" si="55"/>
        <v>664.17712131924202</v>
      </c>
    </row>
    <row r="214" spans="1:35" hidden="1">
      <c r="A214" s="89" t="s">
        <v>94</v>
      </c>
      <c r="B214" s="91">
        <f t="shared" si="53"/>
        <v>290.5035203828408</v>
      </c>
      <c r="C214" s="91">
        <f>$B$214+C167</f>
        <v>302.04722038284081</v>
      </c>
      <c r="D214" s="91">
        <f t="shared" ref="D214:AI214" si="56">$B$214+D167</f>
        <v>303.59092038284081</v>
      </c>
      <c r="E214" s="91">
        <f t="shared" si="56"/>
        <v>306.67832038284081</v>
      </c>
      <c r="F214" s="91">
        <f t="shared" si="56"/>
        <v>309.76572038284081</v>
      </c>
      <c r="G214" s="91">
        <f t="shared" si="56"/>
        <v>312.85312038284081</v>
      </c>
      <c r="H214" s="91">
        <f t="shared" si="56"/>
        <v>315.94052038284082</v>
      </c>
      <c r="I214" s="91">
        <f t="shared" si="56"/>
        <v>319.02792038284082</v>
      </c>
      <c r="J214" s="91">
        <f t="shared" si="56"/>
        <v>322.11532038284082</v>
      </c>
      <c r="K214" s="91">
        <f t="shared" si="56"/>
        <v>325.20272038284082</v>
      </c>
      <c r="L214" s="91">
        <f t="shared" si="56"/>
        <v>328.29012038284083</v>
      </c>
      <c r="M214" s="91">
        <f t="shared" si="56"/>
        <v>331.37752038284083</v>
      </c>
      <c r="N214" s="91">
        <f t="shared" si="56"/>
        <v>334.46492038284077</v>
      </c>
      <c r="O214" s="91">
        <f t="shared" si="56"/>
        <v>337.55232038284078</v>
      </c>
      <c r="P214" s="91">
        <f t="shared" si="56"/>
        <v>340.63972038284078</v>
      </c>
      <c r="Q214" s="91">
        <f t="shared" si="56"/>
        <v>343.72712038284078</v>
      </c>
      <c r="R214" s="91">
        <f t="shared" si="56"/>
        <v>346.81452038284078</v>
      </c>
      <c r="S214" s="91">
        <f t="shared" si="56"/>
        <v>362.25152038284079</v>
      </c>
      <c r="T214" s="91">
        <f t="shared" si="56"/>
        <v>377.68852038284081</v>
      </c>
      <c r="U214" s="91">
        <f t="shared" si="56"/>
        <v>393.12552038284082</v>
      </c>
      <c r="V214" s="91">
        <f t="shared" si="56"/>
        <v>408.56252038284083</v>
      </c>
      <c r="W214" s="91">
        <f t="shared" si="56"/>
        <v>423.99952038284084</v>
      </c>
      <c r="X214" s="91">
        <f t="shared" si="56"/>
        <v>439.4365203828408</v>
      </c>
      <c r="Y214" s="91">
        <f t="shared" si="56"/>
        <v>454.87352038284081</v>
      </c>
      <c r="Z214" s="91">
        <f t="shared" si="56"/>
        <v>470.31052038284082</v>
      </c>
      <c r="AA214" s="91">
        <f t="shared" si="56"/>
        <v>485.74752038284078</v>
      </c>
      <c r="AB214" s="91">
        <f t="shared" si="56"/>
        <v>501.18452038284079</v>
      </c>
      <c r="AC214" s="91">
        <f t="shared" si="56"/>
        <v>516.6215203828408</v>
      </c>
      <c r="AD214" s="91">
        <f t="shared" si="56"/>
        <v>532.05852038284081</v>
      </c>
      <c r="AE214" s="91">
        <f t="shared" si="56"/>
        <v>547.49552038284082</v>
      </c>
      <c r="AF214" s="91">
        <f t="shared" si="56"/>
        <v>562.93252038284072</v>
      </c>
      <c r="AG214" s="91">
        <f t="shared" si="56"/>
        <v>578.36952038284085</v>
      </c>
      <c r="AH214" s="91">
        <f t="shared" si="56"/>
        <v>593.80652038284074</v>
      </c>
      <c r="AI214" s="91">
        <f t="shared" si="56"/>
        <v>609.24352038284087</v>
      </c>
    </row>
    <row r="215" spans="1:35" hidden="1">
      <c r="A215" s="153" t="s">
        <v>225</v>
      </c>
      <c r="B215" s="91">
        <f>B212-B211</f>
        <v>99.724526372565094</v>
      </c>
      <c r="C215" s="91">
        <f t="shared" ref="C215:AI215" si="57">C212-C211</f>
        <v>99.048126372565093</v>
      </c>
      <c r="D215" s="91">
        <f t="shared" si="57"/>
        <v>98.371726372565092</v>
      </c>
      <c r="E215" s="91">
        <f t="shared" si="57"/>
        <v>97.01892637256509</v>
      </c>
      <c r="F215" s="91">
        <f t="shared" si="57"/>
        <v>95.666126372565088</v>
      </c>
      <c r="G215" s="91">
        <f t="shared" si="57"/>
        <v>94.313326372565115</v>
      </c>
      <c r="H215" s="91">
        <f t="shared" si="57"/>
        <v>92.960526372565113</v>
      </c>
      <c r="I215" s="91">
        <f t="shared" si="57"/>
        <v>91.607726372565111</v>
      </c>
      <c r="J215" s="91">
        <f t="shared" si="57"/>
        <v>90.254926372565109</v>
      </c>
      <c r="K215" s="91">
        <f t="shared" si="57"/>
        <v>88.902126372565107</v>
      </c>
      <c r="L215" s="91">
        <f t="shared" si="57"/>
        <v>87.549326372565133</v>
      </c>
      <c r="M215" s="91">
        <f t="shared" si="57"/>
        <v>86.196526372565131</v>
      </c>
      <c r="N215" s="91">
        <f t="shared" si="57"/>
        <v>84.843726372565129</v>
      </c>
      <c r="O215" s="91">
        <f t="shared" si="57"/>
        <v>83.490926372565127</v>
      </c>
      <c r="P215" s="91">
        <f t="shared" si="57"/>
        <v>82.138126372565125</v>
      </c>
      <c r="Q215" s="91">
        <f t="shared" si="57"/>
        <v>80.785326372565066</v>
      </c>
      <c r="R215" s="91">
        <f t="shared" si="57"/>
        <v>79.432526372565064</v>
      </c>
      <c r="S215" s="91">
        <f t="shared" si="57"/>
        <v>72.668526372565054</v>
      </c>
      <c r="T215" s="91">
        <f t="shared" si="57"/>
        <v>65.904526372565101</v>
      </c>
      <c r="U215" s="91">
        <f t="shared" si="57"/>
        <v>59.140526372565148</v>
      </c>
      <c r="V215" s="91">
        <f t="shared" si="57"/>
        <v>52.376526372565081</v>
      </c>
      <c r="W215" s="91">
        <f t="shared" si="57"/>
        <v>45.612526372565071</v>
      </c>
      <c r="X215" s="91">
        <f t="shared" si="57"/>
        <v>38.848526372565061</v>
      </c>
      <c r="Y215" s="91">
        <f t="shared" si="57"/>
        <v>32.084526372565108</v>
      </c>
      <c r="Z215" s="91">
        <f t="shared" si="57"/>
        <v>25.320526372565098</v>
      </c>
      <c r="AA215" s="91">
        <f t="shared" si="57"/>
        <v>18.556526372565145</v>
      </c>
      <c r="AB215" s="91">
        <f t="shared" si="57"/>
        <v>11.792526372565078</v>
      </c>
      <c r="AC215" s="91">
        <f t="shared" si="57"/>
        <v>5.0285263725650111</v>
      </c>
      <c r="AD215" s="91">
        <f t="shared" si="57"/>
        <v>-1.7354736274348852</v>
      </c>
      <c r="AE215" s="91">
        <f t="shared" si="57"/>
        <v>-8.4994736274350089</v>
      </c>
      <c r="AF215" s="91">
        <f t="shared" si="57"/>
        <v>-15.263473627435019</v>
      </c>
      <c r="AG215" s="91">
        <f t="shared" si="57"/>
        <v>-22.027473627434915</v>
      </c>
      <c r="AH215" s="91">
        <f t="shared" si="57"/>
        <v>-28.791473627434812</v>
      </c>
      <c r="AI215" s="91">
        <f t="shared" si="57"/>
        <v>-35.555473627434822</v>
      </c>
    </row>
    <row r="216" spans="1:35" hidden="1">
      <c r="A216" s="153" t="s">
        <v>226</v>
      </c>
      <c r="B216" s="91">
        <f>B214-B213</f>
        <v>80.346399063598795</v>
      </c>
      <c r="C216" s="91">
        <f t="shared" ref="C216:AI216" si="58">C214-C213</f>
        <v>79.669999063598794</v>
      </c>
      <c r="D216" s="91">
        <f t="shared" si="58"/>
        <v>78.993599063598793</v>
      </c>
      <c r="E216" s="91">
        <f t="shared" si="58"/>
        <v>77.640799063598791</v>
      </c>
      <c r="F216" s="91">
        <f t="shared" si="58"/>
        <v>76.287999063598818</v>
      </c>
      <c r="G216" s="91">
        <f t="shared" si="58"/>
        <v>74.935199063598816</v>
      </c>
      <c r="H216" s="91">
        <f t="shared" si="58"/>
        <v>73.582399063598814</v>
      </c>
      <c r="I216" s="91">
        <f t="shared" si="58"/>
        <v>72.229599063598812</v>
      </c>
      <c r="J216" s="91">
        <f t="shared" si="58"/>
        <v>70.87679906359881</v>
      </c>
      <c r="K216" s="91">
        <f t="shared" si="58"/>
        <v>69.523999063598808</v>
      </c>
      <c r="L216" s="91">
        <f t="shared" si="58"/>
        <v>68.171199063598806</v>
      </c>
      <c r="M216" s="91">
        <f t="shared" si="58"/>
        <v>66.818399063598804</v>
      </c>
      <c r="N216" s="91">
        <f t="shared" si="58"/>
        <v>65.465599063598745</v>
      </c>
      <c r="O216" s="91">
        <f t="shared" si="58"/>
        <v>64.1127990635988</v>
      </c>
      <c r="P216" s="91">
        <f t="shared" si="58"/>
        <v>62.759999063598798</v>
      </c>
      <c r="Q216" s="91">
        <f t="shared" si="58"/>
        <v>61.407199063598796</v>
      </c>
      <c r="R216" s="91">
        <f t="shared" si="58"/>
        <v>60.054399063598794</v>
      </c>
      <c r="S216" s="91">
        <f t="shared" si="58"/>
        <v>53.290399063598784</v>
      </c>
      <c r="T216" s="91">
        <f t="shared" si="58"/>
        <v>46.526399063598774</v>
      </c>
      <c r="U216" s="91">
        <f t="shared" si="58"/>
        <v>39.762399063598821</v>
      </c>
      <c r="V216" s="91">
        <f t="shared" si="58"/>
        <v>32.998399063598868</v>
      </c>
      <c r="W216" s="91">
        <f t="shared" si="58"/>
        <v>26.234399063598858</v>
      </c>
      <c r="X216" s="91">
        <f t="shared" si="58"/>
        <v>19.470399063598791</v>
      </c>
      <c r="Y216" s="91">
        <f t="shared" si="58"/>
        <v>12.706399063598781</v>
      </c>
      <c r="Z216" s="91">
        <f t="shared" si="58"/>
        <v>5.9423990635987707</v>
      </c>
      <c r="AA216" s="91">
        <f t="shared" si="58"/>
        <v>-0.82160093640118248</v>
      </c>
      <c r="AB216" s="91">
        <f t="shared" si="58"/>
        <v>-7.5856009364011925</v>
      </c>
      <c r="AC216" s="91">
        <f t="shared" si="58"/>
        <v>-14.349600936401202</v>
      </c>
      <c r="AD216" s="91">
        <f t="shared" si="58"/>
        <v>-21.113600936401212</v>
      </c>
      <c r="AE216" s="91">
        <f t="shared" si="58"/>
        <v>-27.877600936401222</v>
      </c>
      <c r="AF216" s="91">
        <f t="shared" si="58"/>
        <v>-34.641600936401346</v>
      </c>
      <c r="AG216" s="91">
        <f t="shared" si="58"/>
        <v>-41.405600936401129</v>
      </c>
      <c r="AH216" s="91">
        <f t="shared" si="58"/>
        <v>-48.169600936401253</v>
      </c>
      <c r="AI216" s="91">
        <f t="shared" si="58"/>
        <v>-54.933600936401149</v>
      </c>
    </row>
    <row r="217" spans="1:35" hidden="1"/>
    <row r="218" spans="1:35" hidden="1">
      <c r="C218" s="2" t="s">
        <v>227</v>
      </c>
      <c r="D218" s="2" t="s">
        <v>228</v>
      </c>
      <c r="K218" s="207"/>
    </row>
    <row r="219" spans="1:35" hidden="1">
      <c r="C219" s="2">
        <v>0</v>
      </c>
      <c r="D219" s="2">
        <v>0</v>
      </c>
      <c r="K219" s="207"/>
    </row>
    <row r="220" spans="1:35" hidden="1">
      <c r="C220" s="2">
        <v>2.5</v>
      </c>
      <c r="D220" s="2">
        <v>0.08</v>
      </c>
    </row>
    <row r="221" spans="1:35" hidden="1">
      <c r="C221" s="2">
        <v>10</v>
      </c>
      <c r="D221" s="2">
        <v>0.18</v>
      </c>
    </row>
    <row r="222" spans="1:35" hidden="1">
      <c r="C222" s="2">
        <v>30</v>
      </c>
      <c r="D222" s="2">
        <v>0.33100000000000002</v>
      </c>
    </row>
    <row r="223" spans="1:35" hidden="1"/>
    <row r="224" spans="1:35" hidden="1"/>
    <row r="225" spans="8:16" hidden="1"/>
    <row r="226" spans="8:16" hidden="1"/>
    <row r="227" spans="8:16" hidden="1"/>
    <row r="228" spans="8:16" hidden="1"/>
    <row r="229" spans="8:16" hidden="1"/>
    <row r="230" spans="8:16" hidden="1"/>
    <row r="231" spans="8:16" hidden="1"/>
    <row r="232" spans="8:16" hidden="1"/>
    <row r="233" spans="8:16" hidden="1"/>
    <row r="234" spans="8:16" hidden="1"/>
    <row r="235" spans="8:16" hidden="1"/>
    <row r="236" spans="8:16" hidden="1"/>
    <row r="237" spans="8:16" hidden="1"/>
    <row r="238" spans="8:16" hidden="1"/>
    <row r="239" spans="8:16" hidden="1">
      <c r="H239" t="s">
        <v>229</v>
      </c>
      <c r="P239" t="s">
        <v>230</v>
      </c>
    </row>
    <row r="240" spans="8:16" hidden="1"/>
    <row r="241" spans="1:35" hidden="1"/>
    <row r="243" spans="1:35" ht="17.25">
      <c r="C243" s="2" t="s">
        <v>221</v>
      </c>
      <c r="D243" s="2" t="s">
        <v>222</v>
      </c>
      <c r="E243" s="2" t="s">
        <v>223</v>
      </c>
      <c r="F243" s="92"/>
      <c r="G243" t="s">
        <v>231</v>
      </c>
    </row>
    <row r="244" spans="1:35">
      <c r="B244" s="63" t="s">
        <v>91</v>
      </c>
      <c r="C244" s="9">
        <f>C205</f>
        <v>3.0357220052360319</v>
      </c>
      <c r="D244" s="9">
        <f>D205</f>
        <v>198.80628760564133</v>
      </c>
      <c r="E244" s="2">
        <v>10</v>
      </c>
      <c r="K244" s="207"/>
      <c r="L244" s="207"/>
    </row>
    <row r="245" spans="1:35">
      <c r="B245" s="63" t="s">
        <v>92</v>
      </c>
      <c r="C245" s="9">
        <f t="shared" ref="C245:D247" si="59">C206</f>
        <v>0.87146682253550145</v>
      </c>
      <c r="D245" s="9">
        <f t="shared" si="59"/>
        <v>298.53081397820642</v>
      </c>
      <c r="E245" s="2">
        <v>2.5</v>
      </c>
      <c r="G245" t="s">
        <v>232</v>
      </c>
    </row>
    <row r="246" spans="1:35">
      <c r="B246" s="63" t="s">
        <v>93</v>
      </c>
      <c r="C246" s="9">
        <f t="shared" si="59"/>
        <v>3.2090463809243124</v>
      </c>
      <c r="D246" s="9">
        <f t="shared" si="59"/>
        <v>210.15712131924201</v>
      </c>
      <c r="E246" s="2">
        <v>10</v>
      </c>
      <c r="G246" t="s">
        <v>233</v>
      </c>
    </row>
    <row r="247" spans="1:35">
      <c r="B247" s="63" t="s">
        <v>94</v>
      </c>
      <c r="C247" s="9">
        <f t="shared" si="59"/>
        <v>0.84803366349275167</v>
      </c>
      <c r="D247" s="9">
        <f t="shared" si="59"/>
        <v>290.5035203828408</v>
      </c>
      <c r="E247" s="2">
        <v>2.5</v>
      </c>
    </row>
    <row r="249" spans="1:35">
      <c r="A249" s="153" t="s">
        <v>224</v>
      </c>
      <c r="B249" s="208">
        <v>0</v>
      </c>
      <c r="C249" s="208">
        <v>5</v>
      </c>
      <c r="D249" s="208">
        <v>10</v>
      </c>
      <c r="E249" s="208">
        <v>20</v>
      </c>
      <c r="F249" s="208">
        <v>30</v>
      </c>
      <c r="G249" s="208">
        <v>40</v>
      </c>
      <c r="H249" s="208">
        <v>50</v>
      </c>
      <c r="I249" s="208">
        <v>60</v>
      </c>
      <c r="J249" s="208">
        <v>70</v>
      </c>
      <c r="K249" s="208">
        <v>80</v>
      </c>
      <c r="L249" s="208">
        <v>90</v>
      </c>
      <c r="M249" s="208">
        <v>100</v>
      </c>
      <c r="N249" s="208">
        <v>110</v>
      </c>
      <c r="O249" s="208">
        <v>120</v>
      </c>
      <c r="P249" s="208">
        <v>130</v>
      </c>
      <c r="Q249" s="208">
        <v>140</v>
      </c>
      <c r="R249" s="208">
        <v>150</v>
      </c>
      <c r="S249" s="208">
        <v>200</v>
      </c>
      <c r="T249" s="208">
        <v>250</v>
      </c>
      <c r="U249" s="208">
        <v>300</v>
      </c>
      <c r="V249" s="208">
        <v>350</v>
      </c>
      <c r="W249" s="208">
        <v>400</v>
      </c>
      <c r="X249" s="208">
        <v>450</v>
      </c>
      <c r="Y249" s="208">
        <v>500</v>
      </c>
      <c r="Z249" s="208">
        <v>550</v>
      </c>
      <c r="AA249" s="208">
        <v>600</v>
      </c>
      <c r="AB249" s="208">
        <v>650</v>
      </c>
      <c r="AC249" s="208">
        <v>700</v>
      </c>
      <c r="AD249" s="208">
        <v>750</v>
      </c>
      <c r="AE249" s="208">
        <v>800</v>
      </c>
      <c r="AF249" s="208">
        <v>850</v>
      </c>
      <c r="AG249" s="208">
        <v>900</v>
      </c>
      <c r="AH249" s="208">
        <v>950</v>
      </c>
      <c r="AI249" s="208">
        <v>1000</v>
      </c>
    </row>
    <row r="250" spans="1:35">
      <c r="A250" s="210" t="s">
        <v>91</v>
      </c>
      <c r="B250" s="91">
        <f>D244</f>
        <v>198.80628760564133</v>
      </c>
      <c r="C250" s="91">
        <f>$B$250+C170</f>
        <v>211.65828760564133</v>
      </c>
      <c r="D250" s="91">
        <f t="shared" ref="D250:AI250" si="60">$B$250+D170</f>
        <v>214.51028760564134</v>
      </c>
      <c r="E250" s="91">
        <f t="shared" si="60"/>
        <v>220.21428760564135</v>
      </c>
      <c r="F250" s="91">
        <f t="shared" si="60"/>
        <v>225.91828760564132</v>
      </c>
      <c r="G250" s="91">
        <f t="shared" si="60"/>
        <v>231.62228760564133</v>
      </c>
      <c r="H250" s="91">
        <f t="shared" si="60"/>
        <v>237.32628760564131</v>
      </c>
      <c r="I250" s="91">
        <f t="shared" si="60"/>
        <v>243.03028760564132</v>
      </c>
      <c r="J250" s="91">
        <f t="shared" si="60"/>
        <v>248.73428760564133</v>
      </c>
      <c r="K250" s="91">
        <f t="shared" si="60"/>
        <v>254.43828760564134</v>
      </c>
      <c r="L250" s="91">
        <f t="shared" si="60"/>
        <v>260.14228760564134</v>
      </c>
      <c r="M250" s="91">
        <f t="shared" si="60"/>
        <v>265.84628760564135</v>
      </c>
      <c r="N250" s="91">
        <f t="shared" si="60"/>
        <v>271.5502876056413</v>
      </c>
      <c r="O250" s="91">
        <f t="shared" si="60"/>
        <v>277.25428760564137</v>
      </c>
      <c r="P250" s="91">
        <f t="shared" si="60"/>
        <v>282.95828760564132</v>
      </c>
      <c r="Q250" s="91">
        <f t="shared" si="60"/>
        <v>288.66228760564132</v>
      </c>
      <c r="R250" s="91">
        <f t="shared" si="60"/>
        <v>294.36628760564133</v>
      </c>
      <c r="S250" s="91">
        <f t="shared" si="60"/>
        <v>322.88628760564131</v>
      </c>
      <c r="T250" s="91">
        <f t="shared" si="60"/>
        <v>351.40628760564135</v>
      </c>
      <c r="U250" s="91">
        <f t="shared" si="60"/>
        <v>379.92628760564133</v>
      </c>
      <c r="V250" s="91">
        <f t="shared" si="60"/>
        <v>408.44628760564132</v>
      </c>
      <c r="W250" s="91">
        <f t="shared" si="60"/>
        <v>436.96628760564136</v>
      </c>
      <c r="X250" s="91">
        <f t="shared" si="60"/>
        <v>465.48628760564134</v>
      </c>
      <c r="Y250" s="91">
        <f t="shared" si="60"/>
        <v>494.00628760564138</v>
      </c>
      <c r="Z250" s="91">
        <f t="shared" si="60"/>
        <v>522.5262876056413</v>
      </c>
      <c r="AA250" s="91">
        <f t="shared" si="60"/>
        <v>551.04628760564128</v>
      </c>
      <c r="AB250" s="91">
        <f t="shared" si="60"/>
        <v>579.56628760564126</v>
      </c>
      <c r="AC250" s="91">
        <f t="shared" si="60"/>
        <v>608.08628760564125</v>
      </c>
      <c r="AD250" s="91">
        <f t="shared" si="60"/>
        <v>636.60628760564134</v>
      </c>
      <c r="AE250" s="91">
        <f t="shared" si="60"/>
        <v>665.12628760564132</v>
      </c>
      <c r="AF250" s="91">
        <f t="shared" si="60"/>
        <v>693.64628760564142</v>
      </c>
      <c r="AG250" s="91">
        <f t="shared" si="60"/>
        <v>722.1662876056414</v>
      </c>
      <c r="AH250" s="91">
        <f t="shared" si="60"/>
        <v>750.68628760564138</v>
      </c>
      <c r="AI250" s="91">
        <f t="shared" si="60"/>
        <v>779.20628760564136</v>
      </c>
    </row>
    <row r="251" spans="1:35">
      <c r="A251" s="210" t="s">
        <v>92</v>
      </c>
      <c r="B251" s="91">
        <f t="shared" ref="B251:B253" si="61">D245</f>
        <v>298.53081397820642</v>
      </c>
      <c r="C251" s="91">
        <f>$B$251+C168</f>
        <v>310.49281397820641</v>
      </c>
      <c r="D251" s="91">
        <f t="shared" ref="D251:AI251" si="62">$B$251+D168</f>
        <v>312.4548139782064</v>
      </c>
      <c r="E251" s="91">
        <f t="shared" si="62"/>
        <v>316.37881397820644</v>
      </c>
      <c r="F251" s="91">
        <f t="shared" si="62"/>
        <v>320.30281397820642</v>
      </c>
      <c r="G251" s="91">
        <f t="shared" si="62"/>
        <v>324.22681397820645</v>
      </c>
      <c r="H251" s="91">
        <f t="shared" si="62"/>
        <v>328.15081397820643</v>
      </c>
      <c r="I251" s="91">
        <f t="shared" si="62"/>
        <v>332.07481397820641</v>
      </c>
      <c r="J251" s="91">
        <f t="shared" si="62"/>
        <v>335.99881397820644</v>
      </c>
      <c r="K251" s="91">
        <f t="shared" si="62"/>
        <v>339.92281397820642</v>
      </c>
      <c r="L251" s="91">
        <f t="shared" si="62"/>
        <v>343.84681397820646</v>
      </c>
      <c r="M251" s="91">
        <f t="shared" si="62"/>
        <v>347.77081397820643</v>
      </c>
      <c r="N251" s="91">
        <f t="shared" si="62"/>
        <v>351.69481397820641</v>
      </c>
      <c r="O251" s="91">
        <f t="shared" si="62"/>
        <v>355.61881397820645</v>
      </c>
      <c r="P251" s="91">
        <f t="shared" si="62"/>
        <v>359.54281397820642</v>
      </c>
      <c r="Q251" s="91">
        <f t="shared" si="62"/>
        <v>363.46681397820646</v>
      </c>
      <c r="R251" s="91">
        <f t="shared" si="62"/>
        <v>367.39081397820644</v>
      </c>
      <c r="S251" s="91">
        <f t="shared" si="62"/>
        <v>387.01081397820644</v>
      </c>
      <c r="T251" s="91">
        <f t="shared" si="62"/>
        <v>406.63081397820645</v>
      </c>
      <c r="U251" s="91">
        <f t="shared" si="62"/>
        <v>426.25081397820645</v>
      </c>
      <c r="V251" s="91">
        <f t="shared" si="62"/>
        <v>445.87081397820646</v>
      </c>
      <c r="W251" s="91">
        <f t="shared" si="62"/>
        <v>465.49081397820646</v>
      </c>
      <c r="X251" s="91">
        <f t="shared" si="62"/>
        <v>485.11081397820641</v>
      </c>
      <c r="Y251" s="91">
        <f t="shared" si="62"/>
        <v>504.73081397820641</v>
      </c>
      <c r="Z251" s="91">
        <f t="shared" si="62"/>
        <v>524.35081397820636</v>
      </c>
      <c r="AA251" s="91">
        <f t="shared" si="62"/>
        <v>543.97081397820648</v>
      </c>
      <c r="AB251" s="91">
        <f t="shared" si="62"/>
        <v>563.59081397820637</v>
      </c>
      <c r="AC251" s="91">
        <f t="shared" si="62"/>
        <v>583.21081397820649</v>
      </c>
      <c r="AD251" s="91">
        <f t="shared" si="62"/>
        <v>602.83081397820638</v>
      </c>
      <c r="AE251" s="91">
        <f t="shared" si="62"/>
        <v>622.4508139782065</v>
      </c>
      <c r="AF251" s="91">
        <f t="shared" si="62"/>
        <v>642.07081397820639</v>
      </c>
      <c r="AG251" s="91">
        <f t="shared" si="62"/>
        <v>661.69081397820639</v>
      </c>
      <c r="AH251" s="91">
        <f t="shared" si="62"/>
        <v>681.3108139782064</v>
      </c>
      <c r="AI251" s="91">
        <f t="shared" si="62"/>
        <v>700.9308139782064</v>
      </c>
    </row>
    <row r="252" spans="1:35">
      <c r="A252" s="89" t="s">
        <v>93</v>
      </c>
      <c r="B252" s="91">
        <f t="shared" si="61"/>
        <v>210.15712131924201</v>
      </c>
      <c r="C252" s="91">
        <f>$B$252+C170</f>
        <v>223.00912131924201</v>
      </c>
      <c r="D252" s="91">
        <f t="shared" ref="D252:AI252" si="63">$B$252+D170</f>
        <v>225.86112131924202</v>
      </c>
      <c r="E252" s="91">
        <f t="shared" si="63"/>
        <v>231.565121319242</v>
      </c>
      <c r="F252" s="91">
        <f t="shared" si="63"/>
        <v>237.269121319242</v>
      </c>
      <c r="G252" s="91">
        <f t="shared" si="63"/>
        <v>242.97312131924201</v>
      </c>
      <c r="H252" s="91">
        <f t="shared" si="63"/>
        <v>248.67712131924202</v>
      </c>
      <c r="I252" s="91">
        <f t="shared" si="63"/>
        <v>254.38112131924203</v>
      </c>
      <c r="J252" s="91">
        <f t="shared" si="63"/>
        <v>260.08512131924203</v>
      </c>
      <c r="K252" s="91">
        <f t="shared" si="63"/>
        <v>265.78912131924199</v>
      </c>
      <c r="L252" s="91">
        <f t="shared" si="63"/>
        <v>271.49312131924199</v>
      </c>
      <c r="M252" s="91">
        <f t="shared" si="63"/>
        <v>277.197121319242</v>
      </c>
      <c r="N252" s="91">
        <f t="shared" si="63"/>
        <v>282.90112131924201</v>
      </c>
      <c r="O252" s="91">
        <f t="shared" si="63"/>
        <v>288.60512131924202</v>
      </c>
      <c r="P252" s="91">
        <f t="shared" si="63"/>
        <v>294.30912131924202</v>
      </c>
      <c r="Q252" s="91">
        <f t="shared" si="63"/>
        <v>300.01312131924203</v>
      </c>
      <c r="R252" s="91">
        <f t="shared" si="63"/>
        <v>305.71712131924198</v>
      </c>
      <c r="S252" s="91">
        <f t="shared" si="63"/>
        <v>334.23712131924202</v>
      </c>
      <c r="T252" s="91">
        <f t="shared" si="63"/>
        <v>362.75712131924206</v>
      </c>
      <c r="U252" s="91">
        <f t="shared" si="63"/>
        <v>391.27712131924204</v>
      </c>
      <c r="V252" s="91">
        <f t="shared" si="63"/>
        <v>419.79712131924202</v>
      </c>
      <c r="W252" s="91">
        <f t="shared" si="63"/>
        <v>448.31712131924201</v>
      </c>
      <c r="X252" s="91">
        <f t="shared" si="63"/>
        <v>476.83712131924199</v>
      </c>
      <c r="Y252" s="91">
        <f t="shared" si="63"/>
        <v>505.35712131924208</v>
      </c>
      <c r="Z252" s="91">
        <f t="shared" si="63"/>
        <v>533.87712131924206</v>
      </c>
      <c r="AA252" s="91">
        <f t="shared" si="63"/>
        <v>562.39712131924205</v>
      </c>
      <c r="AB252" s="91">
        <f t="shared" si="63"/>
        <v>590.91712131924203</v>
      </c>
      <c r="AC252" s="91">
        <f t="shared" si="63"/>
        <v>619.43712131924201</v>
      </c>
      <c r="AD252" s="91">
        <f t="shared" si="63"/>
        <v>647.95712131924199</v>
      </c>
      <c r="AE252" s="91">
        <f t="shared" si="63"/>
        <v>676.47712131924197</v>
      </c>
      <c r="AF252" s="91">
        <f t="shared" si="63"/>
        <v>704.99712131924207</v>
      </c>
      <c r="AG252" s="91">
        <f t="shared" si="63"/>
        <v>733.51712131924205</v>
      </c>
      <c r="AH252" s="91">
        <f t="shared" si="63"/>
        <v>762.03712131924203</v>
      </c>
      <c r="AI252" s="91">
        <f t="shared" si="63"/>
        <v>790.55712131924213</v>
      </c>
    </row>
    <row r="253" spans="1:35">
      <c r="A253" s="89" t="s">
        <v>94</v>
      </c>
      <c r="B253" s="91">
        <f t="shared" si="61"/>
        <v>290.5035203828408</v>
      </c>
      <c r="C253" s="91">
        <f>$B$253+C168</f>
        <v>302.46552038284079</v>
      </c>
      <c r="D253" s="91">
        <f t="shared" ref="D253:AI253" si="64">$B$253+D168</f>
        <v>304.42752038284078</v>
      </c>
      <c r="E253" s="91">
        <f t="shared" si="64"/>
        <v>308.35152038284082</v>
      </c>
      <c r="F253" s="91">
        <f t="shared" si="64"/>
        <v>312.2755203828408</v>
      </c>
      <c r="G253" s="91">
        <f t="shared" si="64"/>
        <v>316.19952038284077</v>
      </c>
      <c r="H253" s="91">
        <f t="shared" si="64"/>
        <v>320.12352038284081</v>
      </c>
      <c r="I253" s="91">
        <f t="shared" si="64"/>
        <v>324.04752038284079</v>
      </c>
      <c r="J253" s="91">
        <f t="shared" si="64"/>
        <v>327.97152038284082</v>
      </c>
      <c r="K253" s="91">
        <f t="shared" si="64"/>
        <v>331.8955203828408</v>
      </c>
      <c r="L253" s="91">
        <f t="shared" si="64"/>
        <v>335.81952038284078</v>
      </c>
      <c r="M253" s="91">
        <f t="shared" si="64"/>
        <v>339.74352038284081</v>
      </c>
      <c r="N253" s="91">
        <f t="shared" si="64"/>
        <v>343.66752038284079</v>
      </c>
      <c r="O253" s="91">
        <f t="shared" si="64"/>
        <v>347.59152038284083</v>
      </c>
      <c r="P253" s="91">
        <f t="shared" si="64"/>
        <v>351.5155203828408</v>
      </c>
      <c r="Q253" s="91">
        <f t="shared" si="64"/>
        <v>355.43952038284078</v>
      </c>
      <c r="R253" s="91">
        <f t="shared" si="64"/>
        <v>359.36352038284082</v>
      </c>
      <c r="S253" s="91">
        <f t="shared" si="64"/>
        <v>378.98352038284082</v>
      </c>
      <c r="T253" s="91">
        <f t="shared" si="64"/>
        <v>398.60352038284077</v>
      </c>
      <c r="U253" s="91">
        <f t="shared" si="64"/>
        <v>418.22352038284077</v>
      </c>
      <c r="V253" s="91">
        <f t="shared" si="64"/>
        <v>437.84352038284078</v>
      </c>
      <c r="W253" s="91">
        <f t="shared" si="64"/>
        <v>457.46352038284078</v>
      </c>
      <c r="X253" s="91">
        <f t="shared" si="64"/>
        <v>477.08352038284079</v>
      </c>
      <c r="Y253" s="91">
        <f t="shared" si="64"/>
        <v>496.70352038284079</v>
      </c>
      <c r="Z253" s="91">
        <f t="shared" si="64"/>
        <v>516.3235203828408</v>
      </c>
      <c r="AA253" s="91">
        <f t="shared" si="64"/>
        <v>535.9435203828408</v>
      </c>
      <c r="AB253" s="91">
        <f t="shared" si="64"/>
        <v>555.56352038284081</v>
      </c>
      <c r="AC253" s="91">
        <f t="shared" si="64"/>
        <v>575.18352038284081</v>
      </c>
      <c r="AD253" s="91">
        <f t="shared" si="64"/>
        <v>594.80352038284082</v>
      </c>
      <c r="AE253" s="91">
        <f t="shared" si="64"/>
        <v>614.42352038284082</v>
      </c>
      <c r="AF253" s="91">
        <f t="shared" si="64"/>
        <v>634.04352038284082</v>
      </c>
      <c r="AG253" s="91">
        <f t="shared" si="64"/>
        <v>653.66352038284072</v>
      </c>
      <c r="AH253" s="91">
        <f t="shared" si="64"/>
        <v>673.28352038284083</v>
      </c>
      <c r="AI253" s="91">
        <f t="shared" si="64"/>
        <v>692.90352038284072</v>
      </c>
    </row>
    <row r="254" spans="1:35">
      <c r="A254" s="153" t="s">
        <v>225</v>
      </c>
      <c r="B254" s="91">
        <f>B251-B250</f>
        <v>99.724526372565094</v>
      </c>
      <c r="C254" s="91">
        <f t="shared" ref="C254:AI254" si="65">C251-C250</f>
        <v>98.83452637256508</v>
      </c>
      <c r="D254" s="91">
        <f t="shared" si="65"/>
        <v>97.944526372565065</v>
      </c>
      <c r="E254" s="91">
        <f t="shared" si="65"/>
        <v>96.164526372565092</v>
      </c>
      <c r="F254" s="91">
        <f t="shared" si="65"/>
        <v>94.384526372565091</v>
      </c>
      <c r="G254" s="91">
        <f t="shared" si="65"/>
        <v>92.604526372565118</v>
      </c>
      <c r="H254" s="91">
        <f t="shared" si="65"/>
        <v>90.824526372565117</v>
      </c>
      <c r="I254" s="91">
        <f t="shared" si="65"/>
        <v>89.044526372565088</v>
      </c>
      <c r="J254" s="91">
        <f t="shared" si="65"/>
        <v>87.264526372565115</v>
      </c>
      <c r="K254" s="91">
        <f t="shared" si="65"/>
        <v>85.484526372565085</v>
      </c>
      <c r="L254" s="91">
        <f t="shared" si="65"/>
        <v>83.704526372565113</v>
      </c>
      <c r="M254" s="91">
        <f t="shared" si="65"/>
        <v>81.924526372565083</v>
      </c>
      <c r="N254" s="91">
        <f t="shared" si="65"/>
        <v>80.14452637256511</v>
      </c>
      <c r="O254" s="91">
        <f t="shared" si="65"/>
        <v>78.364526372565081</v>
      </c>
      <c r="P254" s="91">
        <f t="shared" si="65"/>
        <v>76.584526372565108</v>
      </c>
      <c r="Q254" s="91">
        <f t="shared" si="65"/>
        <v>74.804526372565135</v>
      </c>
      <c r="R254" s="91">
        <f t="shared" si="65"/>
        <v>73.024526372565106</v>
      </c>
      <c r="S254" s="91">
        <f t="shared" si="65"/>
        <v>64.124526372565128</v>
      </c>
      <c r="T254" s="91">
        <f t="shared" si="65"/>
        <v>55.224526372565094</v>
      </c>
      <c r="U254" s="91">
        <f t="shared" si="65"/>
        <v>46.324526372565117</v>
      </c>
      <c r="V254" s="91">
        <f t="shared" si="65"/>
        <v>37.42452637256514</v>
      </c>
      <c r="W254" s="91">
        <f t="shared" si="65"/>
        <v>28.524526372565106</v>
      </c>
      <c r="X254" s="91">
        <f t="shared" si="65"/>
        <v>19.624526372565072</v>
      </c>
      <c r="Y254" s="91">
        <f t="shared" si="65"/>
        <v>10.724526372565037</v>
      </c>
      <c r="Z254" s="91">
        <f t="shared" si="65"/>
        <v>1.8245263725650602</v>
      </c>
      <c r="AA254" s="91">
        <f t="shared" si="65"/>
        <v>-7.0754736274348033</v>
      </c>
      <c r="AB254" s="91">
        <f t="shared" si="65"/>
        <v>-15.975473627434894</v>
      </c>
      <c r="AC254" s="91">
        <f t="shared" si="65"/>
        <v>-24.875473627434758</v>
      </c>
      <c r="AD254" s="91">
        <f t="shared" si="65"/>
        <v>-33.775473627434963</v>
      </c>
      <c r="AE254" s="91">
        <f t="shared" si="65"/>
        <v>-42.675473627434826</v>
      </c>
      <c r="AF254" s="91">
        <f t="shared" si="65"/>
        <v>-51.575473627435031</v>
      </c>
      <c r="AG254" s="91">
        <f t="shared" si="65"/>
        <v>-60.475473627435008</v>
      </c>
      <c r="AH254" s="91">
        <f t="shared" si="65"/>
        <v>-69.375473627434985</v>
      </c>
      <c r="AI254" s="91">
        <f t="shared" si="65"/>
        <v>-78.275473627434963</v>
      </c>
    </row>
    <row r="255" spans="1:35">
      <c r="A255" s="153" t="s">
        <v>226</v>
      </c>
      <c r="B255" s="91">
        <f>B253-B252</f>
        <v>80.346399063598795</v>
      </c>
      <c r="C255" s="91">
        <f t="shared" ref="C255:AI255" si="66">C253-C252</f>
        <v>79.456399063598781</v>
      </c>
      <c r="D255" s="91">
        <f t="shared" si="66"/>
        <v>78.566399063598766</v>
      </c>
      <c r="E255" s="91">
        <f t="shared" si="66"/>
        <v>76.786399063598822</v>
      </c>
      <c r="F255" s="91">
        <f t="shared" si="66"/>
        <v>75.006399063598792</v>
      </c>
      <c r="G255" s="91">
        <f t="shared" si="66"/>
        <v>73.226399063598762</v>
      </c>
      <c r="H255" s="91">
        <f t="shared" si="66"/>
        <v>71.44639906359879</v>
      </c>
      <c r="I255" s="91">
        <f t="shared" si="66"/>
        <v>69.66639906359876</v>
      </c>
      <c r="J255" s="91">
        <f t="shared" si="66"/>
        <v>67.886399063598788</v>
      </c>
      <c r="K255" s="91">
        <f t="shared" si="66"/>
        <v>66.106399063598815</v>
      </c>
      <c r="L255" s="91">
        <f t="shared" si="66"/>
        <v>64.326399063598785</v>
      </c>
      <c r="M255" s="91">
        <f t="shared" si="66"/>
        <v>62.546399063598813</v>
      </c>
      <c r="N255" s="91">
        <f t="shared" si="66"/>
        <v>60.766399063598783</v>
      </c>
      <c r="O255" s="91">
        <f t="shared" si="66"/>
        <v>58.98639906359881</v>
      </c>
      <c r="P255" s="91">
        <f t="shared" si="66"/>
        <v>57.206399063598781</v>
      </c>
      <c r="Q255" s="91">
        <f t="shared" si="66"/>
        <v>55.426399063598751</v>
      </c>
      <c r="R255" s="91">
        <f t="shared" si="66"/>
        <v>53.646399063598835</v>
      </c>
      <c r="S255" s="91">
        <f t="shared" si="66"/>
        <v>44.746399063598801</v>
      </c>
      <c r="T255" s="91">
        <f t="shared" si="66"/>
        <v>35.84639906359871</v>
      </c>
      <c r="U255" s="91">
        <f t="shared" si="66"/>
        <v>26.946399063598733</v>
      </c>
      <c r="V255" s="91">
        <f t="shared" si="66"/>
        <v>18.046399063598756</v>
      </c>
      <c r="W255" s="91">
        <f t="shared" si="66"/>
        <v>9.1463990635987784</v>
      </c>
      <c r="X255" s="91">
        <f t="shared" si="66"/>
        <v>0.24639906359880115</v>
      </c>
      <c r="Y255" s="91">
        <f t="shared" si="66"/>
        <v>-8.6536009364012898</v>
      </c>
      <c r="Z255" s="91">
        <f t="shared" si="66"/>
        <v>-17.553600936401267</v>
      </c>
      <c r="AA255" s="91">
        <f t="shared" si="66"/>
        <v>-26.453600936401244</v>
      </c>
      <c r="AB255" s="91">
        <f t="shared" si="66"/>
        <v>-35.353600936401222</v>
      </c>
      <c r="AC255" s="91">
        <f t="shared" si="66"/>
        <v>-44.253600936401199</v>
      </c>
      <c r="AD255" s="91">
        <f t="shared" si="66"/>
        <v>-53.153600936401176</v>
      </c>
      <c r="AE255" s="91">
        <f t="shared" si="66"/>
        <v>-62.053600936401153</v>
      </c>
      <c r="AF255" s="91">
        <f t="shared" si="66"/>
        <v>-70.953600936401244</v>
      </c>
      <c r="AG255" s="91">
        <f t="shared" si="66"/>
        <v>-79.853600936401335</v>
      </c>
      <c r="AH255" s="91">
        <f t="shared" si="66"/>
        <v>-88.753600936401199</v>
      </c>
      <c r="AI255" s="91">
        <f t="shared" si="66"/>
        <v>-97.653600936401403</v>
      </c>
    </row>
    <row r="256" spans="1:35">
      <c r="A256" s="153" t="s">
        <v>104</v>
      </c>
      <c r="B256" s="91">
        <f t="shared" ref="B256:AI256" si="67">$D$26</f>
        <v>383.09999999999997</v>
      </c>
      <c r="C256" s="91">
        <f t="shared" si="67"/>
        <v>383.09999999999997</v>
      </c>
      <c r="D256" s="91">
        <f t="shared" si="67"/>
        <v>383.09999999999997</v>
      </c>
      <c r="E256" s="91">
        <f t="shared" si="67"/>
        <v>383.09999999999997</v>
      </c>
      <c r="F256" s="91">
        <f t="shared" si="67"/>
        <v>383.09999999999997</v>
      </c>
      <c r="G256" s="91">
        <f t="shared" si="67"/>
        <v>383.09999999999997</v>
      </c>
      <c r="H256" s="91">
        <f t="shared" si="67"/>
        <v>383.09999999999997</v>
      </c>
      <c r="I256" s="91">
        <f t="shared" si="67"/>
        <v>383.09999999999997</v>
      </c>
      <c r="J256" s="91">
        <f t="shared" si="67"/>
        <v>383.09999999999997</v>
      </c>
      <c r="K256" s="91">
        <f t="shared" si="67"/>
        <v>383.09999999999997</v>
      </c>
      <c r="L256" s="91">
        <f t="shared" si="67"/>
        <v>383.09999999999997</v>
      </c>
      <c r="M256" s="91">
        <f t="shared" si="67"/>
        <v>383.09999999999997</v>
      </c>
      <c r="N256" s="91">
        <f t="shared" si="67"/>
        <v>383.09999999999997</v>
      </c>
      <c r="O256" s="91">
        <f t="shared" si="67"/>
        <v>383.09999999999997</v>
      </c>
      <c r="P256" s="91">
        <f t="shared" si="67"/>
        <v>383.09999999999997</v>
      </c>
      <c r="Q256" s="91">
        <f t="shared" si="67"/>
        <v>383.09999999999997</v>
      </c>
      <c r="R256" s="91">
        <f t="shared" si="67"/>
        <v>383.09999999999997</v>
      </c>
      <c r="S256" s="91">
        <f t="shared" si="67"/>
        <v>383.09999999999997</v>
      </c>
      <c r="T256" s="91">
        <f t="shared" si="67"/>
        <v>383.09999999999997</v>
      </c>
      <c r="U256" s="91">
        <f t="shared" si="67"/>
        <v>383.09999999999997</v>
      </c>
      <c r="V256" s="91">
        <f t="shared" si="67"/>
        <v>383.09999999999997</v>
      </c>
      <c r="W256" s="91">
        <f t="shared" si="67"/>
        <v>383.09999999999997</v>
      </c>
      <c r="X256" s="91">
        <f t="shared" si="67"/>
        <v>383.09999999999997</v>
      </c>
      <c r="Y256" s="91">
        <f t="shared" si="67"/>
        <v>383.09999999999997</v>
      </c>
      <c r="Z256" s="91">
        <f t="shared" si="67"/>
        <v>383.09999999999997</v>
      </c>
      <c r="AA256" s="91">
        <f t="shared" si="67"/>
        <v>383.09999999999997</v>
      </c>
      <c r="AB256" s="91">
        <f t="shared" si="67"/>
        <v>383.09999999999997</v>
      </c>
      <c r="AC256" s="91">
        <f t="shared" si="67"/>
        <v>383.09999999999997</v>
      </c>
      <c r="AD256" s="91">
        <f t="shared" si="67"/>
        <v>383.09999999999997</v>
      </c>
      <c r="AE256" s="91">
        <f t="shared" si="67"/>
        <v>383.09999999999997</v>
      </c>
      <c r="AF256" s="91">
        <f t="shared" si="67"/>
        <v>383.09999999999997</v>
      </c>
      <c r="AG256" s="91">
        <f t="shared" si="67"/>
        <v>383.09999999999997</v>
      </c>
      <c r="AH256" s="91">
        <f t="shared" si="67"/>
        <v>383.09999999999997</v>
      </c>
      <c r="AI256" s="91">
        <f t="shared" si="67"/>
        <v>383.09999999999997</v>
      </c>
    </row>
    <row r="258" spans="3:11">
      <c r="C258" s="2" t="s">
        <v>227</v>
      </c>
      <c r="D258" s="2" t="s">
        <v>228</v>
      </c>
      <c r="K258" s="207"/>
    </row>
    <row r="259" spans="3:11">
      <c r="C259" s="2">
        <v>0</v>
      </c>
      <c r="D259" s="2">
        <v>0</v>
      </c>
      <c r="K259" s="207"/>
    </row>
    <row r="260" spans="3:11">
      <c r="C260" s="2">
        <v>2.5</v>
      </c>
      <c r="D260" s="2">
        <v>0.08</v>
      </c>
    </row>
    <row r="261" spans="3:11">
      <c r="C261" s="2">
        <v>10</v>
      </c>
      <c r="D261" s="2">
        <v>0.18</v>
      </c>
    </row>
    <row r="262" spans="3:11">
      <c r="C262" s="2">
        <v>30</v>
      </c>
      <c r="D262" s="2">
        <v>0.33100000000000002</v>
      </c>
    </row>
    <row r="280" spans="2:16">
      <c r="G280" t="s">
        <v>234</v>
      </c>
      <c r="P280" t="s">
        <v>235</v>
      </c>
    </row>
    <row r="281" spans="2:16">
      <c r="G281" t="s">
        <v>236</v>
      </c>
      <c r="P281" t="s">
        <v>237</v>
      </c>
    </row>
    <row r="282" spans="2:16">
      <c r="G282" t="s">
        <v>238</v>
      </c>
      <c r="P282" t="s">
        <v>239</v>
      </c>
    </row>
    <row r="288" spans="2:16">
      <c r="B288" s="111"/>
    </row>
    <row r="289" spans="2:2">
      <c r="B289" s="111"/>
    </row>
    <row r="290" spans="2:2">
      <c r="B290" s="111"/>
    </row>
  </sheetData>
  <mergeCells count="51">
    <mergeCell ref="N22:O22"/>
    <mergeCell ref="C2:H2"/>
    <mergeCell ref="R2:W2"/>
    <mergeCell ref="C20:E20"/>
    <mergeCell ref="N20:O20"/>
    <mergeCell ref="N21:O21"/>
    <mergeCell ref="H67:H71"/>
    <mergeCell ref="A68:A70"/>
    <mergeCell ref="N23:O23"/>
    <mergeCell ref="N24:O24"/>
    <mergeCell ref="C38:G38"/>
    <mergeCell ref="A46:A47"/>
    <mergeCell ref="A48:A49"/>
    <mergeCell ref="A50:A53"/>
    <mergeCell ref="A54:A57"/>
    <mergeCell ref="C59:G59"/>
    <mergeCell ref="A61:A62"/>
    <mergeCell ref="A63:A64"/>
    <mergeCell ref="C66:H66"/>
    <mergeCell ref="C84:N84"/>
    <mergeCell ref="C85:E85"/>
    <mergeCell ref="F85:H85"/>
    <mergeCell ref="I85:K85"/>
    <mergeCell ref="L85:N85"/>
    <mergeCell ref="Y140:Z140"/>
    <mergeCell ref="B164:K164"/>
    <mergeCell ref="S85:T85"/>
    <mergeCell ref="U85:V85"/>
    <mergeCell ref="W85:X85"/>
    <mergeCell ref="C93:E93"/>
    <mergeCell ref="F93:H93"/>
    <mergeCell ref="I93:K93"/>
    <mergeCell ref="L93:N93"/>
    <mergeCell ref="Q93:R93"/>
    <mergeCell ref="S93:T93"/>
    <mergeCell ref="U93:V93"/>
    <mergeCell ref="Q85:R85"/>
    <mergeCell ref="F177:G182"/>
    <mergeCell ref="B179:C180"/>
    <mergeCell ref="B181:C182"/>
    <mergeCell ref="W93:X93"/>
    <mergeCell ref="C140:G140"/>
    <mergeCell ref="J140:N140"/>
    <mergeCell ref="Q140:V140"/>
    <mergeCell ref="B188:B192"/>
    <mergeCell ref="B193:B197"/>
    <mergeCell ref="B198:B202"/>
    <mergeCell ref="B173:C173"/>
    <mergeCell ref="B174:C174"/>
    <mergeCell ref="B175:C175"/>
    <mergeCell ref="B177:C178"/>
  </mergeCells>
  <conditionalFormatting sqref="B215:AI216">
    <cfRule type="cellIs" dxfId="2" priority="4" operator="greaterThan">
      <formula>0</formula>
    </cfRule>
  </conditionalFormatting>
  <conditionalFormatting sqref="B250:AI253">
    <cfRule type="cellIs" dxfId="1" priority="1" operator="lessThan">
      <formula>$D$26</formula>
    </cfRule>
  </conditionalFormatting>
  <conditionalFormatting sqref="B254:AI255"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2:AE210"/>
  <sheetViews>
    <sheetView topLeftCell="I12" zoomScaleNormal="100" workbookViewId="0">
      <selection activeCell="O44" sqref="O44"/>
    </sheetView>
  </sheetViews>
  <sheetFormatPr defaultColWidth="11.42578125" defaultRowHeight="15"/>
  <cols>
    <col min="2" max="2" width="19.85546875" bestFit="1" customWidth="1"/>
    <col min="3" max="4" width="15.5703125" bestFit="1" customWidth="1"/>
    <col min="5" max="5" width="14.42578125" customWidth="1"/>
    <col min="6" max="6" width="13" bestFit="1" customWidth="1"/>
    <col min="7" max="7" width="22.85546875" customWidth="1"/>
    <col min="8" max="8" width="22.85546875" bestFit="1" customWidth="1"/>
    <col min="9" max="9" width="18.5703125" bestFit="1" customWidth="1"/>
    <col min="10" max="10" width="50.85546875" customWidth="1"/>
    <col min="11" max="11" width="20.85546875" bestFit="1" customWidth="1"/>
    <col min="12" max="12" width="16.42578125" bestFit="1" customWidth="1"/>
    <col min="13" max="13" width="15.5703125" bestFit="1" customWidth="1"/>
    <col min="14" max="14" width="14.5703125" bestFit="1" customWidth="1"/>
    <col min="15" max="15" width="15" bestFit="1" customWidth="1"/>
    <col min="16" max="16" width="24" bestFit="1" customWidth="1"/>
    <col min="17" max="17" width="15" bestFit="1" customWidth="1"/>
    <col min="18" max="18" width="17" bestFit="1" customWidth="1"/>
    <col min="19" max="19" width="9.85546875" bestFit="1" customWidth="1"/>
    <col min="21" max="21" width="11.28515625" bestFit="1" customWidth="1"/>
    <col min="22" max="22" width="14.5703125" bestFit="1" customWidth="1"/>
    <col min="30" max="30" width="23" bestFit="1" customWidth="1"/>
  </cols>
  <sheetData>
    <row r="2" spans="2:19">
      <c r="B2" s="126"/>
    </row>
    <row r="4" spans="2:19">
      <c r="R4" s="298" t="s">
        <v>240</v>
      </c>
      <c r="S4" s="298"/>
    </row>
    <row r="5" spans="2:19">
      <c r="B5">
        <f>(I24*365)/1000</f>
        <v>172.32249999999976</v>
      </c>
      <c r="R5" s="55" t="s">
        <v>241</v>
      </c>
      <c r="S5" s="2">
        <v>71.7</v>
      </c>
    </row>
    <row r="6" spans="2:19">
      <c r="R6" s="55" t="s">
        <v>242</v>
      </c>
      <c r="S6" s="2">
        <v>42.3</v>
      </c>
    </row>
    <row r="7" spans="2:19">
      <c r="R7" s="55" t="s">
        <v>243</v>
      </c>
      <c r="S7" s="2">
        <v>33.4</v>
      </c>
    </row>
    <row r="11" spans="2:19">
      <c r="C11">
        <f>1.05/0.23</f>
        <v>4.5652173913043477</v>
      </c>
      <c r="D11">
        <f>4.58/1.05</f>
        <v>4.3619047619047615</v>
      </c>
    </row>
    <row r="12" spans="2:19">
      <c r="C12">
        <f>4.58/0.83</f>
        <v>5.5180722891566267</v>
      </c>
      <c r="D12">
        <f>0.83/0.23</f>
        <v>3.6086956521739126</v>
      </c>
    </row>
    <row r="15" spans="2:19">
      <c r="B15" s="61"/>
      <c r="M15" s="8"/>
    </row>
    <row r="16" spans="2:19">
      <c r="B16" s="8"/>
      <c r="D16" s="92" t="s">
        <v>244</v>
      </c>
    </row>
    <row r="17" spans="2:25">
      <c r="B17">
        <f>207.82*24</f>
        <v>4987.68</v>
      </c>
    </row>
    <row r="18" spans="2:25">
      <c r="D18" s="3" t="s">
        <v>245</v>
      </c>
      <c r="E18" s="3" t="s">
        <v>246</v>
      </c>
      <c r="F18" s="3" t="s">
        <v>247</v>
      </c>
      <c r="G18" s="3" t="s">
        <v>248</v>
      </c>
      <c r="H18" s="3" t="s">
        <v>249</v>
      </c>
      <c r="I18" s="3" t="s">
        <v>250</v>
      </c>
      <c r="J18" s="3" t="s">
        <v>251</v>
      </c>
      <c r="K18" s="3" t="s">
        <v>252</v>
      </c>
      <c r="L18" s="3" t="s">
        <v>253</v>
      </c>
      <c r="M18" s="3" t="s">
        <v>254</v>
      </c>
      <c r="N18" s="3" t="s">
        <v>255</v>
      </c>
      <c r="Q18" s="319" t="s">
        <v>256</v>
      </c>
      <c r="R18" s="319"/>
      <c r="S18" s="319"/>
      <c r="U18" s="319" t="s">
        <v>257</v>
      </c>
      <c r="V18" s="319"/>
      <c r="W18" s="319"/>
    </row>
    <row r="19" spans="2:25">
      <c r="D19" s="4" t="s">
        <v>258</v>
      </c>
      <c r="E19" s="4" t="s">
        <v>259</v>
      </c>
      <c r="F19" s="4" t="s">
        <v>260</v>
      </c>
      <c r="G19" s="4" t="s">
        <v>261</v>
      </c>
      <c r="H19" s="4" t="s">
        <v>262</v>
      </c>
      <c r="I19" s="4" t="s">
        <v>263</v>
      </c>
      <c r="J19" s="11" t="s">
        <v>264</v>
      </c>
      <c r="K19" s="4" t="s">
        <v>265</v>
      </c>
      <c r="L19" s="4" t="s">
        <v>266</v>
      </c>
      <c r="M19" s="4" t="s">
        <v>267</v>
      </c>
      <c r="N19" s="4" t="s">
        <v>63</v>
      </c>
      <c r="Q19" s="6" t="s">
        <v>268</v>
      </c>
      <c r="R19" s="5">
        <v>8400</v>
      </c>
      <c r="S19" s="5" t="s">
        <v>269</v>
      </c>
      <c r="U19" s="6" t="s">
        <v>270</v>
      </c>
      <c r="V19" s="5">
        <v>37.86</v>
      </c>
      <c r="W19" s="5" t="s">
        <v>17</v>
      </c>
    </row>
    <row r="20" spans="2:25" ht="17.25">
      <c r="B20" s="318" t="s">
        <v>271</v>
      </c>
      <c r="C20" s="15" t="s">
        <v>23</v>
      </c>
      <c r="D20" s="97">
        <f>R24</f>
        <v>37.7693150684931</v>
      </c>
      <c r="E20" s="13">
        <f>G20-(F20+D20)</f>
        <v>221.89472602739693</v>
      </c>
      <c r="F20" s="13">
        <f>I20*(R28/100)</f>
        <v>118.02910958904093</v>
      </c>
      <c r="G20" s="13">
        <f>D20*R27</f>
        <v>377.69315068493097</v>
      </c>
      <c r="H20" s="13">
        <f>(V27*R31)/1000</f>
        <v>141.63493150684911</v>
      </c>
      <c r="I20" s="13">
        <f>G20-H20</f>
        <v>236.05821917808186</v>
      </c>
      <c r="J20" s="13">
        <f>I20-L20</f>
        <v>213.63268835616407</v>
      </c>
      <c r="K20" s="13">
        <f>J20-F20</f>
        <v>95.603578767123139</v>
      </c>
      <c r="L20" s="13">
        <f>(I20*I25*((V23-V24)/100))/(V37*1000)</f>
        <v>22.425530821917775</v>
      </c>
      <c r="M20" s="13">
        <f>L20</f>
        <v>22.425530821917775</v>
      </c>
      <c r="N20" s="13">
        <f>N21/1000</f>
        <v>22.530846141785943</v>
      </c>
      <c r="Q20" s="6" t="s">
        <v>272</v>
      </c>
      <c r="R20" s="5">
        <v>14260</v>
      </c>
      <c r="S20" s="5" t="s">
        <v>269</v>
      </c>
      <c r="U20" s="6" t="s">
        <v>273</v>
      </c>
      <c r="V20" s="5">
        <v>4.99</v>
      </c>
      <c r="W20" s="5" t="s">
        <v>17</v>
      </c>
    </row>
    <row r="21" spans="2:25">
      <c r="B21" s="318"/>
      <c r="C21" s="5" t="s">
        <v>274</v>
      </c>
      <c r="D21" s="7">
        <f t="shared" ref="D21:M21" si="0">D20*1000</f>
        <v>37769.315068493102</v>
      </c>
      <c r="E21" s="7">
        <f t="shared" si="0"/>
        <v>221894.72602739692</v>
      </c>
      <c r="F21" s="7">
        <f t="shared" si="0"/>
        <v>118029.10958904093</v>
      </c>
      <c r="G21" s="7">
        <f t="shared" si="0"/>
        <v>377693.15068493097</v>
      </c>
      <c r="H21" s="7">
        <f t="shared" si="0"/>
        <v>141634.93150684913</v>
      </c>
      <c r="I21" s="7">
        <f t="shared" si="0"/>
        <v>236058.21917808187</v>
      </c>
      <c r="J21" s="7">
        <f t="shared" si="0"/>
        <v>213632.68835616406</v>
      </c>
      <c r="K21" s="7">
        <f t="shared" si="0"/>
        <v>95603.578767123137</v>
      </c>
      <c r="L21" s="7">
        <f>L20*1000</f>
        <v>22425.530821917775</v>
      </c>
      <c r="M21" s="7">
        <f t="shared" si="0"/>
        <v>22425.530821917775</v>
      </c>
      <c r="N21" s="7">
        <f>M21+O63</f>
        <v>22530.846141785943</v>
      </c>
      <c r="Q21" s="6" t="s">
        <v>275</v>
      </c>
      <c r="R21" s="5">
        <v>5120</v>
      </c>
      <c r="S21" s="5" t="s">
        <v>269</v>
      </c>
      <c r="U21" s="6" t="s">
        <v>276</v>
      </c>
      <c r="V21" s="5">
        <v>1.03</v>
      </c>
      <c r="W21" s="5" t="s">
        <v>17</v>
      </c>
    </row>
    <row r="22" spans="2:25">
      <c r="B22" s="318" t="s">
        <v>277</v>
      </c>
      <c r="C22" s="10" t="s">
        <v>274</v>
      </c>
      <c r="D22" s="13">
        <f>D21-D26</f>
        <v>37452.052821917758</v>
      </c>
      <c r="E22" s="13">
        <f>E21</f>
        <v>221894.72602739692</v>
      </c>
      <c r="F22" s="13">
        <f>F21-F24</f>
        <v>118029.10958904093</v>
      </c>
      <c r="G22" s="18">
        <f>D22+E22+F22</f>
        <v>377375.88843835559</v>
      </c>
      <c r="H22" s="13">
        <f>H21</f>
        <v>141634.93150684913</v>
      </c>
      <c r="I22" s="13">
        <f t="shared" ref="I22:M22" si="1">I21-I24</f>
        <v>235586.1027397257</v>
      </c>
      <c r="J22" s="13">
        <f t="shared" si="1"/>
        <v>213632.68835616406</v>
      </c>
      <c r="K22" s="13">
        <f t="shared" si="1"/>
        <v>95603.578767123137</v>
      </c>
      <c r="L22" s="13">
        <f t="shared" si="1"/>
        <v>21977.020205479421</v>
      </c>
      <c r="M22" s="13">
        <f t="shared" si="1"/>
        <v>21977.020205479421</v>
      </c>
      <c r="N22" s="13">
        <f>M22</f>
        <v>21977.020205479421</v>
      </c>
      <c r="Q22" s="6" t="s">
        <v>278</v>
      </c>
      <c r="R22" s="5">
        <v>3328</v>
      </c>
      <c r="S22" s="5" t="s">
        <v>269</v>
      </c>
    </row>
    <row r="23" spans="2:25">
      <c r="B23" s="318"/>
      <c r="C23" s="5" t="s">
        <v>269</v>
      </c>
      <c r="D23" s="7" t="s">
        <v>12</v>
      </c>
      <c r="E23" s="7" t="s">
        <v>12</v>
      </c>
      <c r="F23" s="7" t="s">
        <v>12</v>
      </c>
      <c r="G23" s="7" t="s">
        <v>12</v>
      </c>
      <c r="H23" s="7" t="s">
        <v>12</v>
      </c>
      <c r="I23" s="7" t="s">
        <v>12</v>
      </c>
      <c r="J23" s="7" t="s">
        <v>12</v>
      </c>
      <c r="K23" s="7" t="s">
        <v>12</v>
      </c>
      <c r="L23" s="7" t="s">
        <v>12</v>
      </c>
      <c r="M23" s="7" t="s">
        <v>12</v>
      </c>
      <c r="N23" s="7" t="s">
        <v>12</v>
      </c>
      <c r="Q23" s="6" t="s">
        <v>279</v>
      </c>
      <c r="R23" s="5">
        <v>76</v>
      </c>
      <c r="S23" s="5" t="s">
        <v>269</v>
      </c>
      <c r="U23" s="6" t="s">
        <v>280</v>
      </c>
      <c r="V23" s="5">
        <v>100</v>
      </c>
      <c r="W23" s="5" t="s">
        <v>17</v>
      </c>
    </row>
    <row r="24" spans="2:25" ht="17.25">
      <c r="B24" s="318" t="s">
        <v>281</v>
      </c>
      <c r="C24" s="10" t="s">
        <v>274</v>
      </c>
      <c r="D24" s="13">
        <v>0</v>
      </c>
      <c r="E24" s="13">
        <v>0</v>
      </c>
      <c r="F24" s="13">
        <f>(F20*F25)/1000</f>
        <v>0</v>
      </c>
      <c r="G24" s="13">
        <f>((D20*D24)+(F20*F24)+(E20*E24))/G20</f>
        <v>0</v>
      </c>
      <c r="H24" s="13">
        <v>0</v>
      </c>
      <c r="I24" s="13">
        <f>(I20*I25)/1000</f>
        <v>472.11643835616371</v>
      </c>
      <c r="J24" s="13">
        <f>(R33*V27*(1-(V23/100)))/1000</f>
        <v>0</v>
      </c>
      <c r="K24" s="13">
        <f>(K25*K20)/1000</f>
        <v>0</v>
      </c>
      <c r="L24" s="13">
        <f>(R33*V27*((100-V24)/100))/1000</f>
        <v>448.51061643835556</v>
      </c>
      <c r="M24" s="13">
        <f>L24</f>
        <v>448.51061643835556</v>
      </c>
      <c r="N24" s="13">
        <f>M24</f>
        <v>448.51061643835556</v>
      </c>
      <c r="Q24" s="6" t="s">
        <v>271</v>
      </c>
      <c r="R24" s="103">
        <f>37.7693150684931</f>
        <v>37.7693150684931</v>
      </c>
      <c r="S24" s="5" t="s">
        <v>23</v>
      </c>
      <c r="U24" s="6" t="s">
        <v>282</v>
      </c>
      <c r="V24" s="5">
        <v>5</v>
      </c>
      <c r="W24" s="5" t="s">
        <v>17</v>
      </c>
    </row>
    <row r="25" spans="2:25">
      <c r="B25" s="318"/>
      <c r="C25" s="5" t="s">
        <v>269</v>
      </c>
      <c r="D25" s="7">
        <v>0</v>
      </c>
      <c r="E25" s="7">
        <v>0</v>
      </c>
      <c r="F25" s="7">
        <f>J25</f>
        <v>0</v>
      </c>
      <c r="G25" s="7">
        <f>(G24/G20)*1000</f>
        <v>0</v>
      </c>
      <c r="H25" s="7">
        <v>0</v>
      </c>
      <c r="I25" s="7">
        <f>R32*1000</f>
        <v>2000</v>
      </c>
      <c r="J25" s="7">
        <f>(J24/J20)*1000</f>
        <v>0</v>
      </c>
      <c r="K25" s="7">
        <f>J25</f>
        <v>0</v>
      </c>
      <c r="L25" s="7">
        <f>(L24/L20)*1000</f>
        <v>20000.000000000004</v>
      </c>
      <c r="M25" s="7">
        <f>(M24/M20)*1000</f>
        <v>20000.000000000004</v>
      </c>
      <c r="N25" s="7">
        <f>(N24/N20)*1000</f>
        <v>19906.514545254609</v>
      </c>
    </row>
    <row r="26" spans="2:25">
      <c r="B26" s="318" t="s">
        <v>268</v>
      </c>
      <c r="C26" s="10" t="s">
        <v>274</v>
      </c>
      <c r="D26" s="13">
        <f>(D20*D27)/1000</f>
        <v>317.26224657534203</v>
      </c>
      <c r="E26" s="13">
        <v>0</v>
      </c>
      <c r="F26" s="13">
        <f>F24</f>
        <v>0</v>
      </c>
      <c r="G26" s="13">
        <f>D26+E26+F26</f>
        <v>317.26224657534203</v>
      </c>
      <c r="H26" s="13">
        <v>0</v>
      </c>
      <c r="I26" s="13">
        <f t="shared" ref="I26:N26" si="2">I24</f>
        <v>472.11643835616371</v>
      </c>
      <c r="J26" s="13">
        <f t="shared" si="2"/>
        <v>0</v>
      </c>
      <c r="K26" s="13">
        <f t="shared" si="2"/>
        <v>0</v>
      </c>
      <c r="L26" s="13">
        <f t="shared" si="2"/>
        <v>448.51061643835556</v>
      </c>
      <c r="M26" s="13">
        <f t="shared" si="2"/>
        <v>448.51061643835556</v>
      </c>
      <c r="N26" s="13">
        <f t="shared" si="2"/>
        <v>448.51061643835556</v>
      </c>
      <c r="Q26" s="319" t="s">
        <v>283</v>
      </c>
      <c r="R26" s="319"/>
      <c r="S26" s="319"/>
      <c r="U26" s="319" t="s">
        <v>284</v>
      </c>
      <c r="V26" s="319"/>
      <c r="W26" s="319"/>
    </row>
    <row r="27" spans="2:25" ht="17.25">
      <c r="B27" s="318"/>
      <c r="C27" s="5" t="s">
        <v>269</v>
      </c>
      <c r="D27" s="7">
        <f>R19</f>
        <v>8400</v>
      </c>
      <c r="E27" s="7">
        <v>0</v>
      </c>
      <c r="F27" s="7">
        <f>F25</f>
        <v>0</v>
      </c>
      <c r="G27" s="7">
        <f>(G26/G20)*1000</f>
        <v>840.00000000000011</v>
      </c>
      <c r="H27" s="7">
        <v>0</v>
      </c>
      <c r="I27" s="7">
        <f>(I26/I20)*1000</f>
        <v>2000</v>
      </c>
      <c r="J27" s="7">
        <f>(J26/J20)*1000</f>
        <v>0</v>
      </c>
      <c r="K27" s="7">
        <f>K25</f>
        <v>0</v>
      </c>
      <c r="L27" s="7">
        <f>(L26/L20)*1000</f>
        <v>20000.000000000004</v>
      </c>
      <c r="M27" s="7">
        <f>(M26/M20)*1000</f>
        <v>20000.000000000004</v>
      </c>
      <c r="N27" s="7">
        <f>(N26/N20)*1000</f>
        <v>19906.514545254609</v>
      </c>
      <c r="Q27" s="6" t="s">
        <v>285</v>
      </c>
      <c r="R27" s="5">
        <v>10</v>
      </c>
      <c r="S27" s="5" t="s">
        <v>17</v>
      </c>
      <c r="U27" s="6" t="s">
        <v>286</v>
      </c>
      <c r="V27" s="9">
        <f>V28/(R30/100)</f>
        <v>28326.986301369823</v>
      </c>
      <c r="W27" s="2" t="s">
        <v>287</v>
      </c>
      <c r="Y27">
        <f>100/4</f>
        <v>25</v>
      </c>
    </row>
    <row r="28" spans="2:25" ht="17.25">
      <c r="B28" s="318" t="s">
        <v>272</v>
      </c>
      <c r="C28" s="10" t="s">
        <v>274</v>
      </c>
      <c r="D28" s="13">
        <f>(D20*D29)/1000</f>
        <v>538.59043287671159</v>
      </c>
      <c r="E28" s="13">
        <v>0</v>
      </c>
      <c r="F28" s="13">
        <f>(F29*F20)/1000</f>
        <v>54.064488343375992</v>
      </c>
      <c r="G28" s="13">
        <f>D28+E28+F28</f>
        <v>592.65492122008754</v>
      </c>
      <c r="H28" s="18">
        <f>G28-I28</f>
        <v>254.42118804794478</v>
      </c>
      <c r="I28" s="18">
        <f>J28+L28</f>
        <v>338.23373317214276</v>
      </c>
      <c r="J28" s="13">
        <f>(J20*J29)/1000</f>
        <v>97.856723901510534</v>
      </c>
      <c r="K28" s="13">
        <f>(K24*(R39/100))+D28*(1-(V31/100))*(K22/(L22+K22))</f>
        <v>43.792235558134543</v>
      </c>
      <c r="L28" s="13">
        <f>(L24*(R39/100))+D28*(1-(V31/100))*(L22/(L22+K22))</f>
        <v>240.37700927063221</v>
      </c>
      <c r="M28" s="13">
        <f>L28</f>
        <v>240.37700927063221</v>
      </c>
      <c r="N28" s="13">
        <f>M28</f>
        <v>240.37700927063221</v>
      </c>
      <c r="Q28" s="6" t="s">
        <v>260</v>
      </c>
      <c r="R28" s="69">
        <v>50</v>
      </c>
      <c r="S28" s="5" t="s">
        <v>17</v>
      </c>
      <c r="U28" s="6" t="s">
        <v>288</v>
      </c>
      <c r="V28" s="9">
        <f>G20*R29</f>
        <v>1133.0794520547929</v>
      </c>
      <c r="W28" s="2" t="s">
        <v>289</v>
      </c>
      <c r="Y28">
        <f>V27/V28</f>
        <v>25</v>
      </c>
    </row>
    <row r="29" spans="2:25">
      <c r="B29" s="318"/>
      <c r="C29" s="5" t="s">
        <v>269</v>
      </c>
      <c r="D29" s="7">
        <f>R20</f>
        <v>14260</v>
      </c>
      <c r="E29" s="7">
        <v>0</v>
      </c>
      <c r="F29" s="7">
        <f>J29</f>
        <v>458.06063039550293</v>
      </c>
      <c r="G29" s="7">
        <f>(G28/G20)*1000</f>
        <v>1569.1439469985946</v>
      </c>
      <c r="H29" s="95">
        <f>(H28/H20)*1000</f>
        <v>1796.3166666666662</v>
      </c>
      <c r="I29" s="95">
        <f>(I28/I20)*1000</f>
        <v>1432.8403151977518</v>
      </c>
      <c r="J29" s="7">
        <f>K29</f>
        <v>458.06063039550293</v>
      </c>
      <c r="K29" s="7">
        <f>(K28/K20)*1000</f>
        <v>458.06063039550293</v>
      </c>
      <c r="L29" s="7">
        <f>(L28/L20)*1000</f>
        <v>10718.899417787596</v>
      </c>
      <c r="M29" s="7">
        <f>(M28/M20)*1000</f>
        <v>10718.899417787596</v>
      </c>
      <c r="N29" s="7">
        <f>(N28/N20)*1000</f>
        <v>10668.796358465494</v>
      </c>
      <c r="Q29" s="6" t="s">
        <v>65</v>
      </c>
      <c r="R29" s="69">
        <v>3</v>
      </c>
      <c r="S29" s="5" t="s">
        <v>26</v>
      </c>
    </row>
    <row r="30" spans="2:25">
      <c r="B30" s="318" t="s">
        <v>275</v>
      </c>
      <c r="C30" s="10" t="s">
        <v>274</v>
      </c>
      <c r="D30" s="13">
        <f>(D20*D31)/1000</f>
        <v>193.37889315068466</v>
      </c>
      <c r="E30" s="13">
        <v>0</v>
      </c>
      <c r="F30" s="13">
        <f>(F31*F20)/1000</f>
        <v>77.646614394974762</v>
      </c>
      <c r="G30" s="13">
        <f>D30+E30+F30</f>
        <v>271.02550754565942</v>
      </c>
      <c r="H30" s="18">
        <f>G30-I30</f>
        <v>77.055909218372165</v>
      </c>
      <c r="I30" s="18">
        <f>J30+L30</f>
        <v>193.96959832728726</v>
      </c>
      <c r="J30" s="13">
        <f>(J31*J20)/1000</f>
        <v>140.54037205490431</v>
      </c>
      <c r="K30" s="13">
        <f>(K24*(R40/100))+D30*(1-(V32/100))*(K22/(K22+L22))</f>
        <v>62.893757659929562</v>
      </c>
      <c r="L30" s="13">
        <f>(L24*(R40/100))+D30*(1-(V32/100))*(L22/(K22+L22))</f>
        <v>53.429226272382934</v>
      </c>
      <c r="M30" s="13">
        <f>L30</f>
        <v>53.429226272382934</v>
      </c>
      <c r="N30" s="13">
        <f>M30</f>
        <v>53.429226272382934</v>
      </c>
      <c r="Q30" s="6" t="s">
        <v>70</v>
      </c>
      <c r="R30" s="69">
        <v>4</v>
      </c>
      <c r="S30" s="5" t="s">
        <v>34</v>
      </c>
      <c r="U30" s="319" t="s">
        <v>290</v>
      </c>
      <c r="V30" s="319"/>
      <c r="W30" s="319"/>
    </row>
    <row r="31" spans="2:25" ht="17.25">
      <c r="B31" s="318"/>
      <c r="C31" s="5" t="s">
        <v>269</v>
      </c>
      <c r="D31" s="7">
        <f>R21</f>
        <v>5120</v>
      </c>
      <c r="E31" s="7">
        <v>0</v>
      </c>
      <c r="F31" s="7">
        <f>J31</f>
        <v>657.85986749648669</v>
      </c>
      <c r="G31" s="7">
        <f>(G30/G20)*1000</f>
        <v>717.58120859265205</v>
      </c>
      <c r="H31" s="95">
        <f>(H30/H20)*1000</f>
        <v>544.04593837535015</v>
      </c>
      <c r="I31" s="95">
        <f>(I30/I20)*1000</f>
        <v>821.70237072303337</v>
      </c>
      <c r="J31" s="7">
        <f>K31</f>
        <v>657.85986749648669</v>
      </c>
      <c r="K31" s="7">
        <f>(K30/K20)*1000</f>
        <v>657.85986749648669</v>
      </c>
      <c r="L31" s="7">
        <f>(L30/L20)*1000</f>
        <v>2382.5177961969775</v>
      </c>
      <c r="M31" s="7">
        <f>(M30/M20)*1000</f>
        <v>2382.5177961969775</v>
      </c>
      <c r="N31" s="7">
        <f>(N30/N20)*1000</f>
        <v>2371.381258216154</v>
      </c>
      <c r="Q31" s="6" t="s">
        <v>262</v>
      </c>
      <c r="R31" s="68">
        <v>5</v>
      </c>
      <c r="S31" s="5" t="s">
        <v>21</v>
      </c>
      <c r="U31" s="6" t="s">
        <v>272</v>
      </c>
      <c r="V31" s="2">
        <v>90</v>
      </c>
      <c r="W31" s="5" t="s">
        <v>17</v>
      </c>
    </row>
    <row r="32" spans="2:25">
      <c r="B32" s="320" t="s">
        <v>278</v>
      </c>
      <c r="C32" s="182" t="s">
        <v>274</v>
      </c>
      <c r="D32" s="180">
        <f>(D20*D33)/1000</f>
        <v>125.69628054794504</v>
      </c>
      <c r="E32" s="180">
        <v>0</v>
      </c>
      <c r="F32" s="180">
        <f>(F33*F20)/1000</f>
        <v>2.2425530821917778</v>
      </c>
      <c r="G32" s="180">
        <f>D32+E32+F32</f>
        <v>127.93883363013681</v>
      </c>
      <c r="H32" s="180">
        <f>G32*0.1</f>
        <v>12.793883363013682</v>
      </c>
      <c r="I32" s="180">
        <f>G32-H32</f>
        <v>115.14495026712314</v>
      </c>
      <c r="J32" s="180">
        <f>(J33*J20)/1000</f>
        <v>4.0590210787671168</v>
      </c>
      <c r="K32" s="180">
        <f>(K20*K33)/1000</f>
        <v>1.8164679965753396</v>
      </c>
      <c r="L32" s="180">
        <f>I32-J32</f>
        <v>111.08592918835602</v>
      </c>
      <c r="M32" s="180">
        <f>L32</f>
        <v>111.08592918835602</v>
      </c>
      <c r="N32" s="180">
        <f>M32</f>
        <v>111.08592918835602</v>
      </c>
      <c r="Q32" s="6" t="s">
        <v>291</v>
      </c>
      <c r="R32" s="5">
        <v>2</v>
      </c>
      <c r="S32" s="5" t="s">
        <v>19</v>
      </c>
      <c r="U32" s="6" t="s">
        <v>273</v>
      </c>
      <c r="V32" s="2">
        <v>60</v>
      </c>
      <c r="W32" s="5" t="s">
        <v>17</v>
      </c>
    </row>
    <row r="33" spans="2:23" ht="17.25">
      <c r="B33" s="320"/>
      <c r="C33" s="183" t="s">
        <v>269</v>
      </c>
      <c r="D33" s="181">
        <f>R22</f>
        <v>3328</v>
      </c>
      <c r="E33" s="181">
        <v>0</v>
      </c>
      <c r="F33" s="181">
        <f>J33</f>
        <v>19</v>
      </c>
      <c r="G33" s="181">
        <f>(G31/G20)*1000</f>
        <v>1899.9052730804042</v>
      </c>
      <c r="H33" s="181">
        <f>(H32/H20)*1000</f>
        <v>90.330000000000013</v>
      </c>
      <c r="I33" s="181">
        <f>(I32/I20)*1000</f>
        <v>487.78200000000004</v>
      </c>
      <c r="J33" s="181">
        <v>19</v>
      </c>
      <c r="K33" s="181">
        <v>19</v>
      </c>
      <c r="L33" s="181">
        <f>(L32/L20)*1000</f>
        <v>4953.5473684210529</v>
      </c>
      <c r="M33" s="181">
        <f>(M32/M20)*1000</f>
        <v>4953.5473684210529</v>
      </c>
      <c r="N33" s="181">
        <f>(N32/N20)*1000</f>
        <v>4930.3931370040691</v>
      </c>
      <c r="P33" s="8"/>
      <c r="Q33" s="6" t="s">
        <v>292</v>
      </c>
      <c r="R33" s="7">
        <f>(I24*1000)/V27</f>
        <v>16.666666666666668</v>
      </c>
      <c r="S33" s="5" t="s">
        <v>40</v>
      </c>
      <c r="U33" s="6" t="s">
        <v>276</v>
      </c>
      <c r="V33" s="2">
        <v>60</v>
      </c>
      <c r="W33" s="5" t="s">
        <v>17</v>
      </c>
    </row>
    <row r="34" spans="2:23">
      <c r="B34" s="318" t="s">
        <v>279</v>
      </c>
      <c r="C34" s="10" t="s">
        <v>274</v>
      </c>
      <c r="D34" s="13">
        <f>(D20*D35)/1000</f>
        <v>2.8704679452054758</v>
      </c>
      <c r="E34" s="13">
        <v>0</v>
      </c>
      <c r="F34" s="13">
        <f>(F35*F20)/1000</f>
        <v>1.1525669324254071</v>
      </c>
      <c r="G34" s="13">
        <f>D34+E34+F34</f>
        <v>4.0230348776308826</v>
      </c>
      <c r="H34" s="18">
        <f>G34-I34</f>
        <v>0.3767489178082184</v>
      </c>
      <c r="I34" s="18">
        <f>J34+L34</f>
        <v>3.6462859598226642</v>
      </c>
      <c r="J34" s="13">
        <f>(J35*J20)/1000</f>
        <v>2.0861461476899867</v>
      </c>
      <c r="K34" s="13">
        <f>(K24*(R41/100))+D34*(1-(V33/100))*(K22/(K22+L22))</f>
        <v>0.93357921526457965</v>
      </c>
      <c r="L34" s="13">
        <f>(L24*(R41/100))+D34*(1-(V33/100))*(L22/(K22+L22))</f>
        <v>1.5601398121326775</v>
      </c>
      <c r="M34" s="13">
        <f>L34</f>
        <v>1.5601398121326775</v>
      </c>
      <c r="N34" s="13">
        <f>M34+O63</f>
        <v>106.8754596803025</v>
      </c>
    </row>
    <row r="35" spans="2:23">
      <c r="B35" s="318"/>
      <c r="C35" s="5" t="s">
        <v>269</v>
      </c>
      <c r="D35" s="7">
        <f>R23</f>
        <v>76</v>
      </c>
      <c r="E35" s="7">
        <v>0</v>
      </c>
      <c r="F35" s="7">
        <f>J35</f>
        <v>9.7651074081509766</v>
      </c>
      <c r="G35" s="7">
        <f>(G34/G20)*1000</f>
        <v>10.65159606504718</v>
      </c>
      <c r="H35" s="95">
        <f>(H34/H20)*1000</f>
        <v>2.6599999999999984</v>
      </c>
      <c r="I35" s="95">
        <f>(I34/I20)*1000</f>
        <v>15.446553704075491</v>
      </c>
      <c r="J35" s="7">
        <f>K35</f>
        <v>9.7651074081509766</v>
      </c>
      <c r="K35" s="7">
        <f>(K34/K20)*1000</f>
        <v>9.7651074081509766</v>
      </c>
      <c r="L35" s="7">
        <f>(L34/L20)*1000</f>
        <v>69.569805259987959</v>
      </c>
      <c r="M35" s="7">
        <f>(M34/M20)*1000</f>
        <v>69.569805259987959</v>
      </c>
      <c r="N35" s="7">
        <f>(N34/N20)*1000</f>
        <v>4743.5173542856937</v>
      </c>
      <c r="Q35" s="319" t="s">
        <v>293</v>
      </c>
      <c r="R35" s="319"/>
      <c r="S35" s="319"/>
      <c r="U35" s="319" t="s">
        <v>280</v>
      </c>
      <c r="V35" s="319"/>
      <c r="W35" s="319"/>
    </row>
    <row r="36" spans="2:23" ht="17.25">
      <c r="B36" s="318" t="s">
        <v>294</v>
      </c>
      <c r="C36" s="10" t="s">
        <v>274</v>
      </c>
      <c r="D36" s="13">
        <v>0</v>
      </c>
      <c r="E36" s="13">
        <v>0</v>
      </c>
      <c r="F36" s="13">
        <f>(F37*F20)/1000</f>
        <v>0</v>
      </c>
      <c r="G36" s="13">
        <f>D36+E36+F36</f>
        <v>0</v>
      </c>
      <c r="H36" s="13">
        <v>0</v>
      </c>
      <c r="I36" s="13">
        <f>J36+L36</f>
        <v>231.87998869862983</v>
      </c>
      <c r="J36" s="13">
        <f>J24*(R36/100)</f>
        <v>0</v>
      </c>
      <c r="K36" s="13">
        <f>K24*(R36/100)</f>
        <v>0</v>
      </c>
      <c r="L36" s="13">
        <f>L24*(R36/100)</f>
        <v>231.87998869862983</v>
      </c>
      <c r="M36" s="13">
        <f>L36</f>
        <v>231.87998869862983</v>
      </c>
      <c r="N36" s="13">
        <f>M36</f>
        <v>231.87998869862983</v>
      </c>
      <c r="Q36" s="6" t="s">
        <v>294</v>
      </c>
      <c r="R36" s="2">
        <v>51.7</v>
      </c>
      <c r="S36" s="5" t="s">
        <v>17</v>
      </c>
      <c r="U36" s="6" t="s">
        <v>295</v>
      </c>
      <c r="V36" s="2">
        <v>40</v>
      </c>
      <c r="W36" s="5" t="s">
        <v>296</v>
      </c>
    </row>
    <row r="37" spans="2:23">
      <c r="B37" s="318"/>
      <c r="C37" s="5" t="s">
        <v>269</v>
      </c>
      <c r="D37" s="7">
        <v>0</v>
      </c>
      <c r="E37" s="7">
        <v>0</v>
      </c>
      <c r="F37" s="7">
        <f>J37</f>
        <v>0</v>
      </c>
      <c r="G37" s="7">
        <f>(G36/G20)*1000</f>
        <v>0</v>
      </c>
      <c r="H37" s="7">
        <v>0</v>
      </c>
      <c r="I37" s="7">
        <f t="shared" ref="I37:N37" si="3">(I36/I20)*1000</f>
        <v>982.30000000000007</v>
      </c>
      <c r="J37" s="7">
        <f t="shared" si="3"/>
        <v>0</v>
      </c>
      <c r="K37" s="7">
        <f t="shared" si="3"/>
        <v>0</v>
      </c>
      <c r="L37" s="7">
        <f t="shared" si="3"/>
        <v>10340.000000000002</v>
      </c>
      <c r="M37" s="7">
        <f t="shared" si="3"/>
        <v>10340.000000000002</v>
      </c>
      <c r="N37" s="7">
        <f t="shared" si="3"/>
        <v>10291.668019896633</v>
      </c>
      <c r="Q37" s="6" t="s">
        <v>297</v>
      </c>
      <c r="R37" s="2">
        <v>22.3</v>
      </c>
      <c r="S37" s="5" t="s">
        <v>17</v>
      </c>
      <c r="U37" s="12" t="s">
        <v>298</v>
      </c>
      <c r="V37" s="2">
        <v>20</v>
      </c>
      <c r="W37" s="2" t="s">
        <v>19</v>
      </c>
    </row>
    <row r="38" spans="2:23">
      <c r="B38" s="318" t="s">
        <v>297</v>
      </c>
      <c r="C38" s="10" t="s">
        <v>274</v>
      </c>
      <c r="D38" s="13">
        <v>0</v>
      </c>
      <c r="E38" s="13">
        <v>0</v>
      </c>
      <c r="F38" s="13">
        <f>(F39*F20)/1000</f>
        <v>0</v>
      </c>
      <c r="G38" s="13">
        <f>D38+E38+F38</f>
        <v>0</v>
      </c>
      <c r="H38" s="13">
        <v>0</v>
      </c>
      <c r="I38" s="13">
        <f>J38+L38</f>
        <v>100.01786746575328</v>
      </c>
      <c r="J38" s="13">
        <f>J24*(R37/100)</f>
        <v>0</v>
      </c>
      <c r="K38" s="13">
        <f>K24*(R37/100)</f>
        <v>0</v>
      </c>
      <c r="L38" s="13">
        <f>L24*(R37/100)</f>
        <v>100.01786746575328</v>
      </c>
      <c r="M38" s="13">
        <f>L38</f>
        <v>100.01786746575328</v>
      </c>
      <c r="N38" s="13">
        <f>M38</f>
        <v>100.01786746575328</v>
      </c>
      <c r="Q38" s="6" t="s">
        <v>299</v>
      </c>
      <c r="R38" s="2">
        <v>13.4</v>
      </c>
      <c r="S38" s="5" t="s">
        <v>17</v>
      </c>
      <c r="U38" s="12" t="s">
        <v>300</v>
      </c>
      <c r="V38" s="268">
        <f>V37/R32</f>
        <v>10</v>
      </c>
      <c r="W38" s="269"/>
    </row>
    <row r="39" spans="2:23">
      <c r="B39" s="318"/>
      <c r="C39" s="5" t="s">
        <v>269</v>
      </c>
      <c r="D39" s="7">
        <v>0</v>
      </c>
      <c r="E39" s="7">
        <v>0</v>
      </c>
      <c r="F39" s="7">
        <f>J39</f>
        <v>0</v>
      </c>
      <c r="G39" s="7">
        <f>(G38/G20)*1000</f>
        <v>0</v>
      </c>
      <c r="H39" s="7">
        <v>0</v>
      </c>
      <c r="I39" s="7">
        <f>(I38/I20)*1000</f>
        <v>423.70000000000005</v>
      </c>
      <c r="J39" s="7">
        <f>(J38*J20)/1000</f>
        <v>0</v>
      </c>
      <c r="K39" s="7">
        <f>(K38/K20)*1000</f>
        <v>0</v>
      </c>
      <c r="L39" s="7">
        <f>(L38/L20)*1000</f>
        <v>4460</v>
      </c>
      <c r="M39" s="7">
        <f>(M38/M20)*1000</f>
        <v>4460</v>
      </c>
      <c r="N39" s="7">
        <f>(N38/N20)*1000</f>
        <v>4439.1527435917778</v>
      </c>
      <c r="Q39" s="6" t="s">
        <v>270</v>
      </c>
      <c r="R39" s="2">
        <v>51.35</v>
      </c>
      <c r="S39" s="5" t="s">
        <v>17</v>
      </c>
    </row>
    <row r="40" spans="2:23">
      <c r="B40" s="318" t="s">
        <v>299</v>
      </c>
      <c r="C40" s="10" t="s">
        <v>274</v>
      </c>
      <c r="D40" s="13">
        <v>0</v>
      </c>
      <c r="E40" s="13">
        <v>0</v>
      </c>
      <c r="F40" s="13">
        <f>(F41*F20)/1000</f>
        <v>0</v>
      </c>
      <c r="G40" s="13">
        <f>D40+E40+F40</f>
        <v>0</v>
      </c>
      <c r="H40" s="13">
        <v>0</v>
      </c>
      <c r="I40" s="13">
        <f>J40+L40</f>
        <v>60.100422602739648</v>
      </c>
      <c r="J40" s="13">
        <f>J24*(R38/100)</f>
        <v>0</v>
      </c>
      <c r="K40" s="13">
        <f>K24*(R38/100)</f>
        <v>0</v>
      </c>
      <c r="L40" s="13">
        <f>L24*(R38/100)</f>
        <v>60.100422602739648</v>
      </c>
      <c r="M40" s="13">
        <f>L40</f>
        <v>60.100422602739648</v>
      </c>
      <c r="N40" s="13">
        <f>M40</f>
        <v>60.100422602739648</v>
      </c>
      <c r="Q40" s="6" t="s">
        <v>273</v>
      </c>
      <c r="R40" s="9">
        <f>R36/5.95</f>
        <v>8.6890756302521019</v>
      </c>
      <c r="S40" s="5" t="s">
        <v>17</v>
      </c>
    </row>
    <row r="41" spans="2:23">
      <c r="B41" s="318"/>
      <c r="C41" s="5" t="s">
        <v>269</v>
      </c>
      <c r="D41" s="7">
        <v>0</v>
      </c>
      <c r="E41" s="7">
        <v>0</v>
      </c>
      <c r="F41" s="7">
        <f>J41</f>
        <v>0</v>
      </c>
      <c r="G41" s="7">
        <f>(G40/G20)*1000</f>
        <v>0</v>
      </c>
      <c r="H41" s="7">
        <v>0</v>
      </c>
      <c r="I41" s="7">
        <f>(I40/I20)*1000</f>
        <v>254.60000000000005</v>
      </c>
      <c r="J41" s="7">
        <f>(J40*J20)/1000</f>
        <v>0</v>
      </c>
      <c r="K41" s="7">
        <f>(K40/K20)*1000</f>
        <v>0</v>
      </c>
      <c r="L41" s="7">
        <f>(L40/L20)*1000</f>
        <v>2680.0000000000005</v>
      </c>
      <c r="M41" s="7">
        <f>(M40/M20)*1000</f>
        <v>2680.0000000000005</v>
      </c>
      <c r="N41" s="7">
        <f>(N40/N20)*1000</f>
        <v>2667.4729490641175</v>
      </c>
      <c r="Q41" s="6" t="s">
        <v>276</v>
      </c>
      <c r="R41" s="2">
        <v>0.3</v>
      </c>
      <c r="S41" s="5" t="s">
        <v>17</v>
      </c>
    </row>
    <row r="42" spans="2:23">
      <c r="F42" s="8"/>
      <c r="J42" s="66"/>
      <c r="K42" s="66"/>
    </row>
    <row r="43" spans="2:23">
      <c r="J43" s="67"/>
      <c r="K43" s="67"/>
      <c r="N43" s="8"/>
    </row>
    <row r="44" spans="2:23">
      <c r="B44" s="292" t="s">
        <v>301</v>
      </c>
      <c r="C44" s="292"/>
      <c r="D44" s="292"/>
      <c r="E44" s="9">
        <f>(((G32-H32)-I32)/(G32-H32))*100</f>
        <v>0</v>
      </c>
      <c r="F44" s="75" t="s">
        <v>302</v>
      </c>
    </row>
    <row r="46" spans="2:23">
      <c r="B46" s="292" t="s">
        <v>303</v>
      </c>
      <c r="C46" s="292"/>
      <c r="D46" s="292"/>
      <c r="E46" s="292"/>
      <c r="H46" s="8"/>
    </row>
    <row r="47" spans="2:23">
      <c r="B47" s="2"/>
      <c r="C47" s="14" t="s">
        <v>304</v>
      </c>
      <c r="D47" s="14" t="s">
        <v>305</v>
      </c>
      <c r="E47" s="14" t="s">
        <v>306</v>
      </c>
    </row>
    <row r="48" spans="2:23">
      <c r="B48" s="14" t="s">
        <v>275</v>
      </c>
      <c r="C48" s="9">
        <f>D30</f>
        <v>193.37889315068466</v>
      </c>
      <c r="D48" s="9">
        <f>H30+K30+N30</f>
        <v>193.37889315068469</v>
      </c>
      <c r="E48" s="9">
        <f>N24*(R40/100)</f>
        <v>38.971426672038632</v>
      </c>
    </row>
    <row r="49" spans="2:20">
      <c r="B49" s="14" t="s">
        <v>279</v>
      </c>
      <c r="C49" s="9">
        <f>D34</f>
        <v>2.8704679452054758</v>
      </c>
      <c r="D49" s="9">
        <f>H34+K34+N34</f>
        <v>108.1857878133753</v>
      </c>
      <c r="E49" s="9">
        <f>N24*(R41/100)</f>
        <v>1.3455318493150668</v>
      </c>
    </row>
    <row r="50" spans="2:20">
      <c r="B50" s="14" t="s">
        <v>278</v>
      </c>
      <c r="C50" s="9">
        <f>D32</f>
        <v>125.69628054794504</v>
      </c>
      <c r="D50" s="9">
        <f>H32+K32+N32</f>
        <v>125.69628054794504</v>
      </c>
      <c r="E50" s="9">
        <f>D32*(E44/100)</f>
        <v>0</v>
      </c>
      <c r="F50" s="72"/>
      <c r="J50" s="98"/>
    </row>
    <row r="51" spans="2:20">
      <c r="B51" s="14" t="s">
        <v>271</v>
      </c>
      <c r="C51" s="9">
        <f>D20+E20</f>
        <v>259.66404109589001</v>
      </c>
      <c r="D51" s="9">
        <f>H20+N20+K20</f>
        <v>259.76935641575824</v>
      </c>
      <c r="E51" s="9" t="s">
        <v>12</v>
      </c>
    </row>
    <row r="54" spans="2:20" ht="20.25" thickBot="1">
      <c r="B54" s="291" t="s">
        <v>307</v>
      </c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</row>
    <row r="55" spans="2:20" ht="15.75" thickTop="1"/>
    <row r="56" spans="2:20">
      <c r="B56" s="314" t="s">
        <v>308</v>
      </c>
      <c r="C56" s="314"/>
      <c r="D56" s="314"/>
      <c r="F56" s="314" t="s">
        <v>280</v>
      </c>
      <c r="G56" s="314"/>
      <c r="H56" s="314"/>
      <c r="J56" s="314" t="s">
        <v>309</v>
      </c>
      <c r="K56" s="314"/>
      <c r="L56" s="314"/>
      <c r="N56" s="314" t="s">
        <v>310</v>
      </c>
      <c r="O56" s="314"/>
      <c r="P56" s="314"/>
      <c r="R56" s="314" t="s">
        <v>311</v>
      </c>
      <c r="S56" s="314"/>
      <c r="T56" s="314"/>
    </row>
    <row r="57" spans="2:20" ht="17.25">
      <c r="B57" s="16" t="s">
        <v>286</v>
      </c>
      <c r="C57" s="9">
        <f>V27</f>
        <v>28326.986301369823</v>
      </c>
      <c r="D57" s="2" t="s">
        <v>287</v>
      </c>
      <c r="F57" s="17" t="s">
        <v>286</v>
      </c>
      <c r="G57" s="7">
        <f>(I20*1000)/(V36*G58)</f>
        <v>245.89397831050195</v>
      </c>
      <c r="H57" s="5" t="s">
        <v>287</v>
      </c>
      <c r="J57" s="17" t="s">
        <v>312</v>
      </c>
      <c r="K57" s="5">
        <v>400</v>
      </c>
      <c r="L57" s="5" t="s">
        <v>313</v>
      </c>
      <c r="N57" s="17" t="s">
        <v>314</v>
      </c>
      <c r="O57" s="5">
        <v>2</v>
      </c>
      <c r="P57" s="5" t="s">
        <v>17</v>
      </c>
      <c r="R57" s="17" t="s">
        <v>315</v>
      </c>
      <c r="S57" s="9">
        <f>N20</f>
        <v>22.530846141785943</v>
      </c>
      <c r="T57" s="2" t="s">
        <v>23</v>
      </c>
    </row>
    <row r="58" spans="2:20" ht="17.25">
      <c r="B58" s="16" t="s">
        <v>288</v>
      </c>
      <c r="C58" s="9">
        <f>V28</f>
        <v>1133.0794520547929</v>
      </c>
      <c r="D58" s="2" t="s">
        <v>289</v>
      </c>
      <c r="F58" s="17" t="s">
        <v>316</v>
      </c>
      <c r="G58" s="5">
        <v>24</v>
      </c>
      <c r="H58" s="5" t="s">
        <v>317</v>
      </c>
      <c r="J58" s="17" t="s">
        <v>316</v>
      </c>
      <c r="K58" s="97">
        <f>10/60</f>
        <v>0.16666666666666666</v>
      </c>
      <c r="L58" s="5" t="s">
        <v>317</v>
      </c>
      <c r="N58" s="17" t="s">
        <v>318</v>
      </c>
      <c r="O58" s="7">
        <f>(O57/100)*M24</f>
        <v>8.9702123287671114</v>
      </c>
      <c r="P58" s="5" t="s">
        <v>274</v>
      </c>
      <c r="R58" s="17" t="s">
        <v>65</v>
      </c>
      <c r="S58" s="2">
        <v>24</v>
      </c>
      <c r="T58" s="2" t="s">
        <v>317</v>
      </c>
    </row>
    <row r="59" spans="2:20" ht="17.25">
      <c r="B59" s="16" t="s">
        <v>70</v>
      </c>
      <c r="C59" s="2">
        <f>R30/100</f>
        <v>0.04</v>
      </c>
      <c r="D59" s="2" t="s">
        <v>319</v>
      </c>
      <c r="F59" s="17" t="s">
        <v>320</v>
      </c>
      <c r="G59" s="2">
        <v>43.5</v>
      </c>
      <c r="H59" s="5" t="s">
        <v>287</v>
      </c>
      <c r="J59" s="17" t="s">
        <v>321</v>
      </c>
      <c r="K59" s="5">
        <v>50</v>
      </c>
      <c r="L59" s="5" t="s">
        <v>322</v>
      </c>
      <c r="N59" s="17" t="s">
        <v>323</v>
      </c>
      <c r="O59" s="5">
        <v>10</v>
      </c>
      <c r="P59" s="5" t="s">
        <v>324</v>
      </c>
      <c r="R59" s="17" t="s">
        <v>288</v>
      </c>
      <c r="S59" s="9">
        <f>S57*(S58/24)</f>
        <v>22.530846141785943</v>
      </c>
      <c r="T59" s="2" t="s">
        <v>289</v>
      </c>
    </row>
    <row r="60" spans="2:20" ht="17.25">
      <c r="B60" s="16" t="s">
        <v>323</v>
      </c>
      <c r="C60" s="5">
        <v>50</v>
      </c>
      <c r="D60" s="2" t="s">
        <v>33</v>
      </c>
      <c r="F60" s="17" t="s">
        <v>325</v>
      </c>
      <c r="G60" s="315">
        <f>ROUND(G57/G59,0)</f>
        <v>6</v>
      </c>
      <c r="H60" s="316"/>
      <c r="J60" s="17" t="s">
        <v>326</v>
      </c>
      <c r="K60" s="9">
        <f>K59*L24</f>
        <v>22425.530821917779</v>
      </c>
      <c r="L60" s="5" t="s">
        <v>327</v>
      </c>
      <c r="N60" s="17" t="s">
        <v>328</v>
      </c>
      <c r="O60" s="7">
        <f>O58*O59</f>
        <v>89.702123287671114</v>
      </c>
      <c r="P60" s="5" t="s">
        <v>329</v>
      </c>
    </row>
    <row r="61" spans="2:20">
      <c r="B61" s="16" t="s">
        <v>328</v>
      </c>
      <c r="C61" s="9">
        <f>C58*C60</f>
        <v>56653.972602739646</v>
      </c>
      <c r="D61" s="2" t="s">
        <v>228</v>
      </c>
      <c r="F61" s="17" t="s">
        <v>330</v>
      </c>
      <c r="G61" s="315">
        <f>G60+2</f>
        <v>8</v>
      </c>
      <c r="H61" s="269"/>
      <c r="N61" s="17" t="s">
        <v>65</v>
      </c>
      <c r="O61" s="2">
        <v>4</v>
      </c>
      <c r="P61" s="5" t="s">
        <v>317</v>
      </c>
    </row>
    <row r="62" spans="2:20" ht="17.25">
      <c r="B62" s="16" t="s">
        <v>65</v>
      </c>
      <c r="C62" s="2">
        <v>24</v>
      </c>
      <c r="D62" s="2" t="s">
        <v>317</v>
      </c>
      <c r="N62" s="17" t="s">
        <v>288</v>
      </c>
      <c r="O62" s="7">
        <f>(M20/24)*O61</f>
        <v>3.7375884703196292</v>
      </c>
      <c r="P62" s="2" t="s">
        <v>289</v>
      </c>
    </row>
    <row r="63" spans="2:20">
      <c r="N63" s="17" t="s">
        <v>331</v>
      </c>
      <c r="O63" s="9">
        <v>105.31531986816982</v>
      </c>
      <c r="P63" s="5" t="s">
        <v>274</v>
      </c>
    </row>
    <row r="65" spans="2:25" ht="20.25" thickBot="1">
      <c r="B65" s="291" t="s">
        <v>332</v>
      </c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S65" s="317" t="s">
        <v>333</v>
      </c>
      <c r="T65" s="317"/>
      <c r="U65" s="317"/>
      <c r="V65" s="317"/>
      <c r="W65" s="317"/>
      <c r="X65" s="317"/>
      <c r="Y65" s="317"/>
    </row>
    <row r="66" spans="2:25" ht="15.75" thickTop="1"/>
    <row r="67" spans="2:25" ht="17.25">
      <c r="B67" s="303" t="s">
        <v>334</v>
      </c>
      <c r="C67" s="303"/>
      <c r="D67" s="303"/>
      <c r="E67" s="303"/>
      <c r="F67" s="303"/>
      <c r="G67" s="303"/>
      <c r="I67" s="303" t="s">
        <v>334</v>
      </c>
      <c r="J67" s="303"/>
      <c r="K67" s="303"/>
      <c r="L67" s="303"/>
      <c r="M67" s="303"/>
      <c r="N67" s="303"/>
      <c r="O67" s="303"/>
      <c r="P67" s="303"/>
      <c r="S67" s="285" t="s">
        <v>335</v>
      </c>
      <c r="T67" s="7">
        <f>M20</f>
        <v>22.425530821917775</v>
      </c>
      <c r="U67" s="5" t="s">
        <v>23</v>
      </c>
      <c r="W67" s="285" t="s">
        <v>336</v>
      </c>
      <c r="X67" s="285"/>
      <c r="Y67" s="285"/>
    </row>
    <row r="68" spans="2:25">
      <c r="B68" s="31" t="s">
        <v>337</v>
      </c>
      <c r="C68" s="308" t="s">
        <v>338</v>
      </c>
      <c r="D68" s="308"/>
      <c r="E68" s="31" t="s">
        <v>339</v>
      </c>
      <c r="F68" s="308" t="s">
        <v>340</v>
      </c>
      <c r="G68" s="308"/>
      <c r="I68" s="31" t="s">
        <v>341</v>
      </c>
      <c r="J68" s="31" t="s">
        <v>342</v>
      </c>
      <c r="K68" s="308" t="s">
        <v>340</v>
      </c>
      <c r="L68" s="308"/>
      <c r="M68" s="31" t="s">
        <v>339</v>
      </c>
      <c r="N68" s="31" t="s">
        <v>343</v>
      </c>
      <c r="O68" s="31" t="s">
        <v>214</v>
      </c>
      <c r="P68" s="31" t="s">
        <v>17</v>
      </c>
      <c r="S68" s="285"/>
      <c r="T68" s="7">
        <f>M21</f>
        <v>22425.530821917775</v>
      </c>
      <c r="U68" s="2" t="s">
        <v>274</v>
      </c>
      <c r="W68" s="309" t="s">
        <v>271</v>
      </c>
      <c r="X68" s="2">
        <f>X70*X71*(X72-X73)/1000</f>
        <v>1874774.376712326</v>
      </c>
      <c r="Y68" s="2" t="s">
        <v>344</v>
      </c>
    </row>
    <row r="69" spans="2:25" ht="17.25">
      <c r="B69" s="2">
        <v>1</v>
      </c>
      <c r="C69" s="2">
        <v>4</v>
      </c>
      <c r="D69" s="2" t="s">
        <v>345</v>
      </c>
      <c r="E69" s="20">
        <f>6000*(1+($E$88/100))</f>
        <v>6774</v>
      </c>
      <c r="F69" s="9">
        <f>(C124*C123)/C122</f>
        <v>15.737214611872124</v>
      </c>
      <c r="G69" s="2" t="s">
        <v>345</v>
      </c>
      <c r="I69" s="1">
        <v>1</v>
      </c>
      <c r="J69" s="1" t="s">
        <v>346</v>
      </c>
      <c r="K69" s="9">
        <f>+IF(F69/C69&lt;1,C69,IF(F69/C69&lt;10,F69,F69/(1+INT(F69/(C69*10)))))</f>
        <v>15.737214611872124</v>
      </c>
      <c r="L69" s="2" t="s">
        <v>345</v>
      </c>
      <c r="M69" s="20">
        <f>E69*(K69/C69)^$D$86</f>
        <v>21701.156903190928</v>
      </c>
      <c r="N69" s="2">
        <f>+IF(B69=1,ROUNDUP(F69/K69,0),0)</f>
        <v>1</v>
      </c>
      <c r="O69" s="20">
        <f>M69*N69</f>
        <v>21701.156903190928</v>
      </c>
      <c r="P69" s="35">
        <f t="shared" ref="P69:P81" si="4">(O69/$O$85)</f>
        <v>8.5355583529867801E-2</v>
      </c>
      <c r="S69" s="132" t="s">
        <v>347</v>
      </c>
      <c r="T69" s="5">
        <v>30</v>
      </c>
      <c r="U69" s="5" t="s">
        <v>348</v>
      </c>
      <c r="W69" s="309"/>
      <c r="X69" s="9">
        <f>X68/(24*60*60)</f>
        <v>21.698777508244515</v>
      </c>
      <c r="Y69" s="2" t="s">
        <v>349</v>
      </c>
    </row>
    <row r="70" spans="2:25" ht="17.25">
      <c r="B70" s="2">
        <v>1</v>
      </c>
      <c r="C70" s="2">
        <v>200</v>
      </c>
      <c r="D70" s="2" t="s">
        <v>345</v>
      </c>
      <c r="E70" s="20">
        <f>2500*(1+($E$88/100))</f>
        <v>2822.5</v>
      </c>
      <c r="F70" s="9">
        <f>C125*C124*60</f>
        <v>679.84767123287577</v>
      </c>
      <c r="G70" s="2" t="s">
        <v>345</v>
      </c>
      <c r="I70" s="1">
        <v>2</v>
      </c>
      <c r="J70" s="1" t="s">
        <v>350</v>
      </c>
      <c r="K70" s="9">
        <f>+IF(F70/C70&lt;1,C70,IF(F70/C70&lt;10,F70,F70/(1+INT(F70/(C70*10)))))</f>
        <v>679.84767123287577</v>
      </c>
      <c r="L70" s="2" t="s">
        <v>345</v>
      </c>
      <c r="M70" s="20">
        <f t="shared" ref="M70:M81" si="5">E70*(K70/C70)^$D$86</f>
        <v>7985.6142295367463</v>
      </c>
      <c r="N70" s="2">
        <f>+IF(B70=1,ROUNDUP(F70/K70,0),0)</f>
        <v>1</v>
      </c>
      <c r="O70" s="20">
        <f>M70*N70</f>
        <v>7985.6142295367463</v>
      </c>
      <c r="P70" s="35">
        <f t="shared" si="4"/>
        <v>3.1409236173316646E-2</v>
      </c>
      <c r="S70" s="132" t="s">
        <v>351</v>
      </c>
      <c r="T70" s="5">
        <v>50</v>
      </c>
      <c r="U70" s="5" t="s">
        <v>348</v>
      </c>
      <c r="W70" s="29" t="s">
        <v>335</v>
      </c>
      <c r="X70" s="9">
        <f>T68</f>
        <v>22425.530821917775</v>
      </c>
      <c r="Y70" s="2" t="s">
        <v>274</v>
      </c>
    </row>
    <row r="71" spans="2:25" ht="18">
      <c r="B71" s="2">
        <v>1</v>
      </c>
      <c r="C71" s="2">
        <v>4</v>
      </c>
      <c r="D71" s="2" t="s">
        <v>352</v>
      </c>
      <c r="E71" s="20">
        <f>500*(1+($E$88/100))</f>
        <v>564.5</v>
      </c>
      <c r="F71" s="9">
        <f>(C127*C124*C126)/C122</f>
        <v>29.507277397260236</v>
      </c>
      <c r="G71" s="2" t="s">
        <v>352</v>
      </c>
      <c r="I71" s="1">
        <v>3</v>
      </c>
      <c r="J71" s="1" t="s">
        <v>353</v>
      </c>
      <c r="K71" s="9">
        <f t="shared" ref="K71:K84" si="6">+IF(F71/C71&lt;1,C71,IF(F71/C71&lt;10,F71,F71/(1+INT(F71/(C71*10)))))</f>
        <v>29.507277397260236</v>
      </c>
      <c r="L71" s="2" t="s">
        <v>352</v>
      </c>
      <c r="M71" s="20">
        <f t="shared" si="5"/>
        <v>3085.6930490457139</v>
      </c>
      <c r="N71" s="2">
        <f t="shared" ref="N71:N84" si="7">+IF(B71=1,ROUNDUP(F71/K71,0),0)</f>
        <v>1</v>
      </c>
      <c r="O71" s="20">
        <f t="shared" ref="O71:O84" si="8">M71*N71</f>
        <v>3085.6930490457139</v>
      </c>
      <c r="P71" s="35">
        <f t="shared" si="4"/>
        <v>1.2136732247515637E-2</v>
      </c>
      <c r="W71" s="29" t="s">
        <v>354</v>
      </c>
      <c r="X71" s="2">
        <v>4180</v>
      </c>
      <c r="Y71" s="2" t="s">
        <v>355</v>
      </c>
    </row>
    <row r="72" spans="2:25" ht="17.25">
      <c r="B72" s="2">
        <v>1</v>
      </c>
      <c r="C72" s="2">
        <v>200</v>
      </c>
      <c r="D72" s="2" t="s">
        <v>289</v>
      </c>
      <c r="E72" s="20">
        <f>C60*C72</f>
        <v>10000</v>
      </c>
      <c r="F72" s="9">
        <f>C124</f>
        <v>1133.0794520547929</v>
      </c>
      <c r="G72" s="2" t="s">
        <v>289</v>
      </c>
      <c r="I72" s="1">
        <v>4</v>
      </c>
      <c r="J72" s="1" t="s">
        <v>308</v>
      </c>
      <c r="K72" s="9">
        <f t="shared" si="6"/>
        <v>1133.0794520547929</v>
      </c>
      <c r="L72" s="2" t="s">
        <v>289</v>
      </c>
      <c r="M72" s="20">
        <f t="shared" si="5"/>
        <v>43676.297243828347</v>
      </c>
      <c r="N72" s="2">
        <f t="shared" si="7"/>
        <v>1</v>
      </c>
      <c r="O72" s="20">
        <f t="shared" si="8"/>
        <v>43676.297243828347</v>
      </c>
      <c r="P72" s="35">
        <f t="shared" si="4"/>
        <v>0.17178880620520098</v>
      </c>
      <c r="W72" s="29" t="s">
        <v>356</v>
      </c>
      <c r="X72" s="2">
        <f>T70</f>
        <v>50</v>
      </c>
      <c r="Y72" s="2" t="s">
        <v>348</v>
      </c>
    </row>
    <row r="73" spans="2:25" ht="17.25">
      <c r="B73" s="2">
        <v>1</v>
      </c>
      <c r="C73" s="2">
        <v>1</v>
      </c>
      <c r="D73" s="2" t="s">
        <v>289</v>
      </c>
      <c r="E73" s="20">
        <f>500*(1+($E$88/100))</f>
        <v>564.5</v>
      </c>
      <c r="F73" s="9">
        <f>F69</f>
        <v>15.737214611872124</v>
      </c>
      <c r="G73" s="2" t="s">
        <v>289</v>
      </c>
      <c r="H73" s="93"/>
      <c r="I73" s="1">
        <v>5</v>
      </c>
      <c r="J73" s="1" t="s">
        <v>357</v>
      </c>
      <c r="K73" s="9">
        <f t="shared" si="6"/>
        <v>7.8686073059360622</v>
      </c>
      <c r="L73" s="2" t="s">
        <v>289</v>
      </c>
      <c r="M73" s="20">
        <f t="shared" si="5"/>
        <v>3259.6962830318389</v>
      </c>
      <c r="N73" s="2">
        <f t="shared" si="7"/>
        <v>2</v>
      </c>
      <c r="O73" s="20">
        <f t="shared" si="8"/>
        <v>6519.3925660636778</v>
      </c>
      <c r="P73" s="35">
        <f t="shared" si="4"/>
        <v>2.564225304757024E-2</v>
      </c>
      <c r="W73" s="29" t="s">
        <v>358</v>
      </c>
      <c r="X73" s="2">
        <f>T69</f>
        <v>30</v>
      </c>
      <c r="Y73" s="2" t="s">
        <v>348</v>
      </c>
    </row>
    <row r="74" spans="2:25" ht="17.25">
      <c r="B74" s="2">
        <v>1</v>
      </c>
      <c r="C74" s="2">
        <f>G59</f>
        <v>43.5</v>
      </c>
      <c r="D74" s="2" t="s">
        <v>287</v>
      </c>
      <c r="E74" s="20">
        <v>6000</v>
      </c>
      <c r="F74" s="9">
        <f>G57</f>
        <v>245.89397831050195</v>
      </c>
      <c r="G74" s="2" t="s">
        <v>287</v>
      </c>
      <c r="I74" s="1">
        <v>6</v>
      </c>
      <c r="J74" s="157" t="s">
        <v>359</v>
      </c>
      <c r="K74" s="9">
        <f t="shared" si="6"/>
        <v>245.89397831050195</v>
      </c>
      <c r="L74" s="2" t="s">
        <v>287</v>
      </c>
      <c r="M74" s="20">
        <f t="shared" si="5"/>
        <v>26155.985708899272</v>
      </c>
      <c r="N74" s="2">
        <f t="shared" si="7"/>
        <v>1</v>
      </c>
      <c r="O74" s="20">
        <f t="shared" si="8"/>
        <v>26155.985708899272</v>
      </c>
      <c r="P74" s="35">
        <f t="shared" si="4"/>
        <v>0.10287743796063269</v>
      </c>
    </row>
    <row r="75" spans="2:25" ht="17.25">
      <c r="B75" s="2">
        <v>1</v>
      </c>
      <c r="C75" s="9">
        <f>C76</f>
        <v>3.74</v>
      </c>
      <c r="D75" s="2" t="s">
        <v>289</v>
      </c>
      <c r="E75" s="20">
        <f>E76*0.25</f>
        <v>16050</v>
      </c>
      <c r="F75" s="9">
        <f>O62</f>
        <v>3.7375884703196292</v>
      </c>
      <c r="G75" s="2" t="s">
        <v>289</v>
      </c>
      <c r="I75" s="1">
        <v>7</v>
      </c>
      <c r="J75" s="157" t="s">
        <v>360</v>
      </c>
      <c r="K75" s="9">
        <f t="shared" si="6"/>
        <v>3.74</v>
      </c>
      <c r="L75" s="2" t="s">
        <v>289</v>
      </c>
      <c r="M75" s="20">
        <f t="shared" si="5"/>
        <v>16050</v>
      </c>
      <c r="N75" s="2">
        <f t="shared" si="7"/>
        <v>1</v>
      </c>
      <c r="O75" s="20">
        <f t="shared" si="8"/>
        <v>16050</v>
      </c>
      <c r="P75" s="35">
        <f t="shared" si="4"/>
        <v>6.312829872461502E-2</v>
      </c>
      <c r="W75" s="256" t="s">
        <v>361</v>
      </c>
      <c r="X75" s="256"/>
      <c r="Y75" s="256"/>
    </row>
    <row r="76" spans="2:25" ht="17.25">
      <c r="B76" s="2">
        <v>1</v>
      </c>
      <c r="C76" s="9">
        <f>E204</f>
        <v>3.74</v>
      </c>
      <c r="D76" s="2" t="s">
        <v>289</v>
      </c>
      <c r="E76" s="20">
        <f>J204</f>
        <v>64200</v>
      </c>
      <c r="F76" s="9">
        <f>O62</f>
        <v>3.7375884703196292</v>
      </c>
      <c r="G76" s="2" t="s">
        <v>289</v>
      </c>
      <c r="I76" s="1">
        <v>8</v>
      </c>
      <c r="J76" s="157" t="s">
        <v>362</v>
      </c>
      <c r="K76" s="9">
        <f t="shared" si="6"/>
        <v>3.74</v>
      </c>
      <c r="L76" s="2" t="s">
        <v>289</v>
      </c>
      <c r="M76" s="20">
        <f t="shared" si="5"/>
        <v>64200</v>
      </c>
      <c r="N76" s="2">
        <f t="shared" si="7"/>
        <v>1</v>
      </c>
      <c r="O76" s="20">
        <f t="shared" si="8"/>
        <v>64200</v>
      </c>
      <c r="P76" s="35">
        <f t="shared" si="4"/>
        <v>0.25251319489846008</v>
      </c>
      <c r="W76" s="29" t="s">
        <v>271</v>
      </c>
      <c r="X76" s="127">
        <f>X69</f>
        <v>21.698777508244515</v>
      </c>
      <c r="Y76" s="2" t="s">
        <v>349</v>
      </c>
    </row>
    <row r="77" spans="2:25" ht="17.25">
      <c r="B77" s="2">
        <v>1</v>
      </c>
      <c r="C77" s="9">
        <f>E208</f>
        <v>22.89</v>
      </c>
      <c r="D77" s="2" t="s">
        <v>289</v>
      </c>
      <c r="E77" s="20">
        <f>J208</f>
        <v>30400</v>
      </c>
      <c r="F77" s="9">
        <f>S59</f>
        <v>22.530846141785943</v>
      </c>
      <c r="G77" s="2" t="s">
        <v>289</v>
      </c>
      <c r="I77" s="1">
        <v>9</v>
      </c>
      <c r="J77" s="157" t="s">
        <v>363</v>
      </c>
      <c r="K77" s="9">
        <f t="shared" si="6"/>
        <v>22.89</v>
      </c>
      <c r="L77" s="2" t="s">
        <v>289</v>
      </c>
      <c r="M77" s="20">
        <f t="shared" si="5"/>
        <v>30400</v>
      </c>
      <c r="N77" s="2">
        <f t="shared" si="7"/>
        <v>1</v>
      </c>
      <c r="O77" s="32">
        <f t="shared" si="8"/>
        <v>30400</v>
      </c>
      <c r="P77" s="35">
        <f t="shared" si="4"/>
        <v>0.11957011097995618</v>
      </c>
      <c r="W77" s="29" t="s">
        <v>364</v>
      </c>
      <c r="X77" s="2">
        <v>2200.6999999999998</v>
      </c>
      <c r="Y77" s="2" t="s">
        <v>365</v>
      </c>
    </row>
    <row r="78" spans="2:25" ht="17.25">
      <c r="B78" s="2">
        <v>1</v>
      </c>
      <c r="C78" s="9">
        <f>C194/1000</f>
        <v>1.5737214611872146</v>
      </c>
      <c r="D78" s="2" t="s">
        <v>345</v>
      </c>
      <c r="E78" s="211">
        <f>J194</f>
        <v>4780</v>
      </c>
      <c r="F78" s="9">
        <f>D20/24</f>
        <v>1.5737214611872126</v>
      </c>
      <c r="G78" s="2" t="s">
        <v>345</v>
      </c>
      <c r="I78" s="1">
        <v>10</v>
      </c>
      <c r="J78" s="1" t="s">
        <v>366</v>
      </c>
      <c r="K78" s="9">
        <f t="shared" si="6"/>
        <v>1.5737214611872146</v>
      </c>
      <c r="L78" s="2" t="s">
        <v>345</v>
      </c>
      <c r="M78" s="20">
        <f t="shared" si="5"/>
        <v>4780</v>
      </c>
      <c r="N78" s="2">
        <f t="shared" si="7"/>
        <v>1</v>
      </c>
      <c r="O78" s="32">
        <f t="shared" si="8"/>
        <v>4780</v>
      </c>
      <c r="P78" s="35">
        <f t="shared" si="4"/>
        <v>1.8800826660664162E-2</v>
      </c>
      <c r="W78" s="309" t="s">
        <v>367</v>
      </c>
      <c r="X78" s="9">
        <f>X76/X77</f>
        <v>9.8599434308376949E-3</v>
      </c>
      <c r="Y78" s="2" t="s">
        <v>368</v>
      </c>
    </row>
    <row r="79" spans="2:25" ht="17.25">
      <c r="B79" s="2">
        <v>1</v>
      </c>
      <c r="C79" s="9">
        <f t="shared" ref="C79:C84" si="9">C195/1000</f>
        <v>9.245613584474885</v>
      </c>
      <c r="D79" s="2" t="s">
        <v>345</v>
      </c>
      <c r="E79" s="20">
        <f t="shared" ref="E79:E84" si="10">J195</f>
        <v>5230</v>
      </c>
      <c r="F79" s="9">
        <f>E20/24</f>
        <v>9.2456135844748726</v>
      </c>
      <c r="G79" s="2" t="s">
        <v>345</v>
      </c>
      <c r="I79" s="1">
        <v>11</v>
      </c>
      <c r="J79" s="1" t="s">
        <v>369</v>
      </c>
      <c r="K79" s="9">
        <f t="shared" si="6"/>
        <v>9.245613584474885</v>
      </c>
      <c r="L79" s="2" t="s">
        <v>345</v>
      </c>
      <c r="M79" s="20">
        <f t="shared" si="5"/>
        <v>5230</v>
      </c>
      <c r="N79" s="2">
        <f t="shared" si="7"/>
        <v>1</v>
      </c>
      <c r="O79" s="32">
        <f t="shared" si="8"/>
        <v>5230</v>
      </c>
      <c r="P79" s="35">
        <f t="shared" si="4"/>
        <v>2.0570778961354303E-2</v>
      </c>
      <c r="W79" s="309"/>
      <c r="X79" s="9">
        <f>X78*24*60*60</f>
        <v>851.89911242437677</v>
      </c>
      <c r="Y79" s="2" t="s">
        <v>370</v>
      </c>
    </row>
    <row r="80" spans="2:25" ht="17.25">
      <c r="B80" s="2">
        <v>1</v>
      </c>
      <c r="C80" s="9">
        <f t="shared" si="9"/>
        <v>4.9178795662100443</v>
      </c>
      <c r="D80" s="2" t="s">
        <v>345</v>
      </c>
      <c r="E80" s="20">
        <f t="shared" si="10"/>
        <v>5000</v>
      </c>
      <c r="F80" s="9">
        <f>F20/24</f>
        <v>4.917879566210039</v>
      </c>
      <c r="G80" s="2" t="s">
        <v>345</v>
      </c>
      <c r="I80" s="1">
        <v>12</v>
      </c>
      <c r="J80" s="1" t="s">
        <v>371</v>
      </c>
      <c r="K80" s="9">
        <f t="shared" si="6"/>
        <v>4.9178795662100443</v>
      </c>
      <c r="L80" s="2" t="s">
        <v>345</v>
      </c>
      <c r="M80" s="20">
        <f t="shared" si="5"/>
        <v>5000</v>
      </c>
      <c r="N80" s="2">
        <f t="shared" si="7"/>
        <v>1</v>
      </c>
      <c r="O80" s="32">
        <f t="shared" si="8"/>
        <v>5000</v>
      </c>
      <c r="P80" s="35">
        <f t="shared" si="4"/>
        <v>1.9666136674334898E-2</v>
      </c>
      <c r="W80" s="29" t="s">
        <v>227</v>
      </c>
      <c r="X80" s="2">
        <v>120</v>
      </c>
      <c r="Y80" s="2" t="s">
        <v>348</v>
      </c>
    </row>
    <row r="81" spans="2:16" ht="17.25">
      <c r="B81" s="2">
        <v>1</v>
      </c>
      <c r="C81" s="9">
        <f t="shared" si="9"/>
        <v>9.8357591324200886</v>
      </c>
      <c r="D81" s="2" t="s">
        <v>345</v>
      </c>
      <c r="E81" s="20">
        <f t="shared" si="10"/>
        <v>5340</v>
      </c>
      <c r="F81" s="9">
        <f>I20/24</f>
        <v>9.8357591324200779</v>
      </c>
      <c r="G81" s="2" t="s">
        <v>345</v>
      </c>
      <c r="I81" s="1">
        <v>13</v>
      </c>
      <c r="J81" s="1" t="s">
        <v>372</v>
      </c>
      <c r="K81" s="9">
        <f t="shared" si="6"/>
        <v>9.8357591324200886</v>
      </c>
      <c r="L81" s="2" t="s">
        <v>345</v>
      </c>
      <c r="M81" s="20">
        <f t="shared" si="5"/>
        <v>5340</v>
      </c>
      <c r="N81" s="2">
        <f t="shared" si="7"/>
        <v>1</v>
      </c>
      <c r="O81" s="32">
        <f t="shared" si="8"/>
        <v>5340</v>
      </c>
      <c r="P81" s="35">
        <f t="shared" si="4"/>
        <v>2.1003433968189669E-2</v>
      </c>
    </row>
    <row r="82" spans="2:16" ht="17.25">
      <c r="B82" s="2">
        <v>1</v>
      </c>
      <c r="C82" s="9">
        <f t="shared" si="9"/>
        <v>0.93439711757990851</v>
      </c>
      <c r="D82" s="2" t="s">
        <v>345</v>
      </c>
      <c r="E82" s="20">
        <f t="shared" si="10"/>
        <v>4780</v>
      </c>
      <c r="F82" s="9">
        <f>L20/24</f>
        <v>0.93439711757990729</v>
      </c>
      <c r="G82" s="2" t="s">
        <v>345</v>
      </c>
      <c r="I82" s="1">
        <v>14</v>
      </c>
      <c r="J82" s="1" t="s">
        <v>373</v>
      </c>
      <c r="K82" s="9">
        <f t="shared" si="6"/>
        <v>0.93439711757990851</v>
      </c>
      <c r="L82" s="2" t="s">
        <v>345</v>
      </c>
      <c r="M82" s="20">
        <f>E82*(K82/C82)^$D$86</f>
        <v>4780</v>
      </c>
      <c r="N82" s="2">
        <f t="shared" si="7"/>
        <v>1</v>
      </c>
      <c r="O82" s="32">
        <f t="shared" si="8"/>
        <v>4780</v>
      </c>
      <c r="P82" s="35">
        <f>(O82/$O$85)</f>
        <v>1.8800826660664162E-2</v>
      </c>
    </row>
    <row r="83" spans="2:16" ht="17.25">
      <c r="B83" s="2">
        <v>1</v>
      </c>
      <c r="C83" s="9">
        <f t="shared" si="9"/>
        <v>0.93439711757990851</v>
      </c>
      <c r="D83" s="2" t="s">
        <v>345</v>
      </c>
      <c r="E83" s="20">
        <f t="shared" si="10"/>
        <v>4780</v>
      </c>
      <c r="F83" s="9">
        <f>M20/24</f>
        <v>0.93439711757990729</v>
      </c>
      <c r="G83" s="2" t="s">
        <v>345</v>
      </c>
      <c r="I83" s="1">
        <v>15</v>
      </c>
      <c r="J83" s="1" t="s">
        <v>374</v>
      </c>
      <c r="K83" s="9">
        <f t="shared" si="6"/>
        <v>0.93439711757990851</v>
      </c>
      <c r="L83" s="2" t="s">
        <v>345</v>
      </c>
      <c r="M83" s="20">
        <f>E83*(K83/C83)^$D$86</f>
        <v>4780</v>
      </c>
      <c r="N83" s="2">
        <f t="shared" si="7"/>
        <v>1</v>
      </c>
      <c r="O83" s="32">
        <f t="shared" si="8"/>
        <v>4780</v>
      </c>
      <c r="P83" s="35">
        <f>(O83/$O$85)</f>
        <v>1.8800826660664162E-2</v>
      </c>
    </row>
    <row r="84" spans="2:16" ht="18" thickBot="1">
      <c r="B84" s="2">
        <v>1</v>
      </c>
      <c r="C84" s="9">
        <f t="shared" si="9"/>
        <v>0.95355225849029657</v>
      </c>
      <c r="D84" s="2" t="s">
        <v>345</v>
      </c>
      <c r="E84" s="20">
        <f t="shared" si="10"/>
        <v>4560</v>
      </c>
      <c r="F84" s="9">
        <f>N20/24</f>
        <v>0.93878525590774764</v>
      </c>
      <c r="G84" s="2" t="s">
        <v>345</v>
      </c>
      <c r="I84" s="1">
        <v>16</v>
      </c>
      <c r="J84" s="1" t="s">
        <v>375</v>
      </c>
      <c r="K84" s="9">
        <f t="shared" si="6"/>
        <v>0.95355225849029657</v>
      </c>
      <c r="L84" s="2" t="s">
        <v>345</v>
      </c>
      <c r="M84" s="20">
        <f>E84*(K84/C84)^$D$86</f>
        <v>4560</v>
      </c>
      <c r="N84" s="2">
        <f t="shared" si="7"/>
        <v>1</v>
      </c>
      <c r="O84" s="32">
        <f t="shared" si="8"/>
        <v>4560</v>
      </c>
      <c r="P84" s="35">
        <f>(O84/$O$85)</f>
        <v>1.7935516646993426E-2</v>
      </c>
    </row>
    <row r="85" spans="2:16" ht="15.75" thickBot="1">
      <c r="O85" s="33">
        <f>SUM(O69:O84)</f>
        <v>254244.13970056467</v>
      </c>
      <c r="P85" s="34">
        <f>SUM(P69:P84)</f>
        <v>1.0000000000000002</v>
      </c>
    </row>
    <row r="86" spans="2:16">
      <c r="B86" s="310" t="s">
        <v>376</v>
      </c>
      <c r="C86" s="310"/>
      <c r="D86" s="1">
        <v>0.85</v>
      </c>
      <c r="E86" s="1"/>
    </row>
    <row r="87" spans="2:16">
      <c r="B87" s="252" t="s">
        <v>377</v>
      </c>
      <c r="C87" s="252"/>
      <c r="D87" s="252"/>
      <c r="E87" s="1">
        <f>0.73+2.07+2.11+1.91+2.29+1.36</f>
        <v>10.469999999999999</v>
      </c>
      <c r="I87" s="303" t="s">
        <v>378</v>
      </c>
      <c r="J87" s="303"/>
      <c r="K87" s="303"/>
      <c r="L87" s="303"/>
      <c r="M87" s="303"/>
    </row>
    <row r="88" spans="2:16">
      <c r="B88" s="252" t="s">
        <v>379</v>
      </c>
      <c r="C88" s="252"/>
      <c r="D88" s="252"/>
      <c r="E88" s="1">
        <f>2.9+0.3-1+1.6+1.1+1.2+0.8-0.5+6.5</f>
        <v>12.9</v>
      </c>
      <c r="I88" s="31" t="s">
        <v>341</v>
      </c>
      <c r="J88" s="31" t="s">
        <v>342</v>
      </c>
      <c r="K88" s="31" t="s">
        <v>380</v>
      </c>
      <c r="L88" s="31" t="s">
        <v>381</v>
      </c>
      <c r="M88" s="31" t="s">
        <v>17</v>
      </c>
    </row>
    <row r="89" spans="2:16">
      <c r="I89" s="1">
        <v>1</v>
      </c>
      <c r="J89" s="1" t="s">
        <v>382</v>
      </c>
      <c r="K89" s="1">
        <v>1</v>
      </c>
      <c r="L89" s="21">
        <f>O85</f>
        <v>254244.13970056467</v>
      </c>
      <c r="M89" s="35">
        <f>(L89/$L$102)</f>
        <v>0.24390243902439024</v>
      </c>
    </row>
    <row r="90" spans="2:16">
      <c r="B90" s="310" t="s">
        <v>383</v>
      </c>
      <c r="C90" s="310"/>
      <c r="D90" s="310"/>
      <c r="F90" s="90" t="s">
        <v>384</v>
      </c>
      <c r="G90" s="90" t="s">
        <v>385</v>
      </c>
      <c r="I90" s="1">
        <v>2</v>
      </c>
      <c r="J90" s="1" t="s">
        <v>386</v>
      </c>
      <c r="K90" s="1">
        <v>0.38</v>
      </c>
      <c r="L90" s="21">
        <f>K90*$L$89</f>
        <v>96612.773086214584</v>
      </c>
      <c r="M90" s="35">
        <f t="shared" ref="M90:M101" si="11">(L90/$L$102)</f>
        <v>9.2682926829268306E-2</v>
      </c>
    </row>
    <row r="91" spans="2:16" ht="17.25">
      <c r="B91" s="52" t="s">
        <v>308</v>
      </c>
      <c r="C91" s="5">
        <v>50</v>
      </c>
      <c r="D91" s="2" t="s">
        <v>33</v>
      </c>
      <c r="F91" s="2">
        <v>24</v>
      </c>
      <c r="G91" s="2">
        <v>365</v>
      </c>
      <c r="I91" s="1">
        <v>3</v>
      </c>
      <c r="J91" s="1" t="s">
        <v>387</v>
      </c>
      <c r="K91" s="1">
        <v>0.12</v>
      </c>
      <c r="L91" s="21">
        <f>K91*$L$89</f>
        <v>30509.29676406776</v>
      </c>
      <c r="M91" s="35">
        <f t="shared" si="11"/>
        <v>2.9268292682926828E-2</v>
      </c>
      <c r="O91" s="75"/>
    </row>
    <row r="92" spans="2:16" ht="17.25">
      <c r="B92" s="52" t="s">
        <v>277</v>
      </c>
      <c r="C92" s="2">
        <v>0.05</v>
      </c>
      <c r="D92" s="2" t="s">
        <v>33</v>
      </c>
      <c r="I92" s="1">
        <v>4</v>
      </c>
      <c r="J92" s="1" t="s">
        <v>388</v>
      </c>
      <c r="K92" s="1">
        <v>0.31</v>
      </c>
      <c r="L92" s="21">
        <f>K92*$L$89</f>
        <v>78815.683307175044</v>
      </c>
      <c r="M92" s="35">
        <f t="shared" si="11"/>
        <v>7.5609756097560973E-2</v>
      </c>
    </row>
    <row r="93" spans="2:16" ht="18">
      <c r="B93" s="53" t="s">
        <v>143</v>
      </c>
      <c r="C93" s="2">
        <v>0.1</v>
      </c>
      <c r="D93" s="2" t="s">
        <v>324</v>
      </c>
      <c r="I93" s="1">
        <v>5</v>
      </c>
      <c r="J93" s="1" t="s">
        <v>389</v>
      </c>
      <c r="K93" s="1">
        <v>0.1</v>
      </c>
      <c r="L93" s="21">
        <f t="shared" ref="L93:L101" si="12">K93*$L$89</f>
        <v>25424.41397005647</v>
      </c>
      <c r="M93" s="35">
        <f t="shared" si="11"/>
        <v>2.4390243902439029E-2</v>
      </c>
    </row>
    <row r="94" spans="2:16">
      <c r="B94" s="52" t="s">
        <v>390</v>
      </c>
      <c r="C94" s="2">
        <v>0.3</v>
      </c>
      <c r="D94" s="2" t="s">
        <v>324</v>
      </c>
      <c r="I94" s="1">
        <v>6</v>
      </c>
      <c r="J94" s="1" t="s">
        <v>391</v>
      </c>
      <c r="K94" s="1">
        <v>0.28999999999999998</v>
      </c>
      <c r="L94" s="21">
        <f t="shared" si="12"/>
        <v>73730.800513163747</v>
      </c>
      <c r="M94" s="35">
        <f t="shared" si="11"/>
        <v>7.0731707317073164E-2</v>
      </c>
    </row>
    <row r="95" spans="2:16">
      <c r="B95" s="52" t="s">
        <v>321</v>
      </c>
      <c r="C95" s="2">
        <v>0.25</v>
      </c>
      <c r="D95" s="2" t="s">
        <v>9</v>
      </c>
      <c r="I95" s="1">
        <v>7</v>
      </c>
      <c r="J95" s="1" t="s">
        <v>392</v>
      </c>
      <c r="K95" s="1">
        <v>0.1</v>
      </c>
      <c r="L95" s="21">
        <f t="shared" si="12"/>
        <v>25424.41397005647</v>
      </c>
      <c r="M95" s="35">
        <f t="shared" si="11"/>
        <v>2.4390243902439029E-2</v>
      </c>
    </row>
    <row r="96" spans="2:16">
      <c r="B96" s="52" t="s">
        <v>393</v>
      </c>
      <c r="C96" s="2">
        <v>10</v>
      </c>
      <c r="D96" s="2" t="s">
        <v>324</v>
      </c>
      <c r="I96" s="1">
        <v>8</v>
      </c>
      <c r="J96" s="1" t="s">
        <v>394</v>
      </c>
      <c r="K96" s="1">
        <v>0.54</v>
      </c>
      <c r="L96" s="21">
        <f t="shared" si="12"/>
        <v>137291.83543830493</v>
      </c>
      <c r="M96" s="35">
        <f t="shared" si="11"/>
        <v>0.13170731707317074</v>
      </c>
    </row>
    <row r="97" spans="2:13" ht="17.25">
      <c r="B97" s="52" t="s">
        <v>395</v>
      </c>
      <c r="C97" s="2">
        <v>0.05</v>
      </c>
      <c r="D97" s="2" t="s">
        <v>33</v>
      </c>
      <c r="I97" s="1">
        <v>9</v>
      </c>
      <c r="J97" s="1" t="s">
        <v>396</v>
      </c>
      <c r="K97" s="1">
        <v>0.06</v>
      </c>
      <c r="L97" s="21">
        <f t="shared" si="12"/>
        <v>15254.64838203388</v>
      </c>
      <c r="M97" s="35">
        <f t="shared" si="11"/>
        <v>1.4634146341463414E-2</v>
      </c>
    </row>
    <row r="98" spans="2:13">
      <c r="B98" s="52" t="s">
        <v>331</v>
      </c>
      <c r="C98" s="2">
        <v>0.5</v>
      </c>
      <c r="D98" s="2" t="s">
        <v>324</v>
      </c>
      <c r="I98" s="1">
        <v>10</v>
      </c>
      <c r="J98" s="1" t="s">
        <v>397</v>
      </c>
      <c r="K98" s="1">
        <v>0.32</v>
      </c>
      <c r="L98" s="21">
        <f t="shared" si="12"/>
        <v>81358.124704180693</v>
      </c>
      <c r="M98" s="35">
        <f t="shared" si="11"/>
        <v>7.8048780487804878E-2</v>
      </c>
    </row>
    <row r="99" spans="2:13">
      <c r="B99" s="52" t="s">
        <v>398</v>
      </c>
      <c r="C99" s="2">
        <v>0.14000000000000001</v>
      </c>
      <c r="D99" s="2" t="s">
        <v>324</v>
      </c>
      <c r="I99" s="1">
        <v>11</v>
      </c>
      <c r="J99" s="1" t="s">
        <v>399</v>
      </c>
      <c r="K99" s="1">
        <v>0.34</v>
      </c>
      <c r="L99" s="21">
        <f t="shared" si="12"/>
        <v>86443.00749819199</v>
      </c>
      <c r="M99" s="35">
        <f t="shared" si="11"/>
        <v>8.2926829268292687E-2</v>
      </c>
    </row>
    <row r="100" spans="2:13">
      <c r="B100" s="311" t="s">
        <v>400</v>
      </c>
      <c r="C100" s="312"/>
      <c r="D100" s="313"/>
      <c r="E100" s="60"/>
      <c r="I100" s="1">
        <v>12</v>
      </c>
      <c r="J100" s="1" t="s">
        <v>401</v>
      </c>
      <c r="K100" s="1">
        <v>0.18</v>
      </c>
      <c r="L100" s="21">
        <f t="shared" si="12"/>
        <v>45763.945146101636</v>
      </c>
      <c r="M100" s="35">
        <f t="shared" si="11"/>
        <v>4.3902439024390241E-2</v>
      </c>
    </row>
    <row r="101" spans="2:13" ht="18" thickBot="1">
      <c r="B101" s="54" t="s">
        <v>402</v>
      </c>
      <c r="C101" s="2">
        <v>19</v>
      </c>
      <c r="D101" s="2" t="s">
        <v>403</v>
      </c>
      <c r="E101" s="60"/>
      <c r="I101" s="1">
        <v>13</v>
      </c>
      <c r="J101" s="1" t="s">
        <v>404</v>
      </c>
      <c r="K101" s="1">
        <v>0.36</v>
      </c>
      <c r="L101" s="24">
        <f t="shared" si="12"/>
        <v>91527.890292203272</v>
      </c>
      <c r="M101" s="36">
        <f t="shared" si="11"/>
        <v>8.7804878048780483E-2</v>
      </c>
    </row>
    <row r="102" spans="2:13" ht="15.75" thickBot="1">
      <c r="B102" s="304" t="s">
        <v>405</v>
      </c>
      <c r="C102" s="9">
        <f>(C101*C124)/1000</f>
        <v>21.528509589041068</v>
      </c>
      <c r="D102" s="2" t="s">
        <v>349</v>
      </c>
      <c r="L102" s="33">
        <f>SUM(L89:L101)</f>
        <v>1042400.9727723151</v>
      </c>
      <c r="M102" s="37">
        <f>SUM(M89:M101)</f>
        <v>1</v>
      </c>
    </row>
    <row r="103" spans="2:13">
      <c r="B103" s="305"/>
      <c r="C103" s="9">
        <f>(C102*F91)</f>
        <v>516.68423013698566</v>
      </c>
      <c r="D103" s="2" t="s">
        <v>406</v>
      </c>
      <c r="E103" s="75"/>
    </row>
    <row r="104" spans="2:13" ht="17.25">
      <c r="B104" s="54" t="s">
        <v>407</v>
      </c>
      <c r="C104" s="2">
        <v>1</v>
      </c>
      <c r="D104" s="2" t="s">
        <v>408</v>
      </c>
      <c r="E104" s="75"/>
      <c r="I104" s="303" t="s">
        <v>409</v>
      </c>
      <c r="J104" s="303"/>
      <c r="K104" s="303"/>
      <c r="L104" s="303"/>
      <c r="M104" s="303"/>
    </row>
    <row r="105" spans="2:13">
      <c r="B105" s="304" t="s">
        <v>410</v>
      </c>
      <c r="C105" s="9">
        <f>C104*O62</f>
        <v>3.7375884703196292</v>
      </c>
      <c r="D105" s="2" t="s">
        <v>411</v>
      </c>
      <c r="I105" s="38" t="s">
        <v>341</v>
      </c>
      <c r="J105" s="38" t="s">
        <v>342</v>
      </c>
      <c r="K105" s="38" t="s">
        <v>380</v>
      </c>
      <c r="L105" s="38" t="s">
        <v>381</v>
      </c>
      <c r="M105" s="39" t="s">
        <v>17</v>
      </c>
    </row>
    <row r="106" spans="2:13">
      <c r="B106" s="305"/>
      <c r="C106" s="9">
        <f>C105*F91</f>
        <v>89.7021232876711</v>
      </c>
      <c r="D106" s="2" t="s">
        <v>406</v>
      </c>
      <c r="I106" s="1">
        <v>1</v>
      </c>
      <c r="J106" s="1" t="s">
        <v>412</v>
      </c>
      <c r="K106" s="1">
        <v>10</v>
      </c>
      <c r="L106" s="1"/>
      <c r="M106" s="1"/>
    </row>
    <row r="107" spans="2:13">
      <c r="B107" s="54" t="s">
        <v>413</v>
      </c>
      <c r="C107" s="9">
        <f>C106+C103</f>
        <v>606.38635342465682</v>
      </c>
      <c r="D107" s="2" t="s">
        <v>406</v>
      </c>
      <c r="I107" s="1">
        <v>2</v>
      </c>
      <c r="J107" s="1" t="s">
        <v>414</v>
      </c>
      <c r="K107" s="1"/>
      <c r="L107" s="21">
        <f>(L102-L95)/K106</f>
        <v>101697.65588022587</v>
      </c>
      <c r="M107" s="35">
        <f>(L107/$L$111)</f>
        <v>0.82484431063636743</v>
      </c>
    </row>
    <row r="108" spans="2:13" ht="17.25">
      <c r="B108" s="54" t="s">
        <v>415</v>
      </c>
      <c r="C108" s="2" t="s">
        <v>12</v>
      </c>
      <c r="D108" s="2" t="s">
        <v>403</v>
      </c>
      <c r="I108" s="1">
        <v>3</v>
      </c>
      <c r="J108" s="1" t="s">
        <v>416</v>
      </c>
      <c r="K108" s="1">
        <v>0.01</v>
      </c>
      <c r="L108" s="21">
        <f>K108*$L$107</f>
        <v>1016.9765588022586</v>
      </c>
      <c r="M108" s="35">
        <f>(L108/$L$111)</f>
        <v>8.2484431063636742E-3</v>
      </c>
    </row>
    <row r="109" spans="2:13">
      <c r="B109" s="304" t="s">
        <v>417</v>
      </c>
      <c r="C109" s="7" t="s">
        <v>12</v>
      </c>
      <c r="D109" s="2" t="s">
        <v>411</v>
      </c>
      <c r="I109" s="1">
        <v>4</v>
      </c>
      <c r="J109" s="1" t="s">
        <v>418</v>
      </c>
      <c r="K109" s="1">
        <v>6.0000000000000001E-3</v>
      </c>
      <c r="L109" s="21">
        <f>K109*$L$107</f>
        <v>610.18593528135523</v>
      </c>
      <c r="M109" s="35">
        <f>(L109/$L$111)</f>
        <v>4.9490658638182052E-3</v>
      </c>
    </row>
    <row r="110" spans="2:13" ht="15.75" thickBot="1">
      <c r="B110" s="306"/>
      <c r="C110" s="9">
        <f>(C111/3600)*8</f>
        <v>49.834512937595065</v>
      </c>
      <c r="D110" s="2" t="s">
        <v>406</v>
      </c>
      <c r="I110" s="1">
        <v>5</v>
      </c>
      <c r="J110" s="1" t="s">
        <v>419</v>
      </c>
      <c r="K110" s="1">
        <v>0.21</v>
      </c>
      <c r="L110" s="24">
        <f>K110*SUM(L89:L100)/K106</f>
        <v>19968.334732082349</v>
      </c>
      <c r="M110" s="36">
        <f>(L110/$L$111)</f>
        <v>0.16195818039345075</v>
      </c>
    </row>
    <row r="111" spans="2:13" ht="15.75" thickBot="1">
      <c r="B111" s="307"/>
      <c r="C111" s="109">
        <f>K60</f>
        <v>22425.530821917779</v>
      </c>
      <c r="D111" s="107" t="s">
        <v>420</v>
      </c>
      <c r="L111" s="33">
        <f>SUM(L107:L110)</f>
        <v>123293.15310639182</v>
      </c>
      <c r="M111" s="37">
        <f>SUM(M107:M110)</f>
        <v>1</v>
      </c>
    </row>
    <row r="112" spans="2:13">
      <c r="B112" s="104" t="s">
        <v>421</v>
      </c>
      <c r="C112" s="105">
        <f>X69</f>
        <v>21.698777508244515</v>
      </c>
      <c r="D112" s="106" t="s">
        <v>349</v>
      </c>
      <c r="E112" s="60" t="s">
        <v>422</v>
      </c>
    </row>
    <row r="113" spans="2:31">
      <c r="B113" s="293" t="s">
        <v>423</v>
      </c>
      <c r="C113" s="7">
        <f>X79</f>
        <v>851.89911242437677</v>
      </c>
      <c r="D113" s="5" t="s">
        <v>274</v>
      </c>
      <c r="E113" s="60"/>
      <c r="I113" s="292" t="s">
        <v>424</v>
      </c>
      <c r="J113" s="292"/>
      <c r="K113" s="292"/>
      <c r="L113" s="292"/>
      <c r="M113" s="292"/>
      <c r="N113" s="292"/>
      <c r="Q113" s="300" t="s">
        <v>425</v>
      </c>
      <c r="R113" s="301"/>
      <c r="S113" s="302"/>
      <c r="U113" s="256" t="s">
        <v>426</v>
      </c>
      <c r="V113" s="256"/>
      <c r="W113" s="256"/>
      <c r="Z113" s="298" t="s">
        <v>135</v>
      </c>
      <c r="AA113" s="298"/>
      <c r="AB113" s="298" t="s">
        <v>427</v>
      </c>
      <c r="AC113" s="298"/>
      <c r="AD113" s="298" t="s">
        <v>428</v>
      </c>
      <c r="AE113" s="298"/>
    </row>
    <row r="114" spans="2:31" ht="17.25" customHeight="1">
      <c r="B114" s="294"/>
      <c r="C114" s="7">
        <f>C113/24</f>
        <v>35.495796351015699</v>
      </c>
      <c r="D114" s="5" t="s">
        <v>352</v>
      </c>
      <c r="I114" s="31" t="s">
        <v>341</v>
      </c>
      <c r="J114" s="31" t="s">
        <v>429</v>
      </c>
      <c r="K114" s="31" t="s">
        <v>430</v>
      </c>
      <c r="L114" s="31" t="s">
        <v>431</v>
      </c>
      <c r="M114" s="31" t="s">
        <v>381</v>
      </c>
      <c r="N114" s="31" t="s">
        <v>17</v>
      </c>
      <c r="Q114" s="129" t="s">
        <v>135</v>
      </c>
      <c r="R114" s="86">
        <f>M121</f>
        <v>81859.274625940903</v>
      </c>
      <c r="S114" s="128">
        <f>(R114/$R$117)</f>
        <v>0.20425345041547821</v>
      </c>
      <c r="U114" s="29" t="s">
        <v>4</v>
      </c>
      <c r="V114" s="20">
        <f>C155</f>
        <v>1063996.4699984812</v>
      </c>
      <c r="W114" s="35">
        <f>V114/$V$116</f>
        <v>0.72639174185685773</v>
      </c>
      <c r="X114" s="60" t="s">
        <v>432</v>
      </c>
      <c r="Z114" s="55" t="s">
        <v>433</v>
      </c>
      <c r="AA114" s="130">
        <f>N115</f>
        <v>0.18945959478469682</v>
      </c>
      <c r="AB114" s="55" t="s">
        <v>434</v>
      </c>
      <c r="AC114" s="130">
        <f>N123+N124+N125</f>
        <v>0.59657725749299406</v>
      </c>
      <c r="AD114" s="55" t="s">
        <v>428</v>
      </c>
      <c r="AE114" s="130">
        <f>N130</f>
        <v>0.28435077162620753</v>
      </c>
    </row>
    <row r="115" spans="2:31" ht="17.25" customHeight="1">
      <c r="B115" s="57" t="s">
        <v>435</v>
      </c>
      <c r="C115" s="7" t="str">
        <f>C109</f>
        <v>-</v>
      </c>
      <c r="D115" s="5" t="s">
        <v>349</v>
      </c>
      <c r="I115" s="1">
        <v>1</v>
      </c>
      <c r="J115" s="1" t="s">
        <v>436</v>
      </c>
      <c r="K115" s="1">
        <f>I24*C128*G91</f>
        <v>51696.749999999927</v>
      </c>
      <c r="L115" s="1">
        <f>C94</f>
        <v>0.3</v>
      </c>
      <c r="M115" s="21">
        <f t="shared" ref="M115:M120" si="13">K115*L115</f>
        <v>15509.024999999978</v>
      </c>
      <c r="N115" s="35">
        <f t="shared" ref="N115:N120" si="14">(M115/$M$121)</f>
        <v>0.18945959478469682</v>
      </c>
      <c r="Q115" s="29" t="s">
        <v>427</v>
      </c>
      <c r="R115" s="20">
        <f>M128</f>
        <v>107906.76890044112</v>
      </c>
      <c r="S115" s="128">
        <f>(R115/$R$117)</f>
        <v>0.2692465816709817</v>
      </c>
      <c r="U115" s="29" t="s">
        <v>5</v>
      </c>
      <c r="V115" s="20">
        <f>C156</f>
        <v>400773.03203166672</v>
      </c>
      <c r="W115" s="35">
        <f>V115/$V$116</f>
        <v>0.27360825814314232</v>
      </c>
      <c r="X115" s="60" t="s">
        <v>437</v>
      </c>
      <c r="Z115" s="55" t="s">
        <v>127</v>
      </c>
      <c r="AA115" s="130">
        <f>N116</f>
        <v>4.947000530489306E-2</v>
      </c>
      <c r="AB115" s="55" t="s">
        <v>438</v>
      </c>
      <c r="AC115" s="130">
        <f>N127</f>
        <v>0.40342274250700594</v>
      </c>
      <c r="AD115" s="55" t="s">
        <v>439</v>
      </c>
      <c r="AE115" s="130">
        <f t="shared" ref="AE115:AE122" si="15">N131</f>
        <v>5.6870154325241506E-2</v>
      </c>
    </row>
    <row r="116" spans="2:31" ht="18.75">
      <c r="B116" s="293" t="s">
        <v>440</v>
      </c>
      <c r="C116" s="7">
        <f>(C112*0.86)/(35-20)</f>
        <v>1.2440632438060188</v>
      </c>
      <c r="D116" s="5" t="s">
        <v>345</v>
      </c>
      <c r="E116" s="60" t="s">
        <v>441</v>
      </c>
      <c r="I116" s="1">
        <v>2</v>
      </c>
      <c r="J116" s="1" t="s">
        <v>442</v>
      </c>
      <c r="K116" s="19">
        <f>E20*G91</f>
        <v>80991.574999999881</v>
      </c>
      <c r="L116" s="1">
        <f>C92</f>
        <v>0.05</v>
      </c>
      <c r="M116" s="21">
        <f t="shared" si="13"/>
        <v>4049.5787499999942</v>
      </c>
      <c r="N116" s="35">
        <f t="shared" si="14"/>
        <v>4.947000530489306E-2</v>
      </c>
      <c r="Q116" s="29" t="s">
        <v>428</v>
      </c>
      <c r="R116" s="20">
        <f>M139</f>
        <v>211006.98850528468</v>
      </c>
      <c r="S116" s="128">
        <f>(R116/$R$117)</f>
        <v>0.52649996791354003</v>
      </c>
      <c r="U116" s="29" t="s">
        <v>125</v>
      </c>
      <c r="V116" s="299">
        <f>SUM(V114:V115)</f>
        <v>1464769.5020301479</v>
      </c>
      <c r="W116" s="299"/>
      <c r="Z116" s="56" t="s">
        <v>143</v>
      </c>
      <c r="AA116" s="130">
        <f>N117</f>
        <v>0.31576599130782806</v>
      </c>
      <c r="AD116" s="55" t="s">
        <v>443</v>
      </c>
      <c r="AE116" s="130">
        <f t="shared" si="15"/>
        <v>8.530523148786226E-2</v>
      </c>
    </row>
    <row r="117" spans="2:31" ht="18">
      <c r="B117" s="294"/>
      <c r="C117" s="7">
        <f>C116*F91</f>
        <v>29.857517851344454</v>
      </c>
      <c r="D117" s="5" t="s">
        <v>23</v>
      </c>
      <c r="I117" s="1">
        <v>3</v>
      </c>
      <c r="J117" s="23" t="s">
        <v>444</v>
      </c>
      <c r="K117" s="1">
        <f>I24*C126*G91</f>
        <v>258483.74999999965</v>
      </c>
      <c r="L117" s="1">
        <f>C93</f>
        <v>0.1</v>
      </c>
      <c r="M117" s="21">
        <f t="shared" si="13"/>
        <v>25848.374999999967</v>
      </c>
      <c r="N117" s="35">
        <f t="shared" si="14"/>
        <v>0.31576599130782806</v>
      </c>
      <c r="Q117" s="29" t="s">
        <v>125</v>
      </c>
      <c r="R117" s="299">
        <f>SUM(R114:R116)</f>
        <v>400773.03203166672</v>
      </c>
      <c r="S117" s="299"/>
      <c r="Z117" s="55" t="s">
        <v>48</v>
      </c>
      <c r="AA117" s="130">
        <f>N118</f>
        <v>0.39997025565658217</v>
      </c>
      <c r="AD117" s="55" t="s">
        <v>445</v>
      </c>
      <c r="AE117" s="130">
        <f t="shared" si="15"/>
        <v>4.8196344870197909E-2</v>
      </c>
    </row>
    <row r="118" spans="2:31" ht="17.25">
      <c r="B118" s="293" t="s">
        <v>280</v>
      </c>
      <c r="C118" s="5">
        <v>0.2</v>
      </c>
      <c r="D118" s="5" t="s">
        <v>446</v>
      </c>
      <c r="I118" s="1">
        <v>4</v>
      </c>
      <c r="J118" s="1" t="s">
        <v>447</v>
      </c>
      <c r="K118" s="19">
        <f>O58*G91</f>
        <v>3274.1274999999955</v>
      </c>
      <c r="L118" s="1">
        <f>C96</f>
        <v>10</v>
      </c>
      <c r="M118" s="21">
        <f t="shared" si="13"/>
        <v>32741.274999999954</v>
      </c>
      <c r="N118" s="35">
        <f t="shared" si="14"/>
        <v>0.39997025565658217</v>
      </c>
      <c r="Z118" s="55" t="s">
        <v>47</v>
      </c>
      <c r="AA118" s="130">
        <f>N120</f>
        <v>0.23479374773069672</v>
      </c>
      <c r="AD118" s="55" t="s">
        <v>448</v>
      </c>
      <c r="AE118" s="130">
        <f t="shared" si="15"/>
        <v>1.551783193643195E-3</v>
      </c>
    </row>
    <row r="119" spans="2:31">
      <c r="B119" s="294"/>
      <c r="C119" s="7">
        <f>C118*I20</f>
        <v>47.211643835616371</v>
      </c>
      <c r="D119" s="5" t="s">
        <v>406</v>
      </c>
      <c r="I119" s="1">
        <v>5</v>
      </c>
      <c r="J119" s="1" t="s">
        <v>449</v>
      </c>
      <c r="K119" s="19">
        <v>0</v>
      </c>
      <c r="L119" s="19">
        <v>0</v>
      </c>
      <c r="M119" s="21">
        <f t="shared" si="13"/>
        <v>0</v>
      </c>
      <c r="N119" s="35">
        <f t="shared" si="14"/>
        <v>0</v>
      </c>
      <c r="AD119" s="55" t="s">
        <v>450</v>
      </c>
      <c r="AE119" s="130">
        <f t="shared" si="15"/>
        <v>0.21417949895190586</v>
      </c>
    </row>
    <row r="120" spans="2:31" ht="15.75" thickBot="1">
      <c r="I120" s="1">
        <v>6</v>
      </c>
      <c r="J120" s="1" t="s">
        <v>451</v>
      </c>
      <c r="K120" s="19">
        <f>O63*G91</f>
        <v>38440.091751881984</v>
      </c>
      <c r="L120" s="22">
        <f>C98</f>
        <v>0.5</v>
      </c>
      <c r="M120" s="21">
        <f t="shared" si="13"/>
        <v>19220.045875940992</v>
      </c>
      <c r="N120" s="35">
        <f t="shared" si="14"/>
        <v>0.23479374773069672</v>
      </c>
      <c r="AD120" s="55" t="s">
        <v>452</v>
      </c>
      <c r="AE120" s="130">
        <f t="shared" si="15"/>
        <v>0.19930753006153384</v>
      </c>
    </row>
    <row r="121" spans="2:31" ht="15.75" thickBot="1">
      <c r="B121" s="295" t="s">
        <v>453</v>
      </c>
      <c r="C121" s="296"/>
      <c r="D121" s="297"/>
      <c r="L121" s="40" t="s">
        <v>454</v>
      </c>
      <c r="M121" s="41">
        <f>SUM(M116:M120)</f>
        <v>81859.274625940903</v>
      </c>
      <c r="N121" s="37">
        <f>SUM(N116:N120)</f>
        <v>1</v>
      </c>
      <c r="AD121" s="55" t="s">
        <v>455</v>
      </c>
      <c r="AE121" s="130">
        <f t="shared" si="15"/>
        <v>4.4966767420982677E-2</v>
      </c>
    </row>
    <row r="122" spans="2:31">
      <c r="B122" s="55" t="s">
        <v>456</v>
      </c>
      <c r="C122" s="2">
        <v>24</v>
      </c>
      <c r="D122" s="2" t="s">
        <v>317</v>
      </c>
      <c r="I122" s="31" t="s">
        <v>341</v>
      </c>
      <c r="J122" s="31" t="s">
        <v>427</v>
      </c>
      <c r="K122" s="31" t="s">
        <v>430</v>
      </c>
      <c r="L122" s="42" t="s">
        <v>431</v>
      </c>
      <c r="M122" s="42" t="s">
        <v>381</v>
      </c>
      <c r="N122" s="42" t="s">
        <v>17</v>
      </c>
      <c r="O122" s="93">
        <f>M123+M124+M125</f>
        <v>64374.724255555477</v>
      </c>
      <c r="AD122" s="55" t="s">
        <v>457</v>
      </c>
      <c r="AE122" s="130">
        <f t="shared" si="15"/>
        <v>6.5271918062425216E-2</v>
      </c>
    </row>
    <row r="123" spans="2:31">
      <c r="B123" s="55" t="s">
        <v>458</v>
      </c>
      <c r="C123" s="9">
        <f>1/R29</f>
        <v>0.33333333333333331</v>
      </c>
      <c r="D123" s="2" t="s">
        <v>459</v>
      </c>
      <c r="I123" s="1">
        <v>1</v>
      </c>
      <c r="J123" s="1" t="s">
        <v>460</v>
      </c>
      <c r="K123" s="19">
        <f>C107*G91</f>
        <v>221331.01899999974</v>
      </c>
      <c r="L123" s="1">
        <f>C95</f>
        <v>0.25</v>
      </c>
      <c r="M123" s="21">
        <f>K123*L123</f>
        <v>55332.754749999935</v>
      </c>
      <c r="N123" s="35">
        <f>(M123/M128)</f>
        <v>0.51278298214129669</v>
      </c>
    </row>
    <row r="124" spans="2:31" ht="17.25">
      <c r="B124" s="55" t="s">
        <v>288</v>
      </c>
      <c r="C124" s="9">
        <f>C58</f>
        <v>1133.0794520547929</v>
      </c>
      <c r="D124" s="2" t="s">
        <v>289</v>
      </c>
      <c r="I124" s="1">
        <v>2</v>
      </c>
      <c r="J124" s="1" t="s">
        <v>461</v>
      </c>
      <c r="K124" s="19">
        <f>C110*G91</f>
        <v>18189.597222222197</v>
      </c>
      <c r="L124" s="1">
        <f>L123</f>
        <v>0.25</v>
      </c>
      <c r="M124" s="21">
        <f>K124*L124</f>
        <v>4547.3993055555493</v>
      </c>
      <c r="N124" s="35">
        <f>(M124/M128)</f>
        <v>4.2141928183867243E-2</v>
      </c>
      <c r="O124" s="93"/>
    </row>
    <row r="125" spans="2:31">
      <c r="B125" s="55" t="s">
        <v>462</v>
      </c>
      <c r="C125" s="2">
        <v>0.01</v>
      </c>
      <c r="D125" s="2" t="s">
        <v>463</v>
      </c>
      <c r="I125" s="1">
        <v>3</v>
      </c>
      <c r="J125" s="1" t="s">
        <v>464</v>
      </c>
      <c r="K125" s="19">
        <f>(C119+C140)*G91</f>
        <v>17978.280799999975</v>
      </c>
      <c r="L125" s="1">
        <f>L123</f>
        <v>0.25</v>
      </c>
      <c r="M125" s="21">
        <f>K125*L125</f>
        <v>4494.5701999999937</v>
      </c>
      <c r="N125" s="35">
        <f>(M125/M128)</f>
        <v>4.1652347167830173E-2</v>
      </c>
      <c r="O125" s="131">
        <f>(C119)*G91*L125</f>
        <v>4308.0624999999936</v>
      </c>
      <c r="P125" t="s">
        <v>465</v>
      </c>
    </row>
    <row r="126" spans="2:31" ht="18.75">
      <c r="B126" s="56" t="s">
        <v>466</v>
      </c>
      <c r="C126" s="2">
        <v>1.5</v>
      </c>
      <c r="D126" s="2" t="s">
        <v>467</v>
      </c>
      <c r="I126" s="1">
        <v>4</v>
      </c>
      <c r="J126" s="1" t="s">
        <v>468</v>
      </c>
      <c r="K126" s="19">
        <f>C117*G91*0</f>
        <v>0</v>
      </c>
      <c r="L126" s="1">
        <f>C97</f>
        <v>0.05</v>
      </c>
      <c r="M126" s="21">
        <f>K126*L126</f>
        <v>0</v>
      </c>
      <c r="N126" s="35">
        <f>(M126/M128)</f>
        <v>0</v>
      </c>
      <c r="O126" s="131">
        <f>(C140)*G91*L125</f>
        <v>186.50769999999994</v>
      </c>
      <c r="P126" t="s">
        <v>469</v>
      </c>
    </row>
    <row r="127" spans="2:31" ht="15.75" thickBot="1">
      <c r="B127" s="55" t="s">
        <v>292</v>
      </c>
      <c r="C127" s="9">
        <f>I24/V28</f>
        <v>0.41666666666666669</v>
      </c>
      <c r="D127" s="2" t="s">
        <v>470</v>
      </c>
      <c r="I127" s="1">
        <v>5</v>
      </c>
      <c r="J127" s="1" t="s">
        <v>398</v>
      </c>
      <c r="K127" s="19">
        <f>C113*G91</f>
        <v>310943.17603489751</v>
      </c>
      <c r="L127" s="22">
        <f>C99</f>
        <v>0.14000000000000001</v>
      </c>
      <c r="M127" s="24">
        <f>K127*L127</f>
        <v>43532.044644885653</v>
      </c>
      <c r="N127" s="36">
        <f>(M127/M128)</f>
        <v>0.40342274250700594</v>
      </c>
    </row>
    <row r="128" spans="2:31" ht="15.75" thickBot="1">
      <c r="B128" s="55" t="s">
        <v>390</v>
      </c>
      <c r="C128" s="2">
        <v>0.3</v>
      </c>
      <c r="D128" s="2" t="s">
        <v>467</v>
      </c>
      <c r="L128" s="40" t="s">
        <v>454</v>
      </c>
      <c r="M128" s="41">
        <f>SUM(M123:M127)</f>
        <v>107906.76890044112</v>
      </c>
      <c r="N128" s="37">
        <f>SUM(N123:N127)</f>
        <v>1</v>
      </c>
    </row>
    <row r="129" spans="2:14">
      <c r="B129" s="55" t="s">
        <v>471</v>
      </c>
      <c r="C129" s="2">
        <v>2</v>
      </c>
      <c r="D129" s="2" t="s">
        <v>17</v>
      </c>
      <c r="I129" s="31" t="s">
        <v>341</v>
      </c>
      <c r="J129" s="31" t="s">
        <v>472</v>
      </c>
      <c r="K129" s="31" t="s">
        <v>430</v>
      </c>
      <c r="L129" s="42" t="s">
        <v>431</v>
      </c>
      <c r="M129" s="42" t="s">
        <v>381</v>
      </c>
      <c r="N129" s="42" t="s">
        <v>17</v>
      </c>
    </row>
    <row r="130" spans="2:14">
      <c r="I130" s="1">
        <v>1</v>
      </c>
      <c r="J130" s="1" t="s">
        <v>473</v>
      </c>
      <c r="K130" s="1">
        <v>2</v>
      </c>
      <c r="L130" s="21">
        <v>30000</v>
      </c>
      <c r="M130" s="20">
        <f t="shared" ref="M130:M138" si="16">K130*L130</f>
        <v>60000</v>
      </c>
      <c r="N130" s="35">
        <f>(M130/$M$139)</f>
        <v>0.28435077162620753</v>
      </c>
    </row>
    <row r="131" spans="2:14">
      <c r="B131" s="295" t="s">
        <v>474</v>
      </c>
      <c r="C131" s="296"/>
      <c r="D131" s="297"/>
      <c r="I131" s="1">
        <v>2</v>
      </c>
      <c r="J131" s="1" t="s">
        <v>475</v>
      </c>
      <c r="K131" s="1">
        <v>0.2</v>
      </c>
      <c r="L131" s="21">
        <f>M130</f>
        <v>60000</v>
      </c>
      <c r="M131" s="20">
        <f t="shared" si="16"/>
        <v>12000</v>
      </c>
      <c r="N131" s="35">
        <f t="shared" ref="N131:N138" si="17">(M131/$M$139)</f>
        <v>5.6870154325241506E-2</v>
      </c>
    </row>
    <row r="132" spans="2:14">
      <c r="B132" s="55" t="s">
        <v>476</v>
      </c>
      <c r="C132" s="9">
        <f>K194</f>
        <v>36.5</v>
      </c>
      <c r="D132" s="2" t="s">
        <v>313</v>
      </c>
      <c r="E132" s="60"/>
      <c r="I132" s="1">
        <v>3</v>
      </c>
      <c r="J132" s="1" t="s">
        <v>477</v>
      </c>
      <c r="K132" s="1">
        <v>0.25</v>
      </c>
      <c r="L132" s="21">
        <f>M130+M131</f>
        <v>72000</v>
      </c>
      <c r="M132" s="20">
        <f t="shared" si="16"/>
        <v>18000</v>
      </c>
      <c r="N132" s="35">
        <f t="shared" si="17"/>
        <v>8.530523148786226E-2</v>
      </c>
    </row>
    <row r="133" spans="2:14">
      <c r="B133" s="55" t="s">
        <v>478</v>
      </c>
      <c r="C133" s="9">
        <f t="shared" ref="C133:C138" si="18">K195</f>
        <v>36.5</v>
      </c>
      <c r="D133" s="2" t="s">
        <v>313</v>
      </c>
      <c r="E133" s="60"/>
      <c r="I133" s="1">
        <v>4</v>
      </c>
      <c r="J133" s="1" t="s">
        <v>479</v>
      </c>
      <c r="K133" s="1">
        <v>0.04</v>
      </c>
      <c r="L133" s="21">
        <f>O85</f>
        <v>254244.13970056467</v>
      </c>
      <c r="M133" s="20">
        <f t="shared" si="16"/>
        <v>10169.765588022587</v>
      </c>
      <c r="N133" s="35">
        <f t="shared" si="17"/>
        <v>4.8196344870197909E-2</v>
      </c>
    </row>
    <row r="134" spans="2:14">
      <c r="B134" s="56" t="s">
        <v>480</v>
      </c>
      <c r="C134" s="9">
        <f t="shared" si="18"/>
        <v>36.57</v>
      </c>
      <c r="D134" s="2" t="s">
        <v>313</v>
      </c>
      <c r="E134" s="60"/>
      <c r="I134" s="1">
        <v>5</v>
      </c>
      <c r="J134" s="1" t="s">
        <v>481</v>
      </c>
      <c r="K134" s="1">
        <v>4.0000000000000001E-3</v>
      </c>
      <c r="L134" s="21">
        <f>M121</f>
        <v>81859.274625940903</v>
      </c>
      <c r="M134" s="20">
        <f t="shared" si="16"/>
        <v>327.43709850376359</v>
      </c>
      <c r="N134" s="35">
        <f t="shared" si="17"/>
        <v>1.551783193643195E-3</v>
      </c>
    </row>
    <row r="135" spans="2:14">
      <c r="B135" s="56" t="s">
        <v>482</v>
      </c>
      <c r="C135" s="9">
        <f t="shared" si="18"/>
        <v>36.57</v>
      </c>
      <c r="D135" s="2" t="s">
        <v>313</v>
      </c>
      <c r="E135" s="60"/>
      <c r="I135" s="1">
        <v>6</v>
      </c>
      <c r="J135" s="1" t="s">
        <v>483</v>
      </c>
      <c r="K135" s="1">
        <v>0.55000000000000004</v>
      </c>
      <c r="L135" s="21">
        <f>M130+M131+M133</f>
        <v>82169.765588022594</v>
      </c>
      <c r="M135" s="20">
        <f t="shared" si="16"/>
        <v>45193.371073412432</v>
      </c>
      <c r="N135" s="35">
        <f t="shared" si="17"/>
        <v>0.21417949895190586</v>
      </c>
    </row>
    <row r="136" spans="2:14">
      <c r="B136" s="56" t="s">
        <v>484</v>
      </c>
      <c r="C136" s="9">
        <f t="shared" si="18"/>
        <v>36.51</v>
      </c>
      <c r="D136" s="2" t="s">
        <v>313</v>
      </c>
      <c r="E136" s="60"/>
      <c r="I136" s="1">
        <v>7</v>
      </c>
      <c r="J136" s="1" t="s">
        <v>485</v>
      </c>
      <c r="K136" s="1">
        <f>0.21</f>
        <v>0.21</v>
      </c>
      <c r="L136" s="21">
        <f>M121+M128+M133+M134</f>
        <v>200263.24621290836</v>
      </c>
      <c r="M136" s="20">
        <f t="shared" si="16"/>
        <v>42055.281704710753</v>
      </c>
      <c r="N136" s="35">
        <f t="shared" si="17"/>
        <v>0.19930753006153384</v>
      </c>
    </row>
    <row r="137" spans="2:14">
      <c r="B137" s="56" t="s">
        <v>486</v>
      </c>
      <c r="C137" s="9">
        <f t="shared" si="18"/>
        <v>36.51</v>
      </c>
      <c r="D137" s="2" t="s">
        <v>313</v>
      </c>
      <c r="E137" s="60"/>
      <c r="I137" s="1">
        <v>8</v>
      </c>
      <c r="J137" s="1" t="s">
        <v>487</v>
      </c>
      <c r="K137" s="1">
        <v>0.05</v>
      </c>
      <c r="L137" s="21">
        <f>M121+M128</f>
        <v>189766.04352638201</v>
      </c>
      <c r="M137" s="20">
        <f t="shared" si="16"/>
        <v>9488.3021763191009</v>
      </c>
      <c r="N137" s="35">
        <f t="shared" si="17"/>
        <v>4.4966767420982677E-2</v>
      </c>
    </row>
    <row r="138" spans="2:14" ht="15.75" thickBot="1">
      <c r="B138" s="56" t="s">
        <v>488</v>
      </c>
      <c r="C138" s="9">
        <f t="shared" si="18"/>
        <v>36.33</v>
      </c>
      <c r="D138" s="2" t="s">
        <v>313</v>
      </c>
      <c r="E138" s="60"/>
      <c r="I138" s="1">
        <v>9</v>
      </c>
      <c r="J138" s="1" t="s">
        <v>489</v>
      </c>
      <c r="K138" s="1">
        <v>0.05</v>
      </c>
      <c r="L138" s="24">
        <f>M121+M128+M131+M132+M133+M134+M135</f>
        <v>275456.61728632078</v>
      </c>
      <c r="M138" s="32">
        <f t="shared" si="16"/>
        <v>13772.83086431604</v>
      </c>
      <c r="N138" s="36">
        <f t="shared" si="17"/>
        <v>6.5271918062425216E-2</v>
      </c>
    </row>
    <row r="139" spans="2:14" ht="15.75" thickBot="1">
      <c r="B139" s="101" t="s">
        <v>125</v>
      </c>
      <c r="C139" s="7">
        <f>SUM(C132:C138)</f>
        <v>255.48999999999995</v>
      </c>
      <c r="D139" s="2" t="s">
        <v>313</v>
      </c>
      <c r="L139" s="40" t="s">
        <v>454</v>
      </c>
      <c r="M139" s="43">
        <f>SUM(M130:M138)</f>
        <v>211006.98850528468</v>
      </c>
      <c r="N139" s="37">
        <f>SUM(N130:N138)</f>
        <v>1</v>
      </c>
    </row>
    <row r="140" spans="2:14">
      <c r="B140" s="102"/>
      <c r="C140" s="7">
        <f>(C139/1000)*8</f>
        <v>2.0439199999999995</v>
      </c>
      <c r="D140" s="5" t="s">
        <v>406</v>
      </c>
      <c r="E140" s="126" t="s">
        <v>490</v>
      </c>
    </row>
    <row r="141" spans="2:14">
      <c r="B141" s="75" t="s">
        <v>491</v>
      </c>
      <c r="I141" s="292" t="s">
        <v>492</v>
      </c>
      <c r="J141" s="292"/>
      <c r="K141" s="292"/>
      <c r="L141" s="292"/>
    </row>
    <row r="142" spans="2:14">
      <c r="I142" s="31" t="s">
        <v>341</v>
      </c>
      <c r="J142" s="31" t="s">
        <v>342</v>
      </c>
      <c r="K142" s="31" t="s">
        <v>381</v>
      </c>
      <c r="L142" s="31" t="s">
        <v>17</v>
      </c>
    </row>
    <row r="143" spans="2:14">
      <c r="I143" s="1">
        <v>1</v>
      </c>
      <c r="J143" s="1" t="s">
        <v>493</v>
      </c>
      <c r="K143" s="21">
        <f>L111</f>
        <v>123293.15310639182</v>
      </c>
      <c r="L143" s="35">
        <f>(K143/$K$147)</f>
        <v>0.23526256149099151</v>
      </c>
    </row>
    <row r="144" spans="2:14">
      <c r="I144" s="1">
        <v>2</v>
      </c>
      <c r="J144" s="1" t="s">
        <v>429</v>
      </c>
      <c r="K144" s="21">
        <f>M121</f>
        <v>81859.274625940903</v>
      </c>
      <c r="L144" s="35">
        <f>(K144/$K$147)</f>
        <v>0.1562002604773596</v>
      </c>
    </row>
    <row r="145" spans="1:18">
      <c r="I145" s="1">
        <v>3</v>
      </c>
      <c r="J145" s="1" t="s">
        <v>427</v>
      </c>
      <c r="K145" s="21">
        <f>M128</f>
        <v>107906.76890044112</v>
      </c>
      <c r="L145" s="35">
        <f>(K145/$K$147)</f>
        <v>0.20590294119437313</v>
      </c>
    </row>
    <row r="146" spans="1:18" ht="15.75" thickBot="1">
      <c r="I146" s="1">
        <v>4</v>
      </c>
      <c r="J146" s="1" t="s">
        <v>472</v>
      </c>
      <c r="K146" s="24">
        <f>M139</f>
        <v>211006.98850528468</v>
      </c>
      <c r="L146" s="36">
        <f>(K146/$K$147)</f>
        <v>0.40263423683727584</v>
      </c>
    </row>
    <row r="147" spans="1:18" ht="15.75" thickBot="1">
      <c r="K147" s="96">
        <f>SUM(K143:K146)</f>
        <v>524066.1851380585</v>
      </c>
      <c r="L147" s="37">
        <f>SUM(L143:L146)</f>
        <v>1</v>
      </c>
    </row>
    <row r="148" spans="1:18" ht="15.75" thickBot="1"/>
    <row r="149" spans="1:18">
      <c r="J149" s="44" t="s">
        <v>494</v>
      </c>
      <c r="K149" s="45">
        <f>K147</f>
        <v>524066.1851380585</v>
      </c>
    </row>
    <row r="150" spans="1:18" ht="17.25">
      <c r="J150" s="79" t="s">
        <v>495</v>
      </c>
      <c r="K150" s="80">
        <f>K149/(N20*365)</f>
        <v>63.725869790512867</v>
      </c>
    </row>
    <row r="151" spans="1:18" ht="18" thickBot="1">
      <c r="J151" s="77" t="s">
        <v>496</v>
      </c>
      <c r="K151" s="78">
        <f>(C155+C156)/(D20*G91)</f>
        <v>106.25204935732057</v>
      </c>
    </row>
    <row r="153" spans="1:18" ht="20.25" thickBot="1">
      <c r="B153" s="291" t="s">
        <v>497</v>
      </c>
      <c r="C153" s="291"/>
      <c r="D153" s="291"/>
      <c r="E153" s="291"/>
      <c r="F153" s="291"/>
      <c r="G153" s="291"/>
      <c r="H153" s="291"/>
      <c r="I153" s="291"/>
      <c r="J153" s="28"/>
      <c r="K153" s="291" t="s">
        <v>498</v>
      </c>
      <c r="L153" s="291"/>
      <c r="M153" s="291"/>
      <c r="N153" s="291"/>
      <c r="O153" s="291"/>
      <c r="P153" s="291"/>
      <c r="Q153" s="291"/>
      <c r="R153" s="291"/>
    </row>
    <row r="154" spans="1:18" ht="16.5" thickTop="1" thickBot="1"/>
    <row r="155" spans="1:18" ht="15.75" thickBot="1">
      <c r="A155" s="27" t="s">
        <v>499</v>
      </c>
      <c r="B155" s="25" t="s">
        <v>500</v>
      </c>
      <c r="C155" s="21">
        <f>L102+L108+L109+L110</f>
        <v>1063996.4699984812</v>
      </c>
      <c r="K155" s="99"/>
      <c r="L155" s="133" t="s">
        <v>63</v>
      </c>
      <c r="M155" s="134" t="s">
        <v>501</v>
      </c>
      <c r="N155" s="133" t="s">
        <v>63</v>
      </c>
      <c r="O155" s="134" t="s">
        <v>502</v>
      </c>
      <c r="P155" s="133" t="s">
        <v>63</v>
      </c>
      <c r="Q155" s="134" t="s">
        <v>503</v>
      </c>
      <c r="R155" s="111"/>
    </row>
    <row r="156" spans="1:18">
      <c r="A156" s="27" t="s">
        <v>504</v>
      </c>
      <c r="B156" s="25" t="s">
        <v>505</v>
      </c>
      <c r="C156" s="21">
        <f>M121+M128+M139</f>
        <v>400773.03203166672</v>
      </c>
      <c r="K156" s="146" t="s">
        <v>105</v>
      </c>
      <c r="L156" s="135">
        <f>(N28/N21)*100</f>
        <v>1.0668796358465495</v>
      </c>
      <c r="M156" s="136">
        <v>30.8</v>
      </c>
      <c r="N156" s="143">
        <f>L156</f>
        <v>1.0668796358465495</v>
      </c>
      <c r="O156" s="136" t="s">
        <v>12</v>
      </c>
      <c r="P156" s="143">
        <f>N156</f>
        <v>1.0668796358465495</v>
      </c>
      <c r="Q156" s="136">
        <v>4</v>
      </c>
    </row>
    <row r="157" spans="1:18">
      <c r="B157" s="25" t="s">
        <v>16</v>
      </c>
      <c r="C157" s="2">
        <v>0.05</v>
      </c>
      <c r="K157" s="147" t="s">
        <v>106</v>
      </c>
      <c r="L157" s="135">
        <f>(N30/N21)*100</f>
        <v>0.23713812582161542</v>
      </c>
      <c r="M157" s="136">
        <v>3.5</v>
      </c>
      <c r="N157" s="143">
        <f>L157</f>
        <v>0.23713812582161542</v>
      </c>
      <c r="O157" s="136">
        <v>12</v>
      </c>
      <c r="P157" s="143">
        <f>N157</f>
        <v>0.23713812582161542</v>
      </c>
      <c r="Q157" s="136">
        <v>12</v>
      </c>
    </row>
    <row r="158" spans="1:18">
      <c r="B158" s="25" t="s">
        <v>506</v>
      </c>
      <c r="C158" s="2">
        <f>K106</f>
        <v>10</v>
      </c>
      <c r="K158" s="147" t="s">
        <v>107</v>
      </c>
      <c r="L158" s="135">
        <f>(N34/N21)*100</f>
        <v>0.47435173542856934</v>
      </c>
      <c r="M158" s="136" t="s">
        <v>12</v>
      </c>
      <c r="N158" s="143">
        <f>L158</f>
        <v>0.47435173542856934</v>
      </c>
      <c r="O158" s="136">
        <v>24</v>
      </c>
      <c r="P158" s="143">
        <f>N158</f>
        <v>0.47435173542856934</v>
      </c>
      <c r="Q158" s="136">
        <v>4</v>
      </c>
    </row>
    <row r="159" spans="1:18" ht="15.75" thickBot="1">
      <c r="K159" s="159" t="s">
        <v>507</v>
      </c>
      <c r="L159" s="137">
        <v>3518.8015606722633</v>
      </c>
      <c r="M159" s="138">
        <v>120</v>
      </c>
      <c r="N159" s="137">
        <v>3035.7220052360317</v>
      </c>
      <c r="O159" s="138">
        <f>5*12</f>
        <v>60</v>
      </c>
      <c r="P159" s="137">
        <v>3035.7222819333624</v>
      </c>
      <c r="Q159" s="138">
        <f>5*12</f>
        <v>60</v>
      </c>
    </row>
    <row r="160" spans="1:18">
      <c r="B160" s="46" t="s">
        <v>7</v>
      </c>
      <c r="C160" s="47">
        <f>((C157*(1+C157)^C158)/((1+C157)^C158-1))*C155+C156</f>
        <v>538565.44264356629</v>
      </c>
      <c r="D160" s="48" t="s">
        <v>508</v>
      </c>
      <c r="K160" s="147" t="s">
        <v>509</v>
      </c>
      <c r="L160" s="135">
        <f>C161/1000</f>
        <v>6.5488963502830316E-2</v>
      </c>
      <c r="M160" s="149">
        <f>658/640</f>
        <v>1.028125</v>
      </c>
      <c r="N160" s="143">
        <f>L160</f>
        <v>6.5488963502830316E-2</v>
      </c>
      <c r="O160" s="151">
        <f>Q160</f>
        <v>6.3849999999999998</v>
      </c>
      <c r="P160" s="143">
        <f>N160</f>
        <v>6.5488963502830316E-2</v>
      </c>
      <c r="Q160" s="151">
        <f>1277/200</f>
        <v>6.3849999999999998</v>
      </c>
    </row>
    <row r="161" spans="2:23" ht="18" thickBot="1">
      <c r="B161" s="49" t="s">
        <v>323</v>
      </c>
      <c r="C161" s="50">
        <f>C160/C169</f>
        <v>65.488963502830316</v>
      </c>
      <c r="D161" s="51" t="s">
        <v>510</v>
      </c>
      <c r="K161" s="147" t="s">
        <v>511</v>
      </c>
      <c r="L161" s="139">
        <f>L$159*1*(L156/100)</f>
        <v>37.541377276662942</v>
      </c>
      <c r="M161" s="140">
        <f>M$159*1*(M156/100)</f>
        <v>36.96</v>
      </c>
      <c r="N161" s="139">
        <f>N$159*1*(N156/100)</f>
        <v>32.387499874775742</v>
      </c>
      <c r="O161" s="140" t="s">
        <v>12</v>
      </c>
      <c r="P161" s="139">
        <f t="shared" ref="P161:Q163" si="19">P$159*1*(P156/100)</f>
        <v>32.387502826803221</v>
      </c>
      <c r="Q161" s="140">
        <f t="shared" si="19"/>
        <v>2.4</v>
      </c>
    </row>
    <row r="162" spans="2:23">
      <c r="K162" s="147" t="s">
        <v>512</v>
      </c>
      <c r="L162" s="139">
        <f t="shared" ref="L162:O163" si="20">L$159*1*(L157/100)</f>
        <v>8.3444200723599593</v>
      </c>
      <c r="M162" s="140">
        <f t="shared" si="20"/>
        <v>4.2</v>
      </c>
      <c r="N162" s="139">
        <f>N$159*1*(N157/100)</f>
        <v>7.1988542683710879</v>
      </c>
      <c r="O162" s="140">
        <f>O$159*1*(O157/100)</f>
        <v>7.1999999999999993</v>
      </c>
      <c r="P162" s="139">
        <f t="shared" si="19"/>
        <v>7.1988549245259517</v>
      </c>
      <c r="Q162" s="140">
        <f t="shared" si="19"/>
        <v>7.1999999999999993</v>
      </c>
    </row>
    <row r="163" spans="2:23">
      <c r="B163" s="156" t="s">
        <v>513</v>
      </c>
      <c r="C163" s="267" t="s">
        <v>514</v>
      </c>
      <c r="D163" s="267"/>
      <c r="E163" s="267"/>
      <c r="F163" s="267"/>
      <c r="K163" s="147" t="s">
        <v>515</v>
      </c>
      <c r="L163" s="139">
        <f t="shared" si="20"/>
        <v>16.691496269336465</v>
      </c>
      <c r="M163" s="140" t="s">
        <v>12</v>
      </c>
      <c r="N163" s="139">
        <f t="shared" si="20"/>
        <v>14.400000014624082</v>
      </c>
      <c r="O163" s="145">
        <f t="shared" si="20"/>
        <v>14.399999999999999</v>
      </c>
      <c r="P163" s="139">
        <f t="shared" si="19"/>
        <v>14.400001327142672</v>
      </c>
      <c r="Q163" s="145">
        <f t="shared" si="19"/>
        <v>2.4</v>
      </c>
    </row>
    <row r="164" spans="2:23" ht="15.75" thickBot="1">
      <c r="B164" s="26" t="s">
        <v>516</v>
      </c>
      <c r="C164" s="267" t="s">
        <v>517</v>
      </c>
      <c r="D164" s="267"/>
      <c r="E164" s="267"/>
      <c r="F164" s="267"/>
      <c r="K164" s="160" t="s">
        <v>518</v>
      </c>
      <c r="L164" s="141">
        <f>L159*L160</f>
        <v>230.44266698056822</v>
      </c>
      <c r="M164" s="150">
        <f t="shared" ref="M164:Q164" si="21">M159*M160</f>
        <v>123.375</v>
      </c>
      <c r="N164" s="224">
        <f>N159*N160</f>
        <v>198.80628760564133</v>
      </c>
      <c r="O164" s="225">
        <f t="shared" si="21"/>
        <v>383.09999999999997</v>
      </c>
      <c r="P164" s="141">
        <f t="shared" si="21"/>
        <v>198.80630572626274</v>
      </c>
      <c r="Q164" s="142">
        <f t="shared" si="21"/>
        <v>383.09999999999997</v>
      </c>
    </row>
    <row r="165" spans="2:23">
      <c r="B165" s="26" t="s">
        <v>519</v>
      </c>
      <c r="C165" s="267" t="s">
        <v>520</v>
      </c>
      <c r="D165" s="267"/>
      <c r="E165" s="267"/>
      <c r="F165" s="267"/>
      <c r="M165" s="92"/>
      <c r="U165" s="92"/>
      <c r="W165" s="92"/>
    </row>
    <row r="166" spans="2:23">
      <c r="B166" s="26" t="s">
        <v>521</v>
      </c>
      <c r="C166" s="267" t="s">
        <v>522</v>
      </c>
      <c r="D166" s="267"/>
      <c r="E166" s="267"/>
      <c r="F166" s="267"/>
      <c r="K166" s="12" t="s">
        <v>523</v>
      </c>
      <c r="L166" s="9">
        <f>L156/L157</f>
        <v>4.4989797914195302</v>
      </c>
      <c r="R166" t="s">
        <v>524</v>
      </c>
    </row>
    <row r="167" spans="2:23">
      <c r="B167" s="26" t="s">
        <v>7</v>
      </c>
      <c r="C167" s="267" t="s">
        <v>525</v>
      </c>
      <c r="D167" s="267"/>
      <c r="E167" s="267"/>
      <c r="F167" s="267"/>
      <c r="K167" s="110"/>
      <c r="L167" s="8"/>
      <c r="R167" t="s">
        <v>526</v>
      </c>
    </row>
    <row r="168" spans="2:23">
      <c r="R168" s="192" t="s">
        <v>527</v>
      </c>
    </row>
    <row r="169" spans="2:23" ht="17.25">
      <c r="B169" s="26" t="s">
        <v>44</v>
      </c>
      <c r="C169" s="9">
        <f>N20*G91</f>
        <v>8223.7588417518691</v>
      </c>
      <c r="D169" s="2" t="s">
        <v>528</v>
      </c>
      <c r="K169" s="110"/>
      <c r="O169" s="111"/>
    </row>
    <row r="170" spans="2:23">
      <c r="R170" s="75" t="s">
        <v>529</v>
      </c>
    </row>
    <row r="171" spans="2:23" ht="20.25" thickBot="1">
      <c r="B171" s="291" t="s">
        <v>530</v>
      </c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</row>
    <row r="172" spans="2:23" ht="15.75" thickTop="1"/>
    <row r="173" spans="2:23">
      <c r="B173" s="25" t="s">
        <v>531</v>
      </c>
      <c r="C173" s="29">
        <v>0</v>
      </c>
      <c r="D173" s="29">
        <v>1</v>
      </c>
      <c r="E173" s="29">
        <v>2</v>
      </c>
      <c r="F173" s="29">
        <v>3</v>
      </c>
      <c r="G173" s="29">
        <v>4</v>
      </c>
      <c r="H173" s="29">
        <v>5</v>
      </c>
      <c r="I173" s="29">
        <v>6</v>
      </c>
      <c r="J173" s="29">
        <v>7</v>
      </c>
      <c r="K173" s="29">
        <v>8</v>
      </c>
      <c r="L173" s="29">
        <v>9</v>
      </c>
      <c r="M173" s="29">
        <v>10</v>
      </c>
    </row>
    <row r="174" spans="2:23">
      <c r="B174" s="25" t="s">
        <v>532</v>
      </c>
      <c r="C174" s="21">
        <f>C155</f>
        <v>1063996.4699984812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23">
      <c r="B175" s="25" t="s">
        <v>533</v>
      </c>
      <c r="C175" s="1"/>
      <c r="D175" s="21">
        <f>C186*C183</f>
        <v>559215.60123912711</v>
      </c>
      <c r="E175" s="21">
        <f>$D$175</f>
        <v>559215.60123912711</v>
      </c>
      <c r="F175" s="21">
        <f t="shared" ref="F175:M175" si="22">$D$175</f>
        <v>559215.60123912711</v>
      </c>
      <c r="G175" s="21">
        <f t="shared" si="22"/>
        <v>559215.60123912711</v>
      </c>
      <c r="H175" s="21">
        <f t="shared" si="22"/>
        <v>559215.60123912711</v>
      </c>
      <c r="I175" s="21">
        <f t="shared" si="22"/>
        <v>559215.60123912711</v>
      </c>
      <c r="J175" s="21">
        <f t="shared" si="22"/>
        <v>559215.60123912711</v>
      </c>
      <c r="K175" s="21">
        <f t="shared" si="22"/>
        <v>559215.60123912711</v>
      </c>
      <c r="L175" s="21">
        <f t="shared" si="22"/>
        <v>559215.60123912711</v>
      </c>
      <c r="M175" s="21">
        <f t="shared" si="22"/>
        <v>559215.60123912711</v>
      </c>
    </row>
    <row r="176" spans="2:23">
      <c r="B176" s="25" t="s">
        <v>534</v>
      </c>
      <c r="C176" s="1"/>
      <c r="D176" s="21">
        <f>C156</f>
        <v>400773.03203166672</v>
      </c>
      <c r="E176" s="21">
        <f>$D$176</f>
        <v>400773.03203166672</v>
      </c>
      <c r="F176" s="21">
        <f t="shared" ref="F176:M176" si="23">$D$176</f>
        <v>400773.03203166672</v>
      </c>
      <c r="G176" s="21">
        <f t="shared" si="23"/>
        <v>400773.03203166672</v>
      </c>
      <c r="H176" s="21">
        <f t="shared" si="23"/>
        <v>400773.03203166672</v>
      </c>
      <c r="I176" s="21">
        <f t="shared" si="23"/>
        <v>400773.03203166672</v>
      </c>
      <c r="J176" s="21">
        <f t="shared" si="23"/>
        <v>400773.03203166672</v>
      </c>
      <c r="K176" s="21">
        <f t="shared" si="23"/>
        <v>400773.03203166672</v>
      </c>
      <c r="L176" s="21">
        <f t="shared" si="23"/>
        <v>400773.03203166672</v>
      </c>
      <c r="M176" s="21">
        <f t="shared" si="23"/>
        <v>400773.03203166672</v>
      </c>
    </row>
    <row r="177" spans="2:16">
      <c r="B177" s="25" t="s">
        <v>535</v>
      </c>
      <c r="C177" s="1"/>
      <c r="D177" s="21">
        <f>D175-D176</f>
        <v>158442.56920746039</v>
      </c>
      <c r="E177" s="21">
        <f t="shared" ref="E177:M177" si="24">E175-E176</f>
        <v>158442.56920746039</v>
      </c>
      <c r="F177" s="21">
        <f t="shared" si="24"/>
        <v>158442.56920746039</v>
      </c>
      <c r="G177" s="21">
        <f t="shared" si="24"/>
        <v>158442.56920746039</v>
      </c>
      <c r="H177" s="21">
        <f t="shared" si="24"/>
        <v>158442.56920746039</v>
      </c>
      <c r="I177" s="21">
        <f t="shared" si="24"/>
        <v>158442.56920746039</v>
      </c>
      <c r="J177" s="21">
        <f t="shared" si="24"/>
        <v>158442.56920746039</v>
      </c>
      <c r="K177" s="21">
        <f t="shared" si="24"/>
        <v>158442.56920746039</v>
      </c>
      <c r="L177" s="21">
        <f t="shared" si="24"/>
        <v>158442.56920746039</v>
      </c>
      <c r="M177" s="21">
        <f t="shared" si="24"/>
        <v>158442.56920746039</v>
      </c>
    </row>
    <row r="178" spans="2:16">
      <c r="B178" s="25" t="s">
        <v>536</v>
      </c>
      <c r="C178" s="1"/>
      <c r="D178" s="21">
        <f>D177/((1+$C$157)^$C$158)</f>
        <v>97269.99316150893</v>
      </c>
      <c r="E178" s="21">
        <f t="shared" ref="E178:M178" si="25">E177/((1+$C$157)^$C$158)</f>
        <v>97269.99316150893</v>
      </c>
      <c r="F178" s="21">
        <f t="shared" si="25"/>
        <v>97269.99316150893</v>
      </c>
      <c r="G178" s="21">
        <f t="shared" si="25"/>
        <v>97269.99316150893</v>
      </c>
      <c r="H178" s="21">
        <f t="shared" si="25"/>
        <v>97269.99316150893</v>
      </c>
      <c r="I178" s="21">
        <f t="shared" si="25"/>
        <v>97269.99316150893</v>
      </c>
      <c r="J178" s="21">
        <f t="shared" si="25"/>
        <v>97269.99316150893</v>
      </c>
      <c r="K178" s="21">
        <f t="shared" si="25"/>
        <v>97269.99316150893</v>
      </c>
      <c r="L178" s="21">
        <f t="shared" si="25"/>
        <v>97269.99316150893</v>
      </c>
      <c r="M178" s="21">
        <f t="shared" si="25"/>
        <v>97269.99316150893</v>
      </c>
    </row>
    <row r="179" spans="2:16" ht="15.75" thickBot="1"/>
    <row r="180" spans="2:16" ht="15.75" thickBot="1">
      <c r="B180" s="58" t="s">
        <v>537</v>
      </c>
      <c r="C180" s="59">
        <f>SUM(D178:M178)-C174</f>
        <v>-91296.538383391919</v>
      </c>
    </row>
    <row r="181" spans="2:16">
      <c r="D181" s="30"/>
    </row>
    <row r="182" spans="2:16">
      <c r="B182" s="25" t="s">
        <v>538</v>
      </c>
      <c r="C182" s="20">
        <f>C161</f>
        <v>65.488963502830316</v>
      </c>
    </row>
    <row r="183" spans="2:16">
      <c r="B183" s="25" t="s">
        <v>539</v>
      </c>
      <c r="C183" s="20">
        <v>68</v>
      </c>
    </row>
    <row r="185" spans="2:16">
      <c r="B185" s="289" t="s">
        <v>44</v>
      </c>
      <c r="C185" s="9">
        <f>C186*1000</f>
        <v>8223758.8417518688</v>
      </c>
      <c r="D185" s="5" t="s">
        <v>540</v>
      </c>
    </row>
    <row r="186" spans="2:16" ht="17.25">
      <c r="B186" s="290"/>
      <c r="C186" s="9">
        <f>C169</f>
        <v>8223.7588417518691</v>
      </c>
      <c r="D186" s="2" t="s">
        <v>528</v>
      </c>
    </row>
    <row r="188" spans="2:16">
      <c r="B188" s="75" t="s">
        <v>541</v>
      </c>
    </row>
    <row r="190" spans="2:16" ht="20.25" thickBot="1">
      <c r="B190" s="291" t="s">
        <v>542</v>
      </c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</row>
    <row r="191" spans="2:16" ht="15.75" thickTop="1"/>
    <row r="192" spans="2:16">
      <c r="B192" s="292" t="s">
        <v>543</v>
      </c>
      <c r="C192" s="292"/>
      <c r="D192" s="292"/>
      <c r="E192" s="292"/>
      <c r="F192" s="292"/>
      <c r="G192" s="292"/>
      <c r="H192" s="292"/>
      <c r="I192" s="292"/>
      <c r="J192" s="292"/>
      <c r="K192" s="292"/>
    </row>
    <row r="193" spans="2:11" ht="17.25">
      <c r="B193" s="2" t="s">
        <v>544</v>
      </c>
      <c r="C193" s="2" t="s">
        <v>545</v>
      </c>
      <c r="D193" s="2" t="s">
        <v>546</v>
      </c>
      <c r="E193" s="2" t="s">
        <v>547</v>
      </c>
      <c r="F193" s="2" t="s">
        <v>548</v>
      </c>
      <c r="G193" s="2" t="s">
        <v>549</v>
      </c>
      <c r="H193" s="2" t="s">
        <v>550</v>
      </c>
      <c r="I193" s="2" t="s">
        <v>551</v>
      </c>
      <c r="J193" s="2" t="s">
        <v>552</v>
      </c>
      <c r="K193" s="2" t="s">
        <v>553</v>
      </c>
    </row>
    <row r="194" spans="2:11">
      <c r="B194" s="2" t="s">
        <v>245</v>
      </c>
      <c r="C194" s="9">
        <v>1573.7214611872146</v>
      </c>
      <c r="D194" s="9">
        <f>((1000*3*9.81)+101325)/101325</f>
        <v>1.2904515173945226</v>
      </c>
      <c r="E194" s="2">
        <v>1.5</v>
      </c>
      <c r="F194" s="2">
        <v>25</v>
      </c>
      <c r="G194" s="2">
        <v>2.1480000000000001</v>
      </c>
      <c r="H194" s="2">
        <v>1.577</v>
      </c>
      <c r="I194" s="130">
        <v>0.75</v>
      </c>
      <c r="J194" s="91">
        <v>4780</v>
      </c>
      <c r="K194" s="2">
        <v>36.5</v>
      </c>
    </row>
    <row r="195" spans="2:11">
      <c r="B195" s="2" t="s">
        <v>246</v>
      </c>
      <c r="C195" s="9">
        <v>9245.6135844748842</v>
      </c>
      <c r="D195" s="9">
        <f>D194</f>
        <v>1.2904515173945226</v>
      </c>
      <c r="E195" s="2">
        <v>1.5</v>
      </c>
      <c r="F195" s="2">
        <v>25</v>
      </c>
      <c r="G195" s="2">
        <v>2.1480000000000001</v>
      </c>
      <c r="H195" s="2">
        <v>9.2639999999999993</v>
      </c>
      <c r="I195" s="130">
        <v>0.75</v>
      </c>
      <c r="J195" s="91">
        <v>5230</v>
      </c>
      <c r="K195" s="2">
        <v>36.5</v>
      </c>
    </row>
    <row r="196" spans="2:11">
      <c r="B196" s="2" t="s">
        <v>247</v>
      </c>
      <c r="C196" s="9">
        <v>4917.8795662100447</v>
      </c>
      <c r="D196" s="2">
        <v>0.5</v>
      </c>
      <c r="E196" s="2">
        <v>1.5</v>
      </c>
      <c r="F196" s="2">
        <v>25</v>
      </c>
      <c r="G196" s="2">
        <v>10.23</v>
      </c>
      <c r="H196" s="2">
        <v>4.9279999999999999</v>
      </c>
      <c r="I196" s="130">
        <v>0.75</v>
      </c>
      <c r="J196" s="91">
        <v>5000</v>
      </c>
      <c r="K196" s="2">
        <v>36.57</v>
      </c>
    </row>
    <row r="197" spans="2:11">
      <c r="B197" s="2" t="s">
        <v>250</v>
      </c>
      <c r="C197" s="9">
        <v>9835.7591324200894</v>
      </c>
      <c r="D197" s="2">
        <v>1</v>
      </c>
      <c r="E197" s="2">
        <v>1.5</v>
      </c>
      <c r="F197" s="2">
        <v>25</v>
      </c>
      <c r="G197" s="2">
        <v>5.1139999999999999</v>
      </c>
      <c r="H197" s="2">
        <v>9.8450000000000006</v>
      </c>
      <c r="I197" s="130">
        <v>0.75</v>
      </c>
      <c r="J197" s="91">
        <v>5340</v>
      </c>
      <c r="K197" s="2">
        <v>36.57</v>
      </c>
    </row>
    <row r="198" spans="2:11">
      <c r="B198" s="2" t="s">
        <v>253</v>
      </c>
      <c r="C198" s="9">
        <v>934.39711757990847</v>
      </c>
      <c r="D198" s="2">
        <v>0.5</v>
      </c>
      <c r="E198" s="2">
        <v>1</v>
      </c>
      <c r="F198" s="2">
        <v>25</v>
      </c>
      <c r="G198" s="2">
        <v>5.1139999999999999</v>
      </c>
      <c r="H198" s="2">
        <v>0.93630000000000002</v>
      </c>
      <c r="I198" s="130">
        <v>0.75</v>
      </c>
      <c r="J198" s="91">
        <v>4780</v>
      </c>
      <c r="K198" s="2">
        <v>36.51</v>
      </c>
    </row>
    <row r="199" spans="2:11">
      <c r="B199" s="2" t="s">
        <v>254</v>
      </c>
      <c r="C199" s="9">
        <v>934.39711757990847</v>
      </c>
      <c r="D199" s="2">
        <v>1</v>
      </c>
      <c r="E199" s="2">
        <v>1.29</v>
      </c>
      <c r="F199" s="2">
        <v>35</v>
      </c>
      <c r="G199" s="2">
        <v>2.9750000000000001</v>
      </c>
      <c r="H199" s="2">
        <v>0.93630000000000002</v>
      </c>
      <c r="I199" s="130">
        <v>0.75</v>
      </c>
      <c r="J199" s="91">
        <v>4780</v>
      </c>
      <c r="K199" s="2">
        <v>36.51</v>
      </c>
    </row>
    <row r="200" spans="2:11">
      <c r="B200" s="2" t="s">
        <v>255</v>
      </c>
      <c r="C200" s="9">
        <v>953.55225849029659</v>
      </c>
      <c r="D200" s="2">
        <v>1.29</v>
      </c>
      <c r="E200" s="2">
        <v>1.5</v>
      </c>
      <c r="F200" s="2">
        <v>50</v>
      </c>
      <c r="G200" s="2">
        <v>2.1669999999999998</v>
      </c>
      <c r="H200" s="2">
        <v>0.95399999999999996</v>
      </c>
      <c r="I200" s="130">
        <v>0.75</v>
      </c>
      <c r="J200" s="91">
        <v>4560</v>
      </c>
      <c r="K200" s="2">
        <v>36.33</v>
      </c>
    </row>
    <row r="202" spans="2:11">
      <c r="B202" s="292" t="s">
        <v>554</v>
      </c>
      <c r="C202" s="292"/>
      <c r="D202" s="292"/>
      <c r="E202" s="292"/>
      <c r="F202" s="292"/>
      <c r="G202" s="292"/>
      <c r="H202" s="292"/>
      <c r="I202" s="292"/>
      <c r="J202" s="292"/>
      <c r="K202" s="292"/>
    </row>
    <row r="203" spans="2:11" ht="17.25">
      <c r="B203" s="2" t="s">
        <v>555</v>
      </c>
      <c r="C203" s="2" t="s">
        <v>202</v>
      </c>
      <c r="D203" s="2" t="s">
        <v>548</v>
      </c>
      <c r="E203" s="2" t="s">
        <v>556</v>
      </c>
      <c r="F203" s="2" t="s">
        <v>557</v>
      </c>
      <c r="G203" s="2" t="s">
        <v>558</v>
      </c>
      <c r="H203" s="2" t="s">
        <v>559</v>
      </c>
      <c r="I203" s="2" t="s">
        <v>560</v>
      </c>
      <c r="J203" s="2" t="s">
        <v>561</v>
      </c>
      <c r="K203" s="2"/>
    </row>
    <row r="204" spans="2:11">
      <c r="B204" s="9">
        <f>N21/24</f>
        <v>938.78525590774768</v>
      </c>
      <c r="C204" s="2">
        <f>O61</f>
        <v>4</v>
      </c>
      <c r="D204" s="2">
        <v>50</v>
      </c>
      <c r="E204" s="9">
        <v>3.74</v>
      </c>
      <c r="F204" s="2">
        <v>2.2050000000000001</v>
      </c>
      <c r="G204" s="2">
        <v>1.47</v>
      </c>
      <c r="H204" s="2">
        <v>40.322000000000003</v>
      </c>
      <c r="I204" s="2">
        <v>59794.8</v>
      </c>
      <c r="J204" s="91">
        <v>64200</v>
      </c>
      <c r="K204" s="2"/>
    </row>
    <row r="206" spans="2:11">
      <c r="B206" s="292" t="s">
        <v>311</v>
      </c>
      <c r="C206" s="292"/>
      <c r="D206" s="292"/>
      <c r="E206" s="292"/>
      <c r="F206" s="292"/>
      <c r="G206" s="292"/>
      <c r="H206" s="292"/>
      <c r="I206" s="292"/>
      <c r="J206" s="292"/>
      <c r="K206" s="292"/>
    </row>
    <row r="207" spans="2:11" ht="17.25">
      <c r="B207" s="2" t="s">
        <v>555</v>
      </c>
      <c r="C207" s="2" t="s">
        <v>202</v>
      </c>
      <c r="D207" s="2" t="s">
        <v>548</v>
      </c>
      <c r="E207" s="2" t="s">
        <v>556</v>
      </c>
      <c r="F207" s="2" t="s">
        <v>557</v>
      </c>
      <c r="G207" s="2" t="s">
        <v>558</v>
      </c>
      <c r="H207" s="2" t="s">
        <v>562</v>
      </c>
      <c r="I207" s="2"/>
      <c r="J207" s="2" t="s">
        <v>561</v>
      </c>
      <c r="K207" s="2"/>
    </row>
    <row r="208" spans="2:11">
      <c r="B208" s="9">
        <f>N21/24</f>
        <v>938.78525590774768</v>
      </c>
      <c r="C208" s="2">
        <v>24</v>
      </c>
      <c r="D208" s="2">
        <v>25</v>
      </c>
      <c r="E208" s="9">
        <v>22.89</v>
      </c>
      <c r="F208" s="2">
        <v>4.0330000000000004</v>
      </c>
      <c r="G208" s="2">
        <v>2.6880000000000002</v>
      </c>
      <c r="H208" s="2">
        <v>36.32</v>
      </c>
      <c r="I208" s="2"/>
      <c r="J208" s="91">
        <v>30400</v>
      </c>
      <c r="K208" s="2"/>
    </row>
    <row r="210" spans="2:2">
      <c r="B210" s="75"/>
    </row>
  </sheetData>
  <mergeCells count="79">
    <mergeCell ref="B24:B25"/>
    <mergeCell ref="R4:S4"/>
    <mergeCell ref="Q18:S18"/>
    <mergeCell ref="U18:W18"/>
    <mergeCell ref="B20:B21"/>
    <mergeCell ref="B22:B23"/>
    <mergeCell ref="B38:B39"/>
    <mergeCell ref="V38:W38"/>
    <mergeCell ref="B26:B27"/>
    <mergeCell ref="Q26:S26"/>
    <mergeCell ref="U26:W26"/>
    <mergeCell ref="B28:B29"/>
    <mergeCell ref="B30:B31"/>
    <mergeCell ref="U30:W30"/>
    <mergeCell ref="B32:B33"/>
    <mergeCell ref="B34:B35"/>
    <mergeCell ref="Q35:S35"/>
    <mergeCell ref="U35:W35"/>
    <mergeCell ref="B36:B37"/>
    <mergeCell ref="B40:B41"/>
    <mergeCell ref="B44:D44"/>
    <mergeCell ref="B46:E46"/>
    <mergeCell ref="B54:P54"/>
    <mergeCell ref="B56:D56"/>
    <mergeCell ref="F56:H56"/>
    <mergeCell ref="J56:L56"/>
    <mergeCell ref="N56:P56"/>
    <mergeCell ref="B67:G67"/>
    <mergeCell ref="I67:P67"/>
    <mergeCell ref="S67:S68"/>
    <mergeCell ref="W67:Y67"/>
    <mergeCell ref="C68:D68"/>
    <mergeCell ref="R56:T56"/>
    <mergeCell ref="G60:H60"/>
    <mergeCell ref="G61:H61"/>
    <mergeCell ref="B65:P65"/>
    <mergeCell ref="S65:Y65"/>
    <mergeCell ref="B102:B103"/>
    <mergeCell ref="F68:G68"/>
    <mergeCell ref="K68:L68"/>
    <mergeCell ref="W68:W69"/>
    <mergeCell ref="W75:Y75"/>
    <mergeCell ref="W78:W79"/>
    <mergeCell ref="B86:C86"/>
    <mergeCell ref="B87:D87"/>
    <mergeCell ref="I87:M87"/>
    <mergeCell ref="B88:D88"/>
    <mergeCell ref="B90:D90"/>
    <mergeCell ref="B100:D100"/>
    <mergeCell ref="I104:M104"/>
    <mergeCell ref="B105:B106"/>
    <mergeCell ref="B109:B111"/>
    <mergeCell ref="B113:B114"/>
    <mergeCell ref="I113:N113"/>
    <mergeCell ref="U113:W113"/>
    <mergeCell ref="Z113:AA113"/>
    <mergeCell ref="AB113:AC113"/>
    <mergeCell ref="AD113:AE113"/>
    <mergeCell ref="B116:B117"/>
    <mergeCell ref="V116:W116"/>
    <mergeCell ref="R117:S117"/>
    <mergeCell ref="Q113:S113"/>
    <mergeCell ref="B171:P171"/>
    <mergeCell ref="B118:B119"/>
    <mergeCell ref="B121:D121"/>
    <mergeCell ref="B131:D131"/>
    <mergeCell ref="I141:L141"/>
    <mergeCell ref="B153:I153"/>
    <mergeCell ref="K153:R153"/>
    <mergeCell ref="C163:F163"/>
    <mergeCell ref="C164:F164"/>
    <mergeCell ref="C165:F165"/>
    <mergeCell ref="C166:F166"/>
    <mergeCell ref="C167:F167"/>
    <mergeCell ref="B185:B186"/>
    <mergeCell ref="B190:P190"/>
    <mergeCell ref="B192:K192"/>
    <mergeCell ref="B202:K202"/>
    <mergeCell ref="B206:K206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4:AE212"/>
  <sheetViews>
    <sheetView topLeftCell="L13" zoomScale="90" zoomScaleNormal="90" workbookViewId="0">
      <selection activeCell="L24" sqref="L24"/>
    </sheetView>
  </sheetViews>
  <sheetFormatPr defaultColWidth="11.42578125" defaultRowHeight="15"/>
  <cols>
    <col min="2" max="2" width="19.85546875" bestFit="1" customWidth="1"/>
    <col min="3" max="4" width="14.5703125" bestFit="1" customWidth="1"/>
    <col min="5" max="5" width="15.85546875" customWidth="1"/>
    <col min="6" max="6" width="14.5703125" bestFit="1" customWidth="1"/>
    <col min="7" max="7" width="14.42578125" bestFit="1" customWidth="1"/>
    <col min="8" max="8" width="22.85546875" bestFit="1" customWidth="1"/>
    <col min="9" max="9" width="14.5703125" bestFit="1" customWidth="1"/>
    <col min="10" max="10" width="50.85546875" customWidth="1"/>
    <col min="11" max="11" width="20.85546875" bestFit="1" customWidth="1"/>
    <col min="12" max="14" width="14.5703125" bestFit="1" customWidth="1"/>
    <col min="15" max="15" width="13.85546875" bestFit="1" customWidth="1"/>
    <col min="16" max="16" width="14.5703125" bestFit="1" customWidth="1"/>
    <col min="17" max="17" width="15" bestFit="1" customWidth="1"/>
    <col min="18" max="18" width="16" bestFit="1" customWidth="1"/>
    <col min="22" max="22" width="13" bestFit="1" customWidth="1"/>
    <col min="30" max="30" width="22" bestFit="1" customWidth="1"/>
  </cols>
  <sheetData>
    <row r="4" spans="2:19">
      <c r="R4" s="298" t="s">
        <v>240</v>
      </c>
      <c r="S4" s="298"/>
    </row>
    <row r="5" spans="2:19">
      <c r="R5" s="55" t="s">
        <v>241</v>
      </c>
      <c r="S5" s="2">
        <v>71.7</v>
      </c>
    </row>
    <row r="6" spans="2:19">
      <c r="R6" s="55" t="s">
        <v>242</v>
      </c>
      <c r="S6" s="2">
        <v>42.3</v>
      </c>
    </row>
    <row r="7" spans="2:19">
      <c r="R7" s="55" t="s">
        <v>243</v>
      </c>
      <c r="S7" s="2">
        <v>33.4</v>
      </c>
    </row>
    <row r="15" spans="2:19">
      <c r="B15" s="61"/>
      <c r="L15" s="8"/>
    </row>
    <row r="16" spans="2:19">
      <c r="B16" s="8"/>
      <c r="J16" s="8"/>
      <c r="L16" s="8"/>
    </row>
    <row r="18" spans="2:23">
      <c r="D18" s="3" t="s">
        <v>245</v>
      </c>
      <c r="E18" s="3" t="s">
        <v>246</v>
      </c>
      <c r="F18" s="3" t="s">
        <v>247</v>
      </c>
      <c r="G18" s="3" t="s">
        <v>248</v>
      </c>
      <c r="H18" s="3" t="s">
        <v>249</v>
      </c>
      <c r="I18" s="3" t="s">
        <v>250</v>
      </c>
      <c r="J18" s="3" t="s">
        <v>251</v>
      </c>
      <c r="K18" s="3" t="s">
        <v>252</v>
      </c>
      <c r="L18" s="3" t="s">
        <v>253</v>
      </c>
      <c r="M18" s="3" t="s">
        <v>254</v>
      </c>
      <c r="N18" s="3" t="s">
        <v>255</v>
      </c>
      <c r="Q18" s="319" t="s">
        <v>256</v>
      </c>
      <c r="R18" s="319"/>
      <c r="S18" s="319"/>
      <c r="U18" s="319" t="s">
        <v>257</v>
      </c>
      <c r="V18" s="319"/>
      <c r="W18" s="319"/>
    </row>
    <row r="19" spans="2:23">
      <c r="D19" s="4" t="s">
        <v>258</v>
      </c>
      <c r="E19" s="4" t="s">
        <v>259</v>
      </c>
      <c r="F19" s="4" t="s">
        <v>260</v>
      </c>
      <c r="G19" s="4" t="s">
        <v>261</v>
      </c>
      <c r="H19" s="4" t="s">
        <v>262</v>
      </c>
      <c r="I19" s="4" t="s">
        <v>263</v>
      </c>
      <c r="J19" s="11" t="s">
        <v>563</v>
      </c>
      <c r="K19" s="4" t="s">
        <v>265</v>
      </c>
      <c r="L19" s="4" t="s">
        <v>564</v>
      </c>
      <c r="M19" s="4" t="s">
        <v>267</v>
      </c>
      <c r="N19" s="4" t="s">
        <v>63</v>
      </c>
      <c r="Q19" s="6" t="s">
        <v>268</v>
      </c>
      <c r="R19" s="5">
        <v>8400</v>
      </c>
      <c r="S19" s="5" t="s">
        <v>269</v>
      </c>
      <c r="U19" s="6" t="s">
        <v>270</v>
      </c>
      <c r="V19" s="5">
        <v>37.86</v>
      </c>
      <c r="W19" s="5" t="s">
        <v>17</v>
      </c>
    </row>
    <row r="20" spans="2:23" ht="17.25">
      <c r="B20" s="318" t="s">
        <v>271</v>
      </c>
      <c r="C20" s="15" t="s">
        <v>23</v>
      </c>
      <c r="D20" s="13">
        <f>R24</f>
        <v>37.7693150684931</v>
      </c>
      <c r="E20" s="13">
        <f>G20-(F20+D20)</f>
        <v>221.89472602739693</v>
      </c>
      <c r="F20" s="13">
        <f>I20*(R28/100)</f>
        <v>118.02910958904093</v>
      </c>
      <c r="G20" s="13">
        <f>D20*R27</f>
        <v>377.69315068493097</v>
      </c>
      <c r="H20" s="13">
        <f>(V27*R31)/1000</f>
        <v>141.63493150684911</v>
      </c>
      <c r="I20" s="13">
        <f>G20-H20</f>
        <v>236.05821917808186</v>
      </c>
      <c r="J20" s="13">
        <f>I20-L20</f>
        <v>231.07476788432234</v>
      </c>
      <c r="K20" s="13">
        <f>J20-F20</f>
        <v>113.04565829528141</v>
      </c>
      <c r="L20" s="13">
        <f>(I20*I25*((V23-V24)/100))/(V37*1000)</f>
        <v>4.9834512937595061</v>
      </c>
      <c r="M20" s="13">
        <f>L20</f>
        <v>4.9834512937595061</v>
      </c>
      <c r="N20" s="13">
        <f>N21/1000</f>
        <v>5.0657675192108957</v>
      </c>
      <c r="Q20" s="6" t="s">
        <v>272</v>
      </c>
      <c r="R20" s="5">
        <v>14260</v>
      </c>
      <c r="S20" s="5" t="s">
        <v>269</v>
      </c>
      <c r="U20" s="6" t="s">
        <v>273</v>
      </c>
      <c r="V20" s="5">
        <v>4.99</v>
      </c>
      <c r="W20" s="5" t="s">
        <v>17</v>
      </c>
    </row>
    <row r="21" spans="2:23">
      <c r="B21" s="318"/>
      <c r="C21" s="5" t="s">
        <v>274</v>
      </c>
      <c r="D21" s="7">
        <f t="shared" ref="D21:M21" si="0">D20*1000</f>
        <v>37769.315068493102</v>
      </c>
      <c r="E21" s="7">
        <f t="shared" si="0"/>
        <v>221894.72602739692</v>
      </c>
      <c r="F21" s="7">
        <f t="shared" si="0"/>
        <v>118029.10958904093</v>
      </c>
      <c r="G21" s="7">
        <f t="shared" si="0"/>
        <v>377693.15068493097</v>
      </c>
      <c r="H21" s="7">
        <f t="shared" si="0"/>
        <v>141634.93150684913</v>
      </c>
      <c r="I21" s="7">
        <f>I20*1000</f>
        <v>236058.21917808187</v>
      </c>
      <c r="J21" s="7">
        <f t="shared" si="0"/>
        <v>231074.76788432235</v>
      </c>
      <c r="K21" s="7">
        <f>K20*1000</f>
        <v>113045.65829528141</v>
      </c>
      <c r="L21" s="7">
        <f t="shared" si="0"/>
        <v>4983.4512937595064</v>
      </c>
      <c r="M21" s="7">
        <f t="shared" si="0"/>
        <v>4983.4512937595064</v>
      </c>
      <c r="N21" s="7">
        <f>M21+O63</f>
        <v>5065.7675192108954</v>
      </c>
      <c r="Q21" s="6" t="s">
        <v>275</v>
      </c>
      <c r="R21" s="5">
        <v>5120</v>
      </c>
      <c r="S21" s="5" t="s">
        <v>269</v>
      </c>
      <c r="U21" s="6" t="s">
        <v>276</v>
      </c>
      <c r="V21" s="5">
        <v>1.03</v>
      </c>
      <c r="W21" s="5" t="s">
        <v>17</v>
      </c>
    </row>
    <row r="22" spans="2:23">
      <c r="B22" s="318" t="s">
        <v>277</v>
      </c>
      <c r="C22" s="10" t="s">
        <v>274</v>
      </c>
      <c r="D22" s="13">
        <f>D21-D26</f>
        <v>37452.052821917758</v>
      </c>
      <c r="E22" s="13">
        <f>E21</f>
        <v>221894.72602739692</v>
      </c>
      <c r="F22" s="13">
        <f>F21-F24</f>
        <v>118017.05213176169</v>
      </c>
      <c r="G22" s="18">
        <f>D22+E22+F22</f>
        <v>377363.83098107635</v>
      </c>
      <c r="H22" s="13">
        <f>H21</f>
        <v>141634.93150684913</v>
      </c>
      <c r="I22" s="13">
        <f>I21-I24</f>
        <v>235586.1027397257</v>
      </c>
      <c r="J22" s="13">
        <f t="shared" ref="J22:M22" si="1">J21-J24</f>
        <v>231051.16206240456</v>
      </c>
      <c r="K22" s="13">
        <f t="shared" si="1"/>
        <v>113034.10993064284</v>
      </c>
      <c r="L22" s="13">
        <f>L21-L24</f>
        <v>4534.9406773211504</v>
      </c>
      <c r="M22" s="13">
        <f t="shared" si="1"/>
        <v>4534.9406773211504</v>
      </c>
      <c r="N22" s="13">
        <f>M22</f>
        <v>4534.9406773211504</v>
      </c>
      <c r="Q22" s="6" t="s">
        <v>278</v>
      </c>
      <c r="R22" s="5">
        <v>3328</v>
      </c>
      <c r="S22" s="5" t="s">
        <v>269</v>
      </c>
    </row>
    <row r="23" spans="2:23">
      <c r="B23" s="318"/>
      <c r="C23" s="5" t="s">
        <v>269</v>
      </c>
      <c r="D23" s="7" t="s">
        <v>12</v>
      </c>
      <c r="E23" s="7" t="s">
        <v>12</v>
      </c>
      <c r="F23" s="7" t="s">
        <v>12</v>
      </c>
      <c r="G23" s="7" t="s">
        <v>12</v>
      </c>
      <c r="H23" s="7" t="s">
        <v>12</v>
      </c>
      <c r="I23" s="7" t="s">
        <v>12</v>
      </c>
      <c r="J23" s="7" t="s">
        <v>12</v>
      </c>
      <c r="K23" s="7" t="s">
        <v>12</v>
      </c>
      <c r="L23" s="7" t="s">
        <v>12</v>
      </c>
      <c r="M23" s="7" t="s">
        <v>12</v>
      </c>
      <c r="N23" s="7" t="s">
        <v>12</v>
      </c>
      <c r="Q23" s="6" t="s">
        <v>279</v>
      </c>
      <c r="R23" s="5">
        <v>76</v>
      </c>
      <c r="S23" s="5" t="s">
        <v>269</v>
      </c>
      <c r="U23" s="12" t="s">
        <v>565</v>
      </c>
      <c r="V23" s="5">
        <v>95</v>
      </c>
      <c r="W23" s="5" t="s">
        <v>17</v>
      </c>
    </row>
    <row r="24" spans="2:23" ht="17.25">
      <c r="B24" s="318" t="s">
        <v>281</v>
      </c>
      <c r="C24" s="10" t="s">
        <v>274</v>
      </c>
      <c r="D24" s="13">
        <v>0</v>
      </c>
      <c r="E24" s="13">
        <v>0</v>
      </c>
      <c r="F24" s="13">
        <f>(F20*F25)/1000</f>
        <v>12.057457279243694</v>
      </c>
      <c r="G24" s="13">
        <f>D24+F24+E24</f>
        <v>12.057457279243694</v>
      </c>
      <c r="H24" s="13">
        <v>0</v>
      </c>
      <c r="I24" s="13">
        <f>(I20*I25)/1000</f>
        <v>472.11643835616371</v>
      </c>
      <c r="J24" s="13">
        <f>(R33*V27*(1-(V23/100)))/1000</f>
        <v>23.605821917808207</v>
      </c>
      <c r="K24" s="13">
        <f>(K25*K20)/1000</f>
        <v>11.548364638564514</v>
      </c>
      <c r="L24" s="13">
        <f>(R33*V27*((V23-V24)/100))/1000</f>
        <v>448.51061643835556</v>
      </c>
      <c r="M24" s="13">
        <f>L24</f>
        <v>448.51061643835556</v>
      </c>
      <c r="N24" s="13">
        <f>M24</f>
        <v>448.51061643835556</v>
      </c>
      <c r="Q24" s="6" t="s">
        <v>271</v>
      </c>
      <c r="R24" s="103">
        <f>37.7693150684931</f>
        <v>37.7693150684931</v>
      </c>
      <c r="S24" s="5" t="s">
        <v>23</v>
      </c>
      <c r="U24" s="6" t="s">
        <v>282</v>
      </c>
      <c r="V24" s="5">
        <v>0</v>
      </c>
      <c r="W24" s="5" t="s">
        <v>17</v>
      </c>
    </row>
    <row r="25" spans="2:23">
      <c r="B25" s="318"/>
      <c r="C25" s="5" t="s">
        <v>269</v>
      </c>
      <c r="D25" s="7">
        <v>0</v>
      </c>
      <c r="E25" s="7">
        <v>0</v>
      </c>
      <c r="F25" s="7">
        <f>J25</f>
        <v>102.15664018161191</v>
      </c>
      <c r="G25" s="7">
        <f>(G24/G20)*1000</f>
        <v>31.923950056753718</v>
      </c>
      <c r="H25" s="7">
        <v>0</v>
      </c>
      <c r="I25" s="7">
        <f>R32*1000</f>
        <v>2000</v>
      </c>
      <c r="J25" s="7">
        <f>(J24/J20)*1000</f>
        <v>102.15664018161191</v>
      </c>
      <c r="K25" s="7">
        <f>J25</f>
        <v>102.15664018161191</v>
      </c>
      <c r="L25" s="7">
        <f>(L24/L20)*1000</f>
        <v>90000</v>
      </c>
      <c r="M25" s="7">
        <f>(M24/M20)*1000</f>
        <v>90000</v>
      </c>
      <c r="N25" s="7">
        <f>(N24/N20)*1000</f>
        <v>88537.544357783903</v>
      </c>
    </row>
    <row r="26" spans="2:23">
      <c r="B26" s="318" t="s">
        <v>268</v>
      </c>
      <c r="C26" s="10" t="s">
        <v>274</v>
      </c>
      <c r="D26" s="13">
        <f>(D20*D27)/1000</f>
        <v>317.26224657534203</v>
      </c>
      <c r="E26" s="13">
        <v>0</v>
      </c>
      <c r="F26" s="13">
        <f>F24</f>
        <v>12.057457279243694</v>
      </c>
      <c r="G26" s="13">
        <f>D26+E26+F26</f>
        <v>329.31970385458573</v>
      </c>
      <c r="H26" s="13">
        <v>0</v>
      </c>
      <c r="I26" s="13">
        <f t="shared" ref="I26:N26" si="2">I24</f>
        <v>472.11643835616371</v>
      </c>
      <c r="J26" s="13">
        <f t="shared" si="2"/>
        <v>23.605821917808207</v>
      </c>
      <c r="K26" s="13">
        <f t="shared" si="2"/>
        <v>11.548364638564514</v>
      </c>
      <c r="L26" s="13">
        <f t="shared" si="2"/>
        <v>448.51061643835556</v>
      </c>
      <c r="M26" s="13">
        <f t="shared" si="2"/>
        <v>448.51061643835556</v>
      </c>
      <c r="N26" s="13">
        <f t="shared" si="2"/>
        <v>448.51061643835556</v>
      </c>
      <c r="Q26" s="319" t="s">
        <v>283</v>
      </c>
      <c r="R26" s="319"/>
      <c r="S26" s="319"/>
      <c r="U26" s="319" t="s">
        <v>284</v>
      </c>
      <c r="V26" s="319"/>
      <c r="W26" s="319"/>
    </row>
    <row r="27" spans="2:23" ht="17.25">
      <c r="B27" s="318"/>
      <c r="C27" s="5" t="s">
        <v>269</v>
      </c>
      <c r="D27" s="7">
        <f>R19</f>
        <v>8400</v>
      </c>
      <c r="E27" s="7">
        <v>0</v>
      </c>
      <c r="F27" s="7">
        <f>F25</f>
        <v>102.15664018161191</v>
      </c>
      <c r="G27" s="7">
        <f>(G26/G20)*1000</f>
        <v>871.92395005675371</v>
      </c>
      <c r="H27" s="7">
        <v>0</v>
      </c>
      <c r="I27" s="7">
        <f>(I26/I20)*1000</f>
        <v>2000</v>
      </c>
      <c r="J27" s="7">
        <f>(J26/J20)*1000</f>
        <v>102.15664018161191</v>
      </c>
      <c r="K27" s="7">
        <f>K25</f>
        <v>102.15664018161191</v>
      </c>
      <c r="L27" s="7">
        <f>(L26/L20)*1000</f>
        <v>90000</v>
      </c>
      <c r="M27" s="7">
        <f>(M26/M20)*1000</f>
        <v>90000</v>
      </c>
      <c r="N27" s="7">
        <f>(N26/N20)*1000</f>
        <v>88537.544357783903</v>
      </c>
      <c r="Q27" s="6" t="s">
        <v>285</v>
      </c>
      <c r="R27" s="5">
        <v>10</v>
      </c>
      <c r="S27" s="5" t="s">
        <v>17</v>
      </c>
      <c r="U27" s="6" t="s">
        <v>286</v>
      </c>
      <c r="V27" s="9">
        <f>V28/(R30/100)</f>
        <v>28326.986301369823</v>
      </c>
      <c r="W27" s="2" t="s">
        <v>287</v>
      </c>
    </row>
    <row r="28" spans="2:23" ht="17.25">
      <c r="B28" s="318" t="s">
        <v>272</v>
      </c>
      <c r="C28" s="10" t="s">
        <v>274</v>
      </c>
      <c r="D28" s="13">
        <f>(D20*D29)/1000</f>
        <v>538.59043287671159</v>
      </c>
      <c r="E28" s="13">
        <v>0</v>
      </c>
      <c r="F28" s="13">
        <f>(F29*F20)/1000</f>
        <v>60.255779618159153</v>
      </c>
      <c r="G28" s="13">
        <f>D28+E28+F28</f>
        <v>598.84621249487077</v>
      </c>
      <c r="H28" s="18">
        <f>G28-I28</f>
        <v>248.49110280604197</v>
      </c>
      <c r="I28" s="18">
        <f>J28+L28</f>
        <v>350.3551096888288</v>
      </c>
      <c r="J28" s="13">
        <f>(J20*J29)/1000</f>
        <v>117.96742631910715</v>
      </c>
      <c r="K28" s="13">
        <f>(K24*(R39/100))+D28*(1-(V31/100))*(K22/(L22+K22))</f>
        <v>57.711646700947988</v>
      </c>
      <c r="L28" s="13">
        <f>(L24*(R39/100))+D28*(1-(V31/100))*(L22/(L22+K22))</f>
        <v>232.38768336972166</v>
      </c>
      <c r="M28" s="13">
        <f>L28</f>
        <v>232.38768336972166</v>
      </c>
      <c r="N28" s="13">
        <f>M28</f>
        <v>232.38768336972166</v>
      </c>
      <c r="Q28" s="6" t="s">
        <v>260</v>
      </c>
      <c r="R28" s="69">
        <v>50</v>
      </c>
      <c r="S28" s="5" t="s">
        <v>17</v>
      </c>
      <c r="U28" s="6" t="s">
        <v>288</v>
      </c>
      <c r="V28" s="9">
        <f>G20*R29</f>
        <v>1133.0794520547929</v>
      </c>
      <c r="W28" s="2" t="s">
        <v>289</v>
      </c>
    </row>
    <row r="29" spans="2:23">
      <c r="B29" s="318"/>
      <c r="C29" s="5" t="s">
        <v>269</v>
      </c>
      <c r="D29" s="7">
        <f>R20</f>
        <v>14260</v>
      </c>
      <c r="E29" s="7">
        <v>0</v>
      </c>
      <c r="F29" s="7">
        <f>J29</f>
        <v>510.51626016633054</v>
      </c>
      <c r="G29" s="7">
        <f>(G28/G20)*1000</f>
        <v>1585.5363313019784</v>
      </c>
      <c r="H29" s="95">
        <f>(H28/H20)*1000</f>
        <v>1754.4478622777146</v>
      </c>
      <c r="I29" s="95">
        <f>(I28/I20)*1000</f>
        <v>1484.1894127165367</v>
      </c>
      <c r="J29" s="7">
        <f>K29</f>
        <v>510.51626016633054</v>
      </c>
      <c r="K29" s="7">
        <f>(K28/K20)*1000</f>
        <v>510.51626016633054</v>
      </c>
      <c r="L29" s="7">
        <f>(L28/L20)*1000</f>
        <v>46631.876117807675</v>
      </c>
      <c r="M29" s="7">
        <f>(M28/M20)*1000</f>
        <v>46631.876117807675</v>
      </c>
      <c r="N29" s="7">
        <f>(N28/N20)*1000</f>
        <v>45874.131114078664</v>
      </c>
      <c r="Q29" s="6" t="s">
        <v>65</v>
      </c>
      <c r="R29" s="69">
        <v>3</v>
      </c>
      <c r="S29" s="5" t="s">
        <v>26</v>
      </c>
    </row>
    <row r="30" spans="2:23">
      <c r="B30" s="318" t="s">
        <v>275</v>
      </c>
      <c r="C30" s="10" t="s">
        <v>274</v>
      </c>
      <c r="D30" s="13">
        <f>(D20*D31)/1000</f>
        <v>193.37889315068466</v>
      </c>
      <c r="E30" s="13">
        <v>0</v>
      </c>
      <c r="F30" s="13">
        <f>(F31*F20)/1000</f>
        <v>78.693990014889408</v>
      </c>
      <c r="G30" s="13">
        <f>D30+E30+F30</f>
        <v>272.07288316557407</v>
      </c>
      <c r="H30" s="18">
        <f>G30-I30</f>
        <v>76.052463080869984</v>
      </c>
      <c r="I30" s="18">
        <f>J30+L30</f>
        <v>196.02042008470409</v>
      </c>
      <c r="J30" s="13">
        <f>(J31*J20)/1000</f>
        <v>154.06534489581682</v>
      </c>
      <c r="K30" s="13">
        <f>(K24*(R40/100))+D30*(1-(V32/100))*(K22/(K22+L22))</f>
        <v>75.371354880927413</v>
      </c>
      <c r="L30" s="13">
        <f>(L24*(R40/100))+D30*(1-(V32/100))*(L22/(K22+L22))</f>
        <v>41.95507518888725</v>
      </c>
      <c r="M30" s="13">
        <f>L30</f>
        <v>41.95507518888725</v>
      </c>
      <c r="N30" s="13">
        <f>M30</f>
        <v>41.95507518888725</v>
      </c>
      <c r="Q30" s="6" t="s">
        <v>70</v>
      </c>
      <c r="R30" s="69">
        <v>4</v>
      </c>
      <c r="S30" s="5" t="s">
        <v>34</v>
      </c>
      <c r="U30" s="319" t="s">
        <v>290</v>
      </c>
      <c r="V30" s="319"/>
      <c r="W30" s="319"/>
    </row>
    <row r="31" spans="2:23" ht="17.25">
      <c r="B31" s="318"/>
      <c r="C31" s="5" t="s">
        <v>269</v>
      </c>
      <c r="D31" s="7">
        <f>R21</f>
        <v>5120</v>
      </c>
      <c r="E31" s="7">
        <v>0</v>
      </c>
      <c r="F31" s="7">
        <f>J31</f>
        <v>666.73374296298334</v>
      </c>
      <c r="G31" s="7">
        <f>(G30/G20)*1000</f>
        <v>720.35429467593224</v>
      </c>
      <c r="H31" s="95">
        <f>(H30/H20)*1000</f>
        <v>536.96120209718379</v>
      </c>
      <c r="I31" s="95">
        <f>(I30/I20)*1000</f>
        <v>830.39015022318142</v>
      </c>
      <c r="J31" s="7">
        <f>K31</f>
        <v>666.73374296298334</v>
      </c>
      <c r="K31" s="7">
        <f>(K30/K20)*1000</f>
        <v>666.73374296298334</v>
      </c>
      <c r="L31" s="7">
        <f>(L30/L20)*1000</f>
        <v>8418.879350024994</v>
      </c>
      <c r="M31" s="7">
        <f>(M30/M20)*1000</f>
        <v>8418.879350024994</v>
      </c>
      <c r="N31" s="7">
        <f>(N30/N20)*1000</f>
        <v>8282.0767099518744</v>
      </c>
      <c r="Q31" s="6" t="s">
        <v>262</v>
      </c>
      <c r="R31" s="68">
        <v>5</v>
      </c>
      <c r="S31" s="5" t="s">
        <v>21</v>
      </c>
      <c r="U31" s="6" t="s">
        <v>272</v>
      </c>
      <c r="V31" s="2">
        <v>90</v>
      </c>
      <c r="W31" s="5" t="s">
        <v>17</v>
      </c>
    </row>
    <row r="32" spans="2:23">
      <c r="B32" s="320" t="s">
        <v>278</v>
      </c>
      <c r="C32" s="182" t="s">
        <v>274</v>
      </c>
      <c r="D32" s="180">
        <f>(D20*D33)/1000</f>
        <v>125.69628054794504</v>
      </c>
      <c r="E32" s="180">
        <v>0</v>
      </c>
      <c r="F32" s="180">
        <f>(F33*F20)/1000</f>
        <v>2.2425530821917778</v>
      </c>
      <c r="G32" s="180">
        <f>D32+E32+F32</f>
        <v>127.93883363013681</v>
      </c>
      <c r="H32" s="180">
        <f>G32*0.1</f>
        <v>12.793883363013682</v>
      </c>
      <c r="I32" s="180">
        <f>G32-H32</f>
        <v>115.14495026712314</v>
      </c>
      <c r="J32" s="180">
        <f>(J33*J20)/1000</f>
        <v>4.3904205898021242</v>
      </c>
      <c r="K32" s="180">
        <f>(K20*K33)/1000</f>
        <v>2.1478675076103468</v>
      </c>
      <c r="L32" s="180">
        <f>I32-J32</f>
        <v>110.75452967732102</v>
      </c>
      <c r="M32" s="180">
        <f>L32</f>
        <v>110.75452967732102</v>
      </c>
      <c r="N32" s="180">
        <f>M32</f>
        <v>110.75452967732102</v>
      </c>
      <c r="Q32" s="6" t="s">
        <v>291</v>
      </c>
      <c r="R32" s="5">
        <v>2</v>
      </c>
      <c r="S32" s="5" t="s">
        <v>19</v>
      </c>
      <c r="U32" s="6" t="s">
        <v>273</v>
      </c>
      <c r="V32" s="2">
        <v>60</v>
      </c>
      <c r="W32" s="5" t="s">
        <v>17</v>
      </c>
    </row>
    <row r="33" spans="2:23" ht="17.25">
      <c r="B33" s="320"/>
      <c r="C33" s="183" t="s">
        <v>269</v>
      </c>
      <c r="D33" s="181">
        <f>R22</f>
        <v>3328</v>
      </c>
      <c r="E33" s="181">
        <v>0</v>
      </c>
      <c r="F33" s="181">
        <f>J33</f>
        <v>19</v>
      </c>
      <c r="G33" s="181">
        <f>(G31/G20)*1000</f>
        <v>1907.2474398055654</v>
      </c>
      <c r="H33" s="181">
        <f>(H32/H20)*1000</f>
        <v>90.330000000000013</v>
      </c>
      <c r="I33" s="181">
        <f>(I32/I20)*1000</f>
        <v>487.78200000000004</v>
      </c>
      <c r="J33" s="181">
        <v>19</v>
      </c>
      <c r="K33" s="181">
        <v>19</v>
      </c>
      <c r="L33" s="181">
        <f>(L32/L20)*1000</f>
        <v>22224.463157894737</v>
      </c>
      <c r="M33" s="181">
        <f>(M32/M20)*1000</f>
        <v>22224.463157894737</v>
      </c>
      <c r="N33" s="181">
        <f>(N32/N20)*1000</f>
        <v>21863.326585222658</v>
      </c>
      <c r="P33" s="8"/>
      <c r="Q33" s="6" t="s">
        <v>292</v>
      </c>
      <c r="R33" s="7">
        <f>(I24*1000)/V27</f>
        <v>16.666666666666668</v>
      </c>
      <c r="S33" s="5" t="s">
        <v>40</v>
      </c>
      <c r="U33" s="6" t="s">
        <v>276</v>
      </c>
      <c r="V33" s="2">
        <v>60</v>
      </c>
      <c r="W33" s="5" t="s">
        <v>17</v>
      </c>
    </row>
    <row r="34" spans="2:23">
      <c r="B34" s="318" t="s">
        <v>279</v>
      </c>
      <c r="C34" s="10" t="s">
        <v>274</v>
      </c>
      <c r="D34" s="13">
        <f>(D20*D35)/1000</f>
        <v>2.8704679452054758</v>
      </c>
      <c r="E34" s="13">
        <v>0</v>
      </c>
      <c r="F34" s="13">
        <f>(F35*F20)/1000</f>
        <v>1.1887347626372635</v>
      </c>
      <c r="G34" s="13">
        <f>D34+E34+F34</f>
        <v>4.0592027078427391</v>
      </c>
      <c r="H34" s="18">
        <f>G34-I34</f>
        <v>0.34210382389252469</v>
      </c>
      <c r="I34" s="18">
        <f>J34+L34</f>
        <v>3.7170988839502144</v>
      </c>
      <c r="J34" s="13">
        <f>(J35*J20)/1000</f>
        <v>2.3272785019631756</v>
      </c>
      <c r="K34" s="13">
        <f>(K24*(R41/100))+D34*(1-(V33/100))*(K22/(K22+L22))</f>
        <v>1.1385437393259121</v>
      </c>
      <c r="L34" s="13">
        <f>(L24*(R41/100))+D34*(1-(V33/100))*(L22/(K22+L22))</f>
        <v>1.3898203819870385</v>
      </c>
      <c r="M34" s="13">
        <f>L34</f>
        <v>1.3898203819870385</v>
      </c>
      <c r="N34" s="13">
        <f>M34+O63</f>
        <v>83.706045833375754</v>
      </c>
    </row>
    <row r="35" spans="2:23">
      <c r="B35" s="318"/>
      <c r="C35" s="5" t="s">
        <v>269</v>
      </c>
      <c r="D35" s="7">
        <f>R23</f>
        <v>76</v>
      </c>
      <c r="E35" s="7">
        <v>0</v>
      </c>
      <c r="F35" s="7">
        <f>J35</f>
        <v>10.071538849833347</v>
      </c>
      <c r="G35" s="7">
        <f>(G34/G20)*1000</f>
        <v>10.747355890572921</v>
      </c>
      <c r="H35" s="95">
        <f>(H34/H20)*1000</f>
        <v>2.4153916004540266</v>
      </c>
      <c r="I35" s="95">
        <f>(I34/I20)*1000</f>
        <v>15.74653446464426</v>
      </c>
      <c r="J35" s="7">
        <f>K35</f>
        <v>10.071538849833347</v>
      </c>
      <c r="K35" s="7">
        <f>(K34/K20)*1000</f>
        <v>10.071538849833347</v>
      </c>
      <c r="L35" s="7">
        <f>(L34/L20)*1000</f>
        <v>278.88712060403435</v>
      </c>
      <c r="M35" s="7">
        <f>(M34/M20)*1000</f>
        <v>278.88712060403435</v>
      </c>
      <c r="N35" s="7">
        <f>(N34/N20)*1000</f>
        <v>16523.862478082057</v>
      </c>
      <c r="Q35" s="319" t="s">
        <v>293</v>
      </c>
      <c r="R35" s="319"/>
      <c r="S35" s="319"/>
      <c r="U35" s="319" t="s">
        <v>566</v>
      </c>
      <c r="V35" s="319"/>
      <c r="W35" s="319"/>
    </row>
    <row r="36" spans="2:23" ht="17.25">
      <c r="B36" s="318" t="s">
        <v>294</v>
      </c>
      <c r="C36" s="10" t="s">
        <v>274</v>
      </c>
      <c r="D36" s="13">
        <v>0</v>
      </c>
      <c r="E36" s="13">
        <v>0</v>
      </c>
      <c r="F36" s="13">
        <f>(F37*F20)/1000</f>
        <v>6.2337054133689902</v>
      </c>
      <c r="G36" s="13">
        <f>D36+E36+F36</f>
        <v>6.2337054133689902</v>
      </c>
      <c r="H36" s="13">
        <v>0</v>
      </c>
      <c r="I36" s="13">
        <f>J36+L36</f>
        <v>244.08419863013668</v>
      </c>
      <c r="J36" s="13">
        <f>J24*(R36/100)</f>
        <v>12.204209931506844</v>
      </c>
      <c r="K36" s="13">
        <f>K24*(R36/100)</f>
        <v>5.9705045181378544</v>
      </c>
      <c r="L36" s="13">
        <f>L24*(R36/100)</f>
        <v>231.87998869862983</v>
      </c>
      <c r="M36" s="13">
        <f>L36</f>
        <v>231.87998869862983</v>
      </c>
      <c r="N36" s="13">
        <f>M36</f>
        <v>231.87998869862983</v>
      </c>
      <c r="Q36" s="6" t="s">
        <v>294</v>
      </c>
      <c r="R36" s="2">
        <v>51.7</v>
      </c>
      <c r="S36" s="5" t="s">
        <v>17</v>
      </c>
      <c r="U36" s="6" t="s">
        <v>295</v>
      </c>
      <c r="V36" s="2" t="s">
        <v>12</v>
      </c>
      <c r="W36" s="5" t="s">
        <v>296</v>
      </c>
    </row>
    <row r="37" spans="2:23">
      <c r="B37" s="318"/>
      <c r="C37" s="5" t="s">
        <v>269</v>
      </c>
      <c r="D37" s="7">
        <v>0</v>
      </c>
      <c r="E37" s="7">
        <v>0</v>
      </c>
      <c r="F37" s="7">
        <f>J37</f>
        <v>52.814982973893358</v>
      </c>
      <c r="G37" s="7">
        <f>(G36/G20)*1000</f>
        <v>16.504682179341678</v>
      </c>
      <c r="H37" s="7">
        <v>0</v>
      </c>
      <c r="I37" s="7">
        <f t="shared" ref="I37:N37" si="3">(I36/I20)*1000</f>
        <v>1034.0000000000002</v>
      </c>
      <c r="J37" s="7">
        <f t="shared" si="3"/>
        <v>52.814982973893358</v>
      </c>
      <c r="K37" s="7">
        <f t="shared" si="3"/>
        <v>52.814982973893358</v>
      </c>
      <c r="L37" s="7">
        <f t="shared" si="3"/>
        <v>46530</v>
      </c>
      <c r="M37" s="7">
        <f t="shared" si="3"/>
        <v>46530</v>
      </c>
      <c r="N37" s="7">
        <f t="shared" si="3"/>
        <v>45773.910432974277</v>
      </c>
      <c r="Q37" s="6" t="s">
        <v>297</v>
      </c>
      <c r="R37" s="2">
        <v>22.3</v>
      </c>
      <c r="S37" s="5" t="s">
        <v>17</v>
      </c>
      <c r="U37" s="12" t="s">
        <v>298</v>
      </c>
      <c r="V37" s="2">
        <v>90</v>
      </c>
      <c r="W37" s="2" t="s">
        <v>19</v>
      </c>
    </row>
    <row r="38" spans="2:23">
      <c r="B38" s="318" t="s">
        <v>297</v>
      </c>
      <c r="C38" s="10" t="s">
        <v>274</v>
      </c>
      <c r="D38" s="13">
        <v>0</v>
      </c>
      <c r="E38" s="13">
        <v>0</v>
      </c>
      <c r="F38" s="13">
        <f>(F39*F20)/1000</f>
        <v>2.6888129732713435</v>
      </c>
      <c r="G38" s="13">
        <f>D38+E38+F38</f>
        <v>2.6888129732713435</v>
      </c>
      <c r="H38" s="13">
        <v>0</v>
      </c>
      <c r="I38" s="13">
        <f>J38+L38</f>
        <v>105.28196575342452</v>
      </c>
      <c r="J38" s="13">
        <f>J24*(R37/100)</f>
        <v>5.2640982876712306</v>
      </c>
      <c r="K38" s="13">
        <f>K24*(R37/100)</f>
        <v>2.5752853143998866</v>
      </c>
      <c r="L38" s="13">
        <f>L24*(R37/100)</f>
        <v>100.01786746575328</v>
      </c>
      <c r="M38" s="13">
        <f>L38</f>
        <v>100.01786746575328</v>
      </c>
      <c r="N38" s="13">
        <f>M38</f>
        <v>100.01786746575328</v>
      </c>
      <c r="Q38" s="6" t="s">
        <v>299</v>
      </c>
      <c r="R38" s="2">
        <v>13.4</v>
      </c>
      <c r="S38" s="5" t="s">
        <v>17</v>
      </c>
      <c r="U38" s="12" t="s">
        <v>300</v>
      </c>
      <c r="V38" s="268">
        <f>V37/R32</f>
        <v>45</v>
      </c>
      <c r="W38" s="269"/>
    </row>
    <row r="39" spans="2:23">
      <c r="B39" s="318"/>
      <c r="C39" s="5" t="s">
        <v>269</v>
      </c>
      <c r="D39" s="7">
        <v>0</v>
      </c>
      <c r="E39" s="7">
        <v>0</v>
      </c>
      <c r="F39" s="7">
        <f>J39</f>
        <v>22.780930760499455</v>
      </c>
      <c r="G39" s="7">
        <f>(G38/G20)*1000</f>
        <v>7.119040862656079</v>
      </c>
      <c r="H39" s="7">
        <v>0</v>
      </c>
      <c r="I39" s="7">
        <f t="shared" ref="I39:N39" si="4">(I38/I20)*1000</f>
        <v>446</v>
      </c>
      <c r="J39" s="7">
        <f t="shared" si="4"/>
        <v>22.780930760499455</v>
      </c>
      <c r="K39" s="7">
        <f t="shared" si="4"/>
        <v>22.780930760499452</v>
      </c>
      <c r="L39" s="7">
        <f t="shared" si="4"/>
        <v>20070</v>
      </c>
      <c r="M39" s="7">
        <f t="shared" si="4"/>
        <v>20070</v>
      </c>
      <c r="N39" s="7">
        <f t="shared" si="4"/>
        <v>19743.872391785808</v>
      </c>
      <c r="Q39" s="6" t="s">
        <v>270</v>
      </c>
      <c r="R39" s="2">
        <v>51.35</v>
      </c>
      <c r="S39" s="5" t="s">
        <v>17</v>
      </c>
    </row>
    <row r="40" spans="2:23">
      <c r="B40" s="318" t="s">
        <v>299</v>
      </c>
      <c r="C40" s="10" t="s">
        <v>274</v>
      </c>
      <c r="D40" s="13">
        <v>0</v>
      </c>
      <c r="E40" s="13">
        <v>0</v>
      </c>
      <c r="F40" s="13">
        <f>(F41*F20)/1000</f>
        <v>1.615699275418655</v>
      </c>
      <c r="G40" s="13">
        <f>D40+E40+F40</f>
        <v>1.615699275418655</v>
      </c>
      <c r="H40" s="13">
        <v>0</v>
      </c>
      <c r="I40" s="13">
        <f>J40+L40</f>
        <v>63.263602739725947</v>
      </c>
      <c r="J40" s="13">
        <f>J24*(R38/100)</f>
        <v>3.1631801369862997</v>
      </c>
      <c r="K40" s="13">
        <f>K24*(R38/100)</f>
        <v>1.547480861567645</v>
      </c>
      <c r="L40" s="13">
        <f>L24*(R38/100)</f>
        <v>60.100422602739648</v>
      </c>
      <c r="M40" s="13">
        <f>L40</f>
        <v>60.100422602739648</v>
      </c>
      <c r="N40" s="13">
        <f>M40</f>
        <v>60.100422602739648</v>
      </c>
      <c r="Q40" s="6" t="s">
        <v>273</v>
      </c>
      <c r="R40" s="9">
        <f>R36/5.95</f>
        <v>8.6890756302521019</v>
      </c>
      <c r="S40" s="5" t="s">
        <v>17</v>
      </c>
    </row>
    <row r="41" spans="2:23">
      <c r="B41" s="318"/>
      <c r="C41" s="5" t="s">
        <v>269</v>
      </c>
      <c r="D41" s="7">
        <v>0</v>
      </c>
      <c r="E41" s="7">
        <v>0</v>
      </c>
      <c r="F41" s="7">
        <f>J41</f>
        <v>13.688989784335995</v>
      </c>
      <c r="G41" s="7">
        <f>(G40/G20)*1000</f>
        <v>4.2778093076049988</v>
      </c>
      <c r="H41" s="7">
        <v>0</v>
      </c>
      <c r="I41" s="7">
        <f t="shared" ref="I41:N41" si="5">(I40/I20)*1000</f>
        <v>268</v>
      </c>
      <c r="J41" s="7">
        <f t="shared" si="5"/>
        <v>13.688989784335995</v>
      </c>
      <c r="K41" s="7">
        <f t="shared" si="5"/>
        <v>13.688989784335996</v>
      </c>
      <c r="L41" s="7">
        <f t="shared" si="5"/>
        <v>12060</v>
      </c>
      <c r="M41" s="7">
        <f t="shared" si="5"/>
        <v>12060</v>
      </c>
      <c r="N41" s="7">
        <f t="shared" si="5"/>
        <v>11864.030943943042</v>
      </c>
      <c r="Q41" s="6" t="s">
        <v>276</v>
      </c>
      <c r="R41" s="2">
        <v>0.3</v>
      </c>
      <c r="S41" s="5" t="s">
        <v>17</v>
      </c>
    </row>
    <row r="42" spans="2:23">
      <c r="F42" s="8"/>
      <c r="J42" s="66"/>
      <c r="K42" s="66"/>
    </row>
    <row r="43" spans="2:23">
      <c r="J43" s="67"/>
      <c r="K43" s="67"/>
      <c r="N43" s="8">
        <f>(N26/N21)*100</f>
        <v>8.8537544357783897</v>
      </c>
    </row>
    <row r="44" spans="2:23">
      <c r="B44" s="292" t="s">
        <v>301</v>
      </c>
      <c r="C44" s="292"/>
      <c r="D44" s="292"/>
      <c r="E44" s="9">
        <f>(((G32-H32)-I32)/(G32-H32))*100</f>
        <v>0</v>
      </c>
      <c r="F44" s="75" t="s">
        <v>302</v>
      </c>
    </row>
    <row r="46" spans="2:23">
      <c r="B46" s="292" t="s">
        <v>303</v>
      </c>
      <c r="C46" s="292"/>
      <c r="D46" s="292"/>
      <c r="E46" s="292"/>
      <c r="H46" s="8"/>
    </row>
    <row r="47" spans="2:23">
      <c r="B47" s="2"/>
      <c r="C47" s="14" t="s">
        <v>304</v>
      </c>
      <c r="D47" s="14" t="s">
        <v>305</v>
      </c>
      <c r="E47" s="14" t="s">
        <v>306</v>
      </c>
    </row>
    <row r="48" spans="2:23">
      <c r="B48" s="14" t="s">
        <v>275</v>
      </c>
      <c r="C48" s="9">
        <f>D30</f>
        <v>193.37889315068466</v>
      </c>
      <c r="D48" s="9">
        <f>H30+K30+N30</f>
        <v>193.37889315068463</v>
      </c>
      <c r="E48" s="9">
        <f>N24*(R40/100)</f>
        <v>38.971426672038632</v>
      </c>
    </row>
    <row r="49" spans="2:20">
      <c r="B49" s="14" t="s">
        <v>279</v>
      </c>
      <c r="C49" s="9">
        <f>D34</f>
        <v>2.8704679452054758</v>
      </c>
      <c r="D49" s="9">
        <f>H34+K34+N34</f>
        <v>85.186693396594194</v>
      </c>
      <c r="E49" s="9">
        <f>N24*(R41/100)</f>
        <v>1.3455318493150668</v>
      </c>
    </row>
    <row r="50" spans="2:20">
      <c r="B50" s="14" t="s">
        <v>278</v>
      </c>
      <c r="C50" s="9">
        <f>D32</f>
        <v>125.69628054794504</v>
      </c>
      <c r="D50" s="9">
        <f>H32+K32+N32</f>
        <v>125.69628054794505</v>
      </c>
      <c r="E50" s="9">
        <f>D32*(E44/100)</f>
        <v>0</v>
      </c>
      <c r="F50" s="72"/>
    </row>
    <row r="51" spans="2:20">
      <c r="B51" s="14" t="s">
        <v>271</v>
      </c>
      <c r="C51" s="9">
        <f>D20+E20</f>
        <v>259.66404109589001</v>
      </c>
      <c r="D51" s="9">
        <f>H20+N20+K20</f>
        <v>259.74635732134141</v>
      </c>
      <c r="E51" s="9" t="s">
        <v>12</v>
      </c>
    </row>
    <row r="54" spans="2:20" ht="20.25" thickBot="1">
      <c r="B54" s="291" t="s">
        <v>307</v>
      </c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</row>
    <row r="55" spans="2:20" ht="15.75" thickTop="1"/>
    <row r="56" spans="2:20">
      <c r="B56" s="314" t="s">
        <v>308</v>
      </c>
      <c r="C56" s="314"/>
      <c r="D56" s="314"/>
      <c r="F56" s="314" t="s">
        <v>280</v>
      </c>
      <c r="G56" s="314"/>
      <c r="H56" s="314"/>
      <c r="J56" s="314" t="s">
        <v>309</v>
      </c>
      <c r="K56" s="314"/>
      <c r="L56" s="314"/>
      <c r="N56" s="314" t="s">
        <v>310</v>
      </c>
      <c r="O56" s="314"/>
      <c r="P56" s="314"/>
      <c r="R56" s="314" t="s">
        <v>311</v>
      </c>
      <c r="S56" s="314"/>
      <c r="T56" s="314"/>
    </row>
    <row r="57" spans="2:20" ht="17.25">
      <c r="B57" s="16" t="s">
        <v>286</v>
      </c>
      <c r="C57" s="9">
        <f>V27</f>
        <v>28326.986301369823</v>
      </c>
      <c r="D57" s="2" t="s">
        <v>287</v>
      </c>
      <c r="F57" s="17" t="s">
        <v>286</v>
      </c>
      <c r="G57" s="7" t="s">
        <v>12</v>
      </c>
      <c r="H57" s="5" t="s">
        <v>287</v>
      </c>
      <c r="J57" s="17" t="s">
        <v>312</v>
      </c>
      <c r="K57" s="5">
        <v>400</v>
      </c>
      <c r="L57" s="5" t="s">
        <v>313</v>
      </c>
      <c r="N57" s="17" t="s">
        <v>314</v>
      </c>
      <c r="O57" s="5">
        <v>2</v>
      </c>
      <c r="P57" s="5" t="s">
        <v>17</v>
      </c>
      <c r="R57" s="17" t="s">
        <v>315</v>
      </c>
      <c r="S57" s="9">
        <f>N20</f>
        <v>5.0657675192108957</v>
      </c>
      <c r="T57" s="2" t="s">
        <v>23</v>
      </c>
    </row>
    <row r="58" spans="2:20" ht="17.25">
      <c r="B58" s="16" t="s">
        <v>288</v>
      </c>
      <c r="C58" s="9">
        <f>V28</f>
        <v>1133.0794520547929</v>
      </c>
      <c r="D58" s="2" t="s">
        <v>289</v>
      </c>
      <c r="F58" s="17" t="s">
        <v>316</v>
      </c>
      <c r="G58" s="5" t="s">
        <v>12</v>
      </c>
      <c r="H58" s="5" t="s">
        <v>317</v>
      </c>
      <c r="J58" s="17" t="s">
        <v>316</v>
      </c>
      <c r="K58" s="97">
        <f>10/60</f>
        <v>0.16666666666666666</v>
      </c>
      <c r="L58" s="5" t="s">
        <v>317</v>
      </c>
      <c r="N58" s="17" t="s">
        <v>318</v>
      </c>
      <c r="O58" s="7">
        <f>(O57/100)*M24</f>
        <v>8.9702123287671114</v>
      </c>
      <c r="P58" s="5" t="s">
        <v>274</v>
      </c>
      <c r="R58" s="17" t="s">
        <v>65</v>
      </c>
      <c r="S58" s="2">
        <v>24</v>
      </c>
      <c r="T58" s="2" t="s">
        <v>317</v>
      </c>
    </row>
    <row r="59" spans="2:20" ht="17.25">
      <c r="B59" s="16" t="s">
        <v>70</v>
      </c>
      <c r="C59" s="2">
        <f>R30/100</f>
        <v>0.04</v>
      </c>
      <c r="D59" s="2" t="s">
        <v>319</v>
      </c>
      <c r="F59" s="17" t="s">
        <v>320</v>
      </c>
      <c r="G59" s="2" t="s">
        <v>12</v>
      </c>
      <c r="H59" s="5" t="s">
        <v>287</v>
      </c>
      <c r="J59" s="17" t="s">
        <v>321</v>
      </c>
      <c r="K59" s="5">
        <v>50</v>
      </c>
      <c r="L59" s="5" t="s">
        <v>322</v>
      </c>
      <c r="N59" s="17" t="s">
        <v>323</v>
      </c>
      <c r="O59" s="5">
        <v>10</v>
      </c>
      <c r="P59" s="5" t="s">
        <v>324</v>
      </c>
      <c r="R59" s="17" t="s">
        <v>288</v>
      </c>
      <c r="S59" s="9">
        <f>S57*(S58/24)</f>
        <v>5.0657675192108957</v>
      </c>
      <c r="T59" s="2" t="s">
        <v>289</v>
      </c>
    </row>
    <row r="60" spans="2:20" ht="17.25">
      <c r="B60" s="16" t="s">
        <v>323</v>
      </c>
      <c r="C60" s="5">
        <v>50</v>
      </c>
      <c r="D60" s="2" t="s">
        <v>33</v>
      </c>
      <c r="F60" s="17" t="s">
        <v>567</v>
      </c>
      <c r="G60" s="71" t="s">
        <v>12</v>
      </c>
      <c r="H60" s="2"/>
      <c r="J60" s="17" t="s">
        <v>326</v>
      </c>
      <c r="K60" s="9">
        <f>K59*L24</f>
        <v>22425.530821917779</v>
      </c>
      <c r="L60" s="5" t="s">
        <v>327</v>
      </c>
      <c r="N60" s="17" t="s">
        <v>328</v>
      </c>
      <c r="O60" s="7">
        <f>O58*O59</f>
        <v>89.702123287671114</v>
      </c>
      <c r="P60" s="5" t="s">
        <v>329</v>
      </c>
    </row>
    <row r="61" spans="2:20">
      <c r="B61" s="16" t="s">
        <v>328</v>
      </c>
      <c r="C61" s="9">
        <f>C58*C60</f>
        <v>56653.972602739646</v>
      </c>
      <c r="D61" s="2" t="s">
        <v>228</v>
      </c>
      <c r="N61" s="17" t="s">
        <v>65</v>
      </c>
      <c r="O61" s="2">
        <v>4</v>
      </c>
      <c r="P61" s="5" t="s">
        <v>317</v>
      </c>
    </row>
    <row r="62" spans="2:20" ht="17.25">
      <c r="B62" s="16" t="s">
        <v>65</v>
      </c>
      <c r="C62" s="2">
        <v>24</v>
      </c>
      <c r="D62" s="2" t="s">
        <v>317</v>
      </c>
      <c r="N62" s="17" t="s">
        <v>288</v>
      </c>
      <c r="O62" s="7">
        <f>(M20/24)*O61</f>
        <v>0.83057521562658432</v>
      </c>
      <c r="P62" s="2" t="s">
        <v>289</v>
      </c>
    </row>
    <row r="63" spans="2:20">
      <c r="N63" s="17" t="s">
        <v>331</v>
      </c>
      <c r="O63" s="9">
        <v>82.316225451388718</v>
      </c>
      <c r="P63" s="5" t="s">
        <v>274</v>
      </c>
    </row>
    <row r="65" spans="2:25" ht="20.25" thickBot="1">
      <c r="B65" s="291" t="s">
        <v>332</v>
      </c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S65" s="317" t="s">
        <v>333</v>
      </c>
      <c r="T65" s="317"/>
      <c r="U65" s="317"/>
      <c r="V65" s="317"/>
      <c r="W65" s="317"/>
      <c r="X65" s="317"/>
      <c r="Y65" s="317"/>
    </row>
    <row r="66" spans="2:25" ht="15.75" thickTop="1"/>
    <row r="67" spans="2:25" ht="17.25">
      <c r="B67" s="303" t="s">
        <v>334</v>
      </c>
      <c r="C67" s="303"/>
      <c r="D67" s="303"/>
      <c r="E67" s="303"/>
      <c r="F67" s="303"/>
      <c r="G67" s="303"/>
      <c r="I67" s="303" t="s">
        <v>334</v>
      </c>
      <c r="J67" s="303"/>
      <c r="K67" s="303"/>
      <c r="L67" s="303"/>
      <c r="M67" s="303"/>
      <c r="N67" s="303"/>
      <c r="O67" s="303"/>
      <c r="P67" s="303"/>
      <c r="S67" s="285" t="s">
        <v>335</v>
      </c>
      <c r="T67" s="7">
        <f>M20</f>
        <v>4.9834512937595061</v>
      </c>
      <c r="U67" s="5" t="s">
        <v>23</v>
      </c>
      <c r="W67" s="285" t="s">
        <v>336</v>
      </c>
      <c r="X67" s="285"/>
      <c r="Y67" s="285"/>
    </row>
    <row r="68" spans="2:25">
      <c r="B68" s="31" t="s">
        <v>337</v>
      </c>
      <c r="C68" s="308" t="s">
        <v>338</v>
      </c>
      <c r="D68" s="308"/>
      <c r="E68" s="31" t="s">
        <v>339</v>
      </c>
      <c r="F68" s="308" t="s">
        <v>340</v>
      </c>
      <c r="G68" s="308"/>
      <c r="I68" s="31" t="s">
        <v>341</v>
      </c>
      <c r="J68" s="31" t="s">
        <v>342</v>
      </c>
      <c r="K68" s="308" t="s">
        <v>340</v>
      </c>
      <c r="L68" s="308"/>
      <c r="M68" s="31" t="s">
        <v>339</v>
      </c>
      <c r="N68" s="31" t="s">
        <v>343</v>
      </c>
      <c r="O68" s="31" t="s">
        <v>214</v>
      </c>
      <c r="P68" s="31" t="s">
        <v>17</v>
      </c>
      <c r="S68" s="285"/>
      <c r="T68" s="7">
        <f>M21</f>
        <v>4983.4512937595064</v>
      </c>
      <c r="U68" s="2" t="s">
        <v>274</v>
      </c>
      <c r="W68" s="309" t="s">
        <v>271</v>
      </c>
      <c r="X68" s="2">
        <f>X70*X71*(X72-X73)/1000</f>
        <v>416616.52815829468</v>
      </c>
      <c r="Y68" s="2" t="s">
        <v>344</v>
      </c>
    </row>
    <row r="69" spans="2:25" ht="17.25">
      <c r="B69" s="2">
        <v>1</v>
      </c>
      <c r="C69" s="2">
        <f>'Escenario 1'!C69</f>
        <v>4</v>
      </c>
      <c r="D69" s="2" t="s">
        <v>345</v>
      </c>
      <c r="E69" s="20">
        <f>'Escenario 1'!E69</f>
        <v>6774</v>
      </c>
      <c r="F69" s="9">
        <f>(C124*C123)/C122</f>
        <v>15.737214611872124</v>
      </c>
      <c r="G69" s="2" t="s">
        <v>345</v>
      </c>
      <c r="I69" s="1">
        <v>1</v>
      </c>
      <c r="J69" s="1" t="s">
        <v>346</v>
      </c>
      <c r="K69" s="9">
        <f>+IF(F69/C69&lt;1,C69,IF(F69/C69&lt;10,F69,F69/(1+INT(F69/(C69*10)))))</f>
        <v>15.737214611872124</v>
      </c>
      <c r="L69" s="2" t="s">
        <v>345</v>
      </c>
      <c r="M69" s="20">
        <f t="shared" ref="M69:M84" si="6">E69*(K69/C69)^$D$86</f>
        <v>21701.156903190928</v>
      </c>
      <c r="N69" s="2">
        <f>+IF(B69=1,ROUNDUP(F69/K69,0),0)</f>
        <v>1</v>
      </c>
      <c r="O69" s="20">
        <f>M69*N69</f>
        <v>21701.156903190928</v>
      </c>
      <c r="P69" s="35">
        <f t="shared" ref="P69:P84" si="7">(O69/$O$85)</f>
        <v>4.6545801386242314E-2</v>
      </c>
      <c r="S69" s="132" t="s">
        <v>347</v>
      </c>
      <c r="T69" s="5">
        <v>30</v>
      </c>
      <c r="U69" s="5" t="s">
        <v>348</v>
      </c>
      <c r="W69" s="309"/>
      <c r="X69" s="9">
        <f>X68/(24*60*60)</f>
        <v>4.8219505573876695</v>
      </c>
      <c r="Y69" s="2" t="s">
        <v>349</v>
      </c>
    </row>
    <row r="70" spans="2:25" ht="17.25">
      <c r="B70" s="2">
        <v>1</v>
      </c>
      <c r="C70" s="2">
        <f>'Escenario 1'!C70</f>
        <v>200</v>
      </c>
      <c r="D70" s="2" t="s">
        <v>345</v>
      </c>
      <c r="E70" s="20">
        <f>'Escenario 1'!E70</f>
        <v>2822.5</v>
      </c>
      <c r="F70" s="9">
        <f>C125*C124*60</f>
        <v>679.84767123287577</v>
      </c>
      <c r="G70" s="2" t="s">
        <v>345</v>
      </c>
      <c r="I70" s="1">
        <v>2</v>
      </c>
      <c r="J70" s="1" t="s">
        <v>350</v>
      </c>
      <c r="K70" s="9">
        <f>+IF(F70/C70&lt;1,C70,IF(F70/C70&lt;10,F70,F70/(1+INT(F70/(C70*10)))))</f>
        <v>679.84767123287577</v>
      </c>
      <c r="L70" s="2" t="s">
        <v>345</v>
      </c>
      <c r="M70" s="20">
        <f t="shared" si="6"/>
        <v>7985.6142295367463</v>
      </c>
      <c r="N70" s="2">
        <f>+IF(B70=1,ROUNDUP(F70/K70,0),0)</f>
        <v>1</v>
      </c>
      <c r="O70" s="20">
        <f>M70*N70</f>
        <v>7985.6142295367463</v>
      </c>
      <c r="P70" s="35">
        <f t="shared" si="7"/>
        <v>1.7127972279695085E-2</v>
      </c>
      <c r="S70" s="132" t="s">
        <v>351</v>
      </c>
      <c r="T70" s="5">
        <v>50</v>
      </c>
      <c r="U70" s="5" t="s">
        <v>348</v>
      </c>
      <c r="W70" s="29" t="s">
        <v>335</v>
      </c>
      <c r="X70" s="9">
        <f>T68</f>
        <v>4983.4512937595064</v>
      </c>
      <c r="Y70" s="2" t="s">
        <v>274</v>
      </c>
    </row>
    <row r="71" spans="2:25" ht="18">
      <c r="B71" s="2">
        <v>1</v>
      </c>
      <c r="C71" s="2">
        <f>'Escenario 1'!C71</f>
        <v>4</v>
      </c>
      <c r="D71" s="2" t="s">
        <v>352</v>
      </c>
      <c r="E71" s="20">
        <f>'Escenario 1'!E71</f>
        <v>564.5</v>
      </c>
      <c r="F71" s="9">
        <f>(C127*C124*C126)/C122</f>
        <v>29.507277397260236</v>
      </c>
      <c r="G71" s="2" t="s">
        <v>352</v>
      </c>
      <c r="I71" s="1">
        <v>3</v>
      </c>
      <c r="J71" s="1" t="s">
        <v>353</v>
      </c>
      <c r="K71" s="9">
        <f t="shared" ref="K71:K84" si="8">+IF(F71/C71&lt;1,C71,IF(F71/C71&lt;10,F71,F71/(1+INT(F71/(C71*10)))))</f>
        <v>29.507277397260236</v>
      </c>
      <c r="L71" s="2" t="s">
        <v>352</v>
      </c>
      <c r="M71" s="20">
        <f t="shared" si="6"/>
        <v>3085.6930490457139</v>
      </c>
      <c r="N71" s="2">
        <f t="shared" ref="N71:N84" si="9">+IF(B71=1,ROUNDUP(F71/K71,0),0)</f>
        <v>1</v>
      </c>
      <c r="O71" s="20">
        <f t="shared" ref="O71:O84" si="10">M71*N71</f>
        <v>3085.6930490457139</v>
      </c>
      <c r="P71" s="35">
        <f t="shared" si="7"/>
        <v>6.6183594008608617E-3</v>
      </c>
      <c r="W71" s="29" t="s">
        <v>354</v>
      </c>
      <c r="X71" s="2">
        <v>4180</v>
      </c>
      <c r="Y71" s="2" t="s">
        <v>355</v>
      </c>
    </row>
    <row r="72" spans="2:25" ht="17.25">
      <c r="B72" s="2">
        <v>1</v>
      </c>
      <c r="C72" s="2">
        <f>'Escenario 1'!C72</f>
        <v>200</v>
      </c>
      <c r="D72" s="2" t="s">
        <v>289</v>
      </c>
      <c r="E72" s="20">
        <f>'Escenario 1'!E72</f>
        <v>10000</v>
      </c>
      <c r="F72" s="9">
        <f>C124</f>
        <v>1133.0794520547929</v>
      </c>
      <c r="G72" s="2" t="s">
        <v>289</v>
      </c>
      <c r="I72" s="1">
        <v>4</v>
      </c>
      <c r="J72" s="1" t="s">
        <v>308</v>
      </c>
      <c r="K72" s="9">
        <f t="shared" si="8"/>
        <v>1133.0794520547929</v>
      </c>
      <c r="L72" s="2" t="s">
        <v>289</v>
      </c>
      <c r="M72" s="20">
        <f t="shared" si="6"/>
        <v>43676.297243828347</v>
      </c>
      <c r="N72" s="2">
        <f t="shared" si="9"/>
        <v>1</v>
      </c>
      <c r="O72" s="20">
        <f t="shared" si="10"/>
        <v>43676.297243828347</v>
      </c>
      <c r="P72" s="35">
        <f t="shared" si="7"/>
        <v>9.3679257095219334E-2</v>
      </c>
      <c r="W72" s="29" t="s">
        <v>356</v>
      </c>
      <c r="X72" s="2">
        <f>T70</f>
        <v>50</v>
      </c>
      <c r="Y72" s="2" t="s">
        <v>348</v>
      </c>
    </row>
    <row r="73" spans="2:25" ht="17.25">
      <c r="B73" s="2">
        <v>1</v>
      </c>
      <c r="C73" s="2">
        <f>'Escenario 1'!C73</f>
        <v>1</v>
      </c>
      <c r="D73" s="2" t="s">
        <v>289</v>
      </c>
      <c r="E73" s="20">
        <f>'Escenario 1'!E73</f>
        <v>564.5</v>
      </c>
      <c r="F73" s="9">
        <f>F69</f>
        <v>15.737214611872124</v>
      </c>
      <c r="G73" s="2" t="s">
        <v>289</v>
      </c>
      <c r="I73" s="1">
        <v>5</v>
      </c>
      <c r="J73" s="1" t="s">
        <v>568</v>
      </c>
      <c r="K73" s="9">
        <f t="shared" si="8"/>
        <v>7.8686073059360622</v>
      </c>
      <c r="L73" s="2" t="s">
        <v>289</v>
      </c>
      <c r="M73" s="20">
        <f t="shared" si="6"/>
        <v>3259.6962830318389</v>
      </c>
      <c r="N73" s="2">
        <f t="shared" si="9"/>
        <v>2</v>
      </c>
      <c r="O73" s="20">
        <f t="shared" si="10"/>
        <v>6519.3925660636778</v>
      </c>
      <c r="P73" s="35">
        <f t="shared" si="7"/>
        <v>1.3983141677314235E-2</v>
      </c>
      <c r="W73" s="29" t="s">
        <v>358</v>
      </c>
      <c r="X73" s="2">
        <f>T69</f>
        <v>30</v>
      </c>
      <c r="Y73" s="2" t="s">
        <v>348</v>
      </c>
    </row>
    <row r="74" spans="2:25" ht="17.25">
      <c r="B74" s="2">
        <v>1</v>
      </c>
      <c r="C74" s="9">
        <f>F74</f>
        <v>9.8357591324200779</v>
      </c>
      <c r="D74" s="2" t="s">
        <v>345</v>
      </c>
      <c r="E74" s="20">
        <f>J212</f>
        <v>274000</v>
      </c>
      <c r="F74" s="9">
        <f>I20/F90</f>
        <v>9.8357591324200779</v>
      </c>
      <c r="G74" s="2" t="s">
        <v>345</v>
      </c>
      <c r="I74" s="1">
        <v>6</v>
      </c>
      <c r="J74" s="157" t="s">
        <v>566</v>
      </c>
      <c r="K74" s="9">
        <f t="shared" si="8"/>
        <v>9.8357591324200779</v>
      </c>
      <c r="L74" s="2" t="s">
        <v>345</v>
      </c>
      <c r="M74" s="20">
        <f t="shared" si="6"/>
        <v>274000</v>
      </c>
      <c r="N74" s="2">
        <f t="shared" si="9"/>
        <v>1</v>
      </c>
      <c r="O74" s="20">
        <f t="shared" si="10"/>
        <v>274000</v>
      </c>
      <c r="P74" s="35">
        <f t="shared" si="7"/>
        <v>0.58768984698484528</v>
      </c>
    </row>
    <row r="75" spans="2:25" ht="17.25">
      <c r="B75" s="2">
        <v>1</v>
      </c>
      <c r="C75" s="9">
        <f>C76</f>
        <v>0.83</v>
      </c>
      <c r="D75" s="2" t="s">
        <v>289</v>
      </c>
      <c r="E75" s="20">
        <f>E76*0.25</f>
        <v>11600</v>
      </c>
      <c r="F75" s="9">
        <f>O62</f>
        <v>0.83057521562658432</v>
      </c>
      <c r="G75" s="2" t="s">
        <v>289</v>
      </c>
      <c r="I75" s="1">
        <v>7</v>
      </c>
      <c r="J75" s="157" t="s">
        <v>360</v>
      </c>
      <c r="K75" s="9">
        <f t="shared" si="8"/>
        <v>0.83057521562658432</v>
      </c>
      <c r="L75" s="2" t="s">
        <v>289</v>
      </c>
      <c r="M75" s="20">
        <f t="shared" si="6"/>
        <v>11606.83292935001</v>
      </c>
      <c r="N75" s="2">
        <f t="shared" si="9"/>
        <v>1</v>
      </c>
      <c r="O75" s="20">
        <f t="shared" si="10"/>
        <v>11606.83292935001</v>
      </c>
      <c r="P75" s="35">
        <f t="shared" si="7"/>
        <v>2.4894955723461204E-2</v>
      </c>
      <c r="W75" s="256" t="s">
        <v>361</v>
      </c>
      <c r="X75" s="256"/>
      <c r="Y75" s="256"/>
    </row>
    <row r="76" spans="2:25" ht="17.25">
      <c r="B76" s="2">
        <v>1</v>
      </c>
      <c r="C76" s="9">
        <f>E204</f>
        <v>0.83</v>
      </c>
      <c r="D76" s="2" t="s">
        <v>289</v>
      </c>
      <c r="E76" s="20">
        <f>J204</f>
        <v>46400</v>
      </c>
      <c r="F76" s="9">
        <f>O62</f>
        <v>0.83057521562658432</v>
      </c>
      <c r="G76" s="2" t="s">
        <v>289</v>
      </c>
      <c r="I76" s="1">
        <v>8</v>
      </c>
      <c r="J76" s="157" t="s">
        <v>362</v>
      </c>
      <c r="K76" s="9">
        <f t="shared" si="8"/>
        <v>0.83057521562658432</v>
      </c>
      <c r="L76" s="2" t="s">
        <v>289</v>
      </c>
      <c r="M76" s="20">
        <f t="shared" si="6"/>
        <v>46427.33171740004</v>
      </c>
      <c r="N76" s="2">
        <f t="shared" si="9"/>
        <v>1</v>
      </c>
      <c r="O76" s="20">
        <f t="shared" si="10"/>
        <v>46427.33171740004</v>
      </c>
      <c r="P76" s="35">
        <f t="shared" si="7"/>
        <v>9.9579822893844816E-2</v>
      </c>
      <c r="W76" s="29" t="s">
        <v>271</v>
      </c>
      <c r="X76" s="127">
        <f>X69</f>
        <v>4.8219505573876695</v>
      </c>
      <c r="Y76" s="2" t="s">
        <v>349</v>
      </c>
    </row>
    <row r="77" spans="2:25" ht="17.25">
      <c r="B77" s="2">
        <v>1</v>
      </c>
      <c r="C77" s="9">
        <f>E208</f>
        <v>5.09</v>
      </c>
      <c r="D77" s="2" t="s">
        <v>289</v>
      </c>
      <c r="E77" s="20">
        <f>J208</f>
        <v>17200</v>
      </c>
      <c r="F77" s="9">
        <f>S59</f>
        <v>5.0657675192108957</v>
      </c>
      <c r="G77" s="2" t="s">
        <v>289</v>
      </c>
      <c r="I77" s="1">
        <v>9</v>
      </c>
      <c r="J77" s="157" t="s">
        <v>363</v>
      </c>
      <c r="K77" s="9">
        <f t="shared" si="8"/>
        <v>5.09</v>
      </c>
      <c r="L77" s="2" t="s">
        <v>289</v>
      </c>
      <c r="M77" s="20">
        <f t="shared" si="6"/>
        <v>17200</v>
      </c>
      <c r="N77" s="2">
        <f t="shared" si="9"/>
        <v>1</v>
      </c>
      <c r="O77" s="32">
        <f t="shared" si="10"/>
        <v>17200</v>
      </c>
      <c r="P77" s="35">
        <f t="shared" si="7"/>
        <v>3.6891479445764007E-2</v>
      </c>
      <c r="W77" s="29" t="s">
        <v>364</v>
      </c>
      <c r="X77" s="2">
        <v>2200.6999999999998</v>
      </c>
      <c r="Y77" s="2" t="s">
        <v>365</v>
      </c>
    </row>
    <row r="78" spans="2:25" ht="17.25">
      <c r="B78" s="2">
        <v>1</v>
      </c>
      <c r="C78" s="9">
        <f>C194/1000</f>
        <v>1.5737214611872146</v>
      </c>
      <c r="D78" s="2" t="s">
        <v>345</v>
      </c>
      <c r="E78" s="20">
        <f>J194</f>
        <v>4780</v>
      </c>
      <c r="F78" s="9">
        <f>D20/24</f>
        <v>1.5737214611872126</v>
      </c>
      <c r="G78" s="2" t="s">
        <v>345</v>
      </c>
      <c r="I78" s="1">
        <v>10</v>
      </c>
      <c r="J78" s="157" t="s">
        <v>366</v>
      </c>
      <c r="K78" s="9">
        <f t="shared" si="8"/>
        <v>1.5737214611872146</v>
      </c>
      <c r="L78" s="2" t="s">
        <v>345</v>
      </c>
      <c r="M78" s="20">
        <f t="shared" si="6"/>
        <v>4780</v>
      </c>
      <c r="N78" s="2">
        <f t="shared" si="9"/>
        <v>1</v>
      </c>
      <c r="O78" s="32">
        <f t="shared" si="10"/>
        <v>4780</v>
      </c>
      <c r="P78" s="35">
        <f t="shared" si="7"/>
        <v>1.0252399520392556E-2</v>
      </c>
      <c r="W78" s="309" t="s">
        <v>367</v>
      </c>
      <c r="X78" s="9">
        <f>X76/X77</f>
        <v>2.1910985401861543E-3</v>
      </c>
      <c r="Y78" s="2" t="s">
        <v>368</v>
      </c>
    </row>
    <row r="79" spans="2:25" ht="17.25">
      <c r="B79" s="2">
        <v>1</v>
      </c>
      <c r="C79" s="9">
        <f t="shared" ref="C79:C84" si="11">C195/1000</f>
        <v>9.245613584474885</v>
      </c>
      <c r="D79" s="2" t="s">
        <v>345</v>
      </c>
      <c r="E79" s="20">
        <f t="shared" ref="E79:E84" si="12">J195</f>
        <v>5230</v>
      </c>
      <c r="F79" s="9">
        <f>E20/24</f>
        <v>9.2456135844748726</v>
      </c>
      <c r="G79" s="2" t="s">
        <v>345</v>
      </c>
      <c r="I79" s="1">
        <v>11</v>
      </c>
      <c r="J79" s="1" t="s">
        <v>369</v>
      </c>
      <c r="K79" s="9">
        <f t="shared" si="8"/>
        <v>9.245613584474885</v>
      </c>
      <c r="L79" s="2" t="s">
        <v>345</v>
      </c>
      <c r="M79" s="20">
        <f t="shared" si="6"/>
        <v>5230</v>
      </c>
      <c r="N79" s="2">
        <f>+IF(B79=1,ROUNDUP(F79/K79,0),0)</f>
        <v>1</v>
      </c>
      <c r="O79" s="32">
        <f>M79*N79</f>
        <v>5230</v>
      </c>
      <c r="P79" s="35">
        <f t="shared" si="7"/>
        <v>1.1217583575659638E-2</v>
      </c>
      <c r="W79" s="309"/>
      <c r="X79" s="9">
        <f>X78*24*60*60</f>
        <v>189.31091387208374</v>
      </c>
      <c r="Y79" s="2" t="s">
        <v>370</v>
      </c>
    </row>
    <row r="80" spans="2:25" ht="17.25">
      <c r="B80" s="2">
        <v>1</v>
      </c>
      <c r="C80" s="9">
        <f t="shared" si="11"/>
        <v>4.9178795662100443</v>
      </c>
      <c r="D80" s="2" t="s">
        <v>345</v>
      </c>
      <c r="E80" s="20">
        <f t="shared" si="12"/>
        <v>5000</v>
      </c>
      <c r="F80" s="9">
        <f>F20/24</f>
        <v>4.917879566210039</v>
      </c>
      <c r="G80" s="2" t="s">
        <v>345</v>
      </c>
      <c r="I80" s="1">
        <v>12</v>
      </c>
      <c r="J80" s="1" t="s">
        <v>371</v>
      </c>
      <c r="K80" s="9">
        <f t="shared" si="8"/>
        <v>4.9178795662100443</v>
      </c>
      <c r="L80" s="2" t="s">
        <v>345</v>
      </c>
      <c r="M80" s="20">
        <f t="shared" si="6"/>
        <v>5000</v>
      </c>
      <c r="N80" s="2">
        <f t="shared" si="9"/>
        <v>1</v>
      </c>
      <c r="O80" s="32">
        <f t="shared" si="10"/>
        <v>5000</v>
      </c>
      <c r="P80" s="35">
        <f t="shared" si="7"/>
        <v>1.0724267280745351E-2</v>
      </c>
      <c r="W80" s="29" t="s">
        <v>227</v>
      </c>
      <c r="X80" s="2">
        <v>120</v>
      </c>
      <c r="Y80" s="2" t="s">
        <v>348</v>
      </c>
    </row>
    <row r="81" spans="2:16" ht="17.25">
      <c r="B81" s="2">
        <v>1</v>
      </c>
      <c r="C81" s="9">
        <f t="shared" si="11"/>
        <v>9.8357591324200886</v>
      </c>
      <c r="D81" s="2" t="s">
        <v>345</v>
      </c>
      <c r="E81" s="20">
        <f t="shared" si="12"/>
        <v>5340</v>
      </c>
      <c r="F81" s="9">
        <f>I20/24</f>
        <v>9.8357591324200779</v>
      </c>
      <c r="G81" s="2" t="s">
        <v>345</v>
      </c>
      <c r="I81" s="1">
        <v>13</v>
      </c>
      <c r="J81" s="1" t="s">
        <v>372</v>
      </c>
      <c r="K81" s="9">
        <f t="shared" si="8"/>
        <v>9.8357591324200886</v>
      </c>
      <c r="L81" s="2" t="s">
        <v>345</v>
      </c>
      <c r="M81" s="20">
        <f t="shared" si="6"/>
        <v>5340</v>
      </c>
      <c r="N81" s="2">
        <f t="shared" si="9"/>
        <v>1</v>
      </c>
      <c r="O81" s="32">
        <f t="shared" si="10"/>
        <v>5340</v>
      </c>
      <c r="P81" s="35">
        <f t="shared" si="7"/>
        <v>1.1453517455836035E-2</v>
      </c>
    </row>
    <row r="82" spans="2:16" ht="17.25">
      <c r="B82" s="2">
        <v>1</v>
      </c>
      <c r="C82" s="9">
        <f t="shared" si="11"/>
        <v>0.2076438039066463</v>
      </c>
      <c r="D82" s="2" t="s">
        <v>345</v>
      </c>
      <c r="E82" s="20">
        <f t="shared" si="12"/>
        <v>4560</v>
      </c>
      <c r="F82" s="9">
        <f>L20/24</f>
        <v>0.20764380390664608</v>
      </c>
      <c r="G82" s="2" t="s">
        <v>345</v>
      </c>
      <c r="I82" s="1">
        <v>14</v>
      </c>
      <c r="J82" s="1" t="s">
        <v>373</v>
      </c>
      <c r="K82" s="9">
        <f t="shared" si="8"/>
        <v>0.2076438039066463</v>
      </c>
      <c r="L82" s="2" t="s">
        <v>345</v>
      </c>
      <c r="M82" s="20">
        <f t="shared" si="6"/>
        <v>4560</v>
      </c>
      <c r="N82" s="2">
        <f t="shared" si="9"/>
        <v>1</v>
      </c>
      <c r="O82" s="32">
        <f t="shared" si="10"/>
        <v>4560</v>
      </c>
      <c r="P82" s="35">
        <f t="shared" si="7"/>
        <v>9.7805317600397606E-3</v>
      </c>
    </row>
    <row r="83" spans="2:16" ht="17.25">
      <c r="B83" s="2">
        <v>1</v>
      </c>
      <c r="C83" s="9">
        <f t="shared" si="11"/>
        <v>0.2076438039066463</v>
      </c>
      <c r="D83" s="2" t="s">
        <v>345</v>
      </c>
      <c r="E83" s="20">
        <f t="shared" si="12"/>
        <v>4560</v>
      </c>
      <c r="F83" s="9">
        <f>M20/24</f>
        <v>0.20764380390664608</v>
      </c>
      <c r="G83" s="2" t="s">
        <v>345</v>
      </c>
      <c r="I83" s="1">
        <v>15</v>
      </c>
      <c r="J83" s="1" t="s">
        <v>374</v>
      </c>
      <c r="K83" s="9">
        <f t="shared" si="8"/>
        <v>0.2076438039066463</v>
      </c>
      <c r="L83" s="2" t="s">
        <v>345</v>
      </c>
      <c r="M83" s="20">
        <f t="shared" si="6"/>
        <v>4560</v>
      </c>
      <c r="N83" s="2">
        <f t="shared" si="9"/>
        <v>1</v>
      </c>
      <c r="O83" s="32">
        <f t="shared" si="10"/>
        <v>4560</v>
      </c>
      <c r="P83" s="35">
        <f t="shared" si="7"/>
        <v>9.7805317600397606E-3</v>
      </c>
    </row>
    <row r="84" spans="2:16" ht="18" thickBot="1">
      <c r="B84" s="2">
        <v>1</v>
      </c>
      <c r="C84" s="9">
        <f t="shared" si="11"/>
        <v>0.21188263946060631</v>
      </c>
      <c r="D84" s="2" t="s">
        <v>345</v>
      </c>
      <c r="E84" s="20">
        <f t="shared" si="12"/>
        <v>4560</v>
      </c>
      <c r="F84" s="9">
        <f>N20/24</f>
        <v>0.21107364663378733</v>
      </c>
      <c r="G84" s="2" t="s">
        <v>345</v>
      </c>
      <c r="I84" s="1">
        <v>16</v>
      </c>
      <c r="J84" s="1" t="s">
        <v>375</v>
      </c>
      <c r="K84" s="9">
        <f t="shared" si="8"/>
        <v>0.21188263946060631</v>
      </c>
      <c r="L84" s="2" t="s">
        <v>345</v>
      </c>
      <c r="M84" s="20">
        <f t="shared" si="6"/>
        <v>4560</v>
      </c>
      <c r="N84" s="2">
        <f t="shared" si="9"/>
        <v>1</v>
      </c>
      <c r="O84" s="32">
        <f t="shared" si="10"/>
        <v>4560</v>
      </c>
      <c r="P84" s="35">
        <f t="shared" si="7"/>
        <v>9.7805317600397606E-3</v>
      </c>
    </row>
    <row r="85" spans="2:16" ht="15.75" thickBot="1">
      <c r="O85" s="33">
        <f>SUM(O69:O84)</f>
        <v>466232.31863841548</v>
      </c>
      <c r="P85" s="34">
        <f>SUM(P69:P84)</f>
        <v>1</v>
      </c>
    </row>
    <row r="86" spans="2:16">
      <c r="B86" s="310" t="s">
        <v>376</v>
      </c>
      <c r="C86" s="310"/>
      <c r="D86" s="1">
        <v>0.85</v>
      </c>
      <c r="E86" s="1"/>
    </row>
    <row r="87" spans="2:16">
      <c r="B87" s="252" t="s">
        <v>377</v>
      </c>
      <c r="C87" s="252"/>
      <c r="D87" s="252"/>
      <c r="E87" s="1">
        <f>0.73+2.07+2.11+1.91+2.29+1.36</f>
        <v>10.469999999999999</v>
      </c>
      <c r="I87" s="303" t="s">
        <v>378</v>
      </c>
      <c r="J87" s="303"/>
      <c r="K87" s="303"/>
      <c r="L87" s="303"/>
      <c r="M87" s="303"/>
    </row>
    <row r="88" spans="2:16">
      <c r="I88" s="31" t="s">
        <v>341</v>
      </c>
      <c r="J88" s="31" t="s">
        <v>342</v>
      </c>
      <c r="K88" s="31" t="s">
        <v>380</v>
      </c>
      <c r="L88" s="31" t="s">
        <v>381</v>
      </c>
      <c r="M88" s="31" t="s">
        <v>17</v>
      </c>
    </row>
    <row r="89" spans="2:16">
      <c r="B89" s="310" t="s">
        <v>383</v>
      </c>
      <c r="C89" s="310"/>
      <c r="D89" s="310"/>
      <c r="F89" s="90" t="s">
        <v>384</v>
      </c>
      <c r="G89" s="90" t="s">
        <v>385</v>
      </c>
      <c r="I89" s="1">
        <v>1</v>
      </c>
      <c r="J89" s="1" t="s">
        <v>382</v>
      </c>
      <c r="K89" s="1">
        <v>1</v>
      </c>
      <c r="L89" s="21">
        <f>O85</f>
        <v>466232.31863841548</v>
      </c>
      <c r="M89" s="35">
        <f>(L89/$L$102)</f>
        <v>0.24390243902439024</v>
      </c>
    </row>
    <row r="90" spans="2:16" ht="17.25">
      <c r="B90" s="52" t="s">
        <v>308</v>
      </c>
      <c r="C90" s="5">
        <f>'Escenario 1'!C91</f>
        <v>50</v>
      </c>
      <c r="D90" s="2" t="s">
        <v>33</v>
      </c>
      <c r="F90" s="2">
        <v>24</v>
      </c>
      <c r="G90" s="2">
        <v>365</v>
      </c>
      <c r="I90" s="1">
        <v>2</v>
      </c>
      <c r="J90" s="1" t="s">
        <v>386</v>
      </c>
      <c r="K90" s="112">
        <f>'Escenario 1'!K90</f>
        <v>0.38</v>
      </c>
      <c r="L90" s="21">
        <f>K90*$L$89</f>
        <v>177168.28108259788</v>
      </c>
      <c r="M90" s="35">
        <f t="shared" ref="M90:M101" si="13">(L90/$L$102)</f>
        <v>9.2682926829268292E-2</v>
      </c>
    </row>
    <row r="91" spans="2:16" ht="17.25">
      <c r="B91" s="52" t="s">
        <v>277</v>
      </c>
      <c r="C91" s="5">
        <f>'Escenario 1'!C92</f>
        <v>0.05</v>
      </c>
      <c r="D91" s="2" t="s">
        <v>33</v>
      </c>
      <c r="I91" s="1">
        <v>3</v>
      </c>
      <c r="J91" s="1" t="s">
        <v>387</v>
      </c>
      <c r="K91" s="112">
        <f>'Escenario 1'!K91</f>
        <v>0.12</v>
      </c>
      <c r="L91" s="21">
        <f>K91*$L$89</f>
        <v>55947.878236609853</v>
      </c>
      <c r="M91" s="35">
        <f t="shared" si="13"/>
        <v>2.9268292682926824E-2</v>
      </c>
    </row>
    <row r="92" spans="2:16" ht="18">
      <c r="B92" s="53" t="s">
        <v>143</v>
      </c>
      <c r="C92" s="5">
        <f>'Escenario 1'!C93</f>
        <v>0.1</v>
      </c>
      <c r="D92" s="2" t="s">
        <v>324</v>
      </c>
      <c r="I92" s="1">
        <v>4</v>
      </c>
      <c r="J92" s="1" t="s">
        <v>388</v>
      </c>
      <c r="K92" s="112">
        <f>'Escenario 1'!K92</f>
        <v>0.31</v>
      </c>
      <c r="L92" s="21">
        <f>K92*$L$89</f>
        <v>144532.01877790879</v>
      </c>
      <c r="M92" s="35">
        <f t="shared" si="13"/>
        <v>7.5609756097560959E-2</v>
      </c>
    </row>
    <row r="93" spans="2:16">
      <c r="B93" s="52" t="s">
        <v>390</v>
      </c>
      <c r="C93" s="5">
        <f>'Escenario 1'!C94</f>
        <v>0.3</v>
      </c>
      <c r="D93" s="2" t="s">
        <v>324</v>
      </c>
      <c r="I93" s="1">
        <v>5</v>
      </c>
      <c r="J93" s="1" t="s">
        <v>389</v>
      </c>
      <c r="K93" s="112">
        <f>'Escenario 1'!K93</f>
        <v>0.1</v>
      </c>
      <c r="L93" s="21">
        <f t="shared" ref="L93:L101" si="14">K93*$L$89</f>
        <v>46623.231863841553</v>
      </c>
      <c r="M93" s="35">
        <f t="shared" si="13"/>
        <v>2.4390243902439025E-2</v>
      </c>
    </row>
    <row r="94" spans="2:16">
      <c r="B94" s="52" t="s">
        <v>321</v>
      </c>
      <c r="C94" s="5">
        <f>'Escenario 1'!C95</f>
        <v>0.25</v>
      </c>
      <c r="D94" s="2" t="s">
        <v>9</v>
      </c>
      <c r="I94" s="1">
        <v>6</v>
      </c>
      <c r="J94" s="1" t="s">
        <v>391</v>
      </c>
      <c r="K94" s="112">
        <f>'Escenario 1'!K94</f>
        <v>0.28999999999999998</v>
      </c>
      <c r="L94" s="21">
        <f t="shared" si="14"/>
        <v>135207.37240514049</v>
      </c>
      <c r="M94" s="35">
        <f t="shared" si="13"/>
        <v>7.0731707317073164E-2</v>
      </c>
    </row>
    <row r="95" spans="2:16">
      <c r="B95" s="52" t="s">
        <v>393</v>
      </c>
      <c r="C95" s="5">
        <f>'Escenario 1'!C96</f>
        <v>10</v>
      </c>
      <c r="D95" s="2" t="s">
        <v>324</v>
      </c>
      <c r="I95" s="1">
        <v>7</v>
      </c>
      <c r="J95" s="1" t="s">
        <v>392</v>
      </c>
      <c r="K95" s="112">
        <f>'Escenario 1'!K95</f>
        <v>0.1</v>
      </c>
      <c r="L95" s="21">
        <f t="shared" si="14"/>
        <v>46623.231863841553</v>
      </c>
      <c r="M95" s="35">
        <f t="shared" si="13"/>
        <v>2.4390243902439025E-2</v>
      </c>
    </row>
    <row r="96" spans="2:16" ht="17.25">
      <c r="B96" s="52" t="s">
        <v>395</v>
      </c>
      <c r="C96" s="5">
        <f>'Escenario 1'!C97</f>
        <v>0.05</v>
      </c>
      <c r="D96" s="2" t="s">
        <v>33</v>
      </c>
      <c r="I96" s="1">
        <v>8</v>
      </c>
      <c r="J96" s="1" t="s">
        <v>394</v>
      </c>
      <c r="K96" s="112">
        <f>'Escenario 1'!K96</f>
        <v>0.54</v>
      </c>
      <c r="L96" s="21">
        <f t="shared" si="14"/>
        <v>251765.45206474437</v>
      </c>
      <c r="M96" s="35">
        <f t="shared" si="13"/>
        <v>0.13170731707317074</v>
      </c>
    </row>
    <row r="97" spans="2:13">
      <c r="B97" s="184" t="s">
        <v>331</v>
      </c>
      <c r="C97" s="5">
        <f>'Escenario 1'!C98</f>
        <v>0.5</v>
      </c>
      <c r="D97" s="2" t="s">
        <v>324</v>
      </c>
      <c r="I97" s="1">
        <v>9</v>
      </c>
      <c r="J97" s="1" t="s">
        <v>396</v>
      </c>
      <c r="K97" s="112">
        <f>'Escenario 1'!K97</f>
        <v>0.06</v>
      </c>
      <c r="L97" s="21">
        <f t="shared" si="14"/>
        <v>27973.939118304927</v>
      </c>
      <c r="M97" s="35">
        <f t="shared" si="13"/>
        <v>1.4634146341463412E-2</v>
      </c>
    </row>
    <row r="98" spans="2:13">
      <c r="B98" s="184" t="s">
        <v>569</v>
      </c>
      <c r="C98" s="2">
        <v>0.14000000000000001</v>
      </c>
      <c r="D98" s="2" t="s">
        <v>324</v>
      </c>
      <c r="I98" s="1">
        <v>10</v>
      </c>
      <c r="J98" s="1" t="s">
        <v>397</v>
      </c>
      <c r="K98" s="112">
        <f>'Escenario 1'!K98</f>
        <v>0.32</v>
      </c>
      <c r="L98" s="21">
        <f t="shared" si="14"/>
        <v>149194.34196429295</v>
      </c>
      <c r="M98" s="35">
        <f t="shared" si="13"/>
        <v>7.8048780487804878E-2</v>
      </c>
    </row>
    <row r="99" spans="2:13">
      <c r="B99" s="310" t="s">
        <v>400</v>
      </c>
      <c r="C99" s="310"/>
      <c r="D99" s="310"/>
      <c r="E99" s="60"/>
      <c r="I99" s="1">
        <v>11</v>
      </c>
      <c r="J99" s="1" t="s">
        <v>399</v>
      </c>
      <c r="K99" s="112">
        <f>'Escenario 1'!K99</f>
        <v>0.34</v>
      </c>
      <c r="L99" s="21">
        <f t="shared" si="14"/>
        <v>158518.98833706128</v>
      </c>
      <c r="M99" s="35">
        <f t="shared" si="13"/>
        <v>8.2926829268292687E-2</v>
      </c>
    </row>
    <row r="100" spans="2:13" ht="17.25">
      <c r="B100" s="54" t="s">
        <v>402</v>
      </c>
      <c r="C100" s="2">
        <v>19</v>
      </c>
      <c r="D100" s="2" t="s">
        <v>403</v>
      </c>
      <c r="E100" s="60"/>
      <c r="I100" s="1">
        <v>12</v>
      </c>
      <c r="J100" s="1" t="s">
        <v>401</v>
      </c>
      <c r="K100" s="112">
        <f>'Escenario 1'!K100</f>
        <v>0.18</v>
      </c>
      <c r="L100" s="21">
        <f t="shared" si="14"/>
        <v>83921.81735491479</v>
      </c>
      <c r="M100" s="35">
        <f t="shared" si="13"/>
        <v>4.3902439024390241E-2</v>
      </c>
    </row>
    <row r="101" spans="2:13" ht="15.75" thickBot="1">
      <c r="B101" s="304" t="s">
        <v>405</v>
      </c>
      <c r="C101" s="9">
        <f>(C100*C124)/1000</f>
        <v>21.528509589041068</v>
      </c>
      <c r="D101" s="2" t="s">
        <v>349</v>
      </c>
      <c r="I101" s="1">
        <v>13</v>
      </c>
      <c r="J101" s="1" t="s">
        <v>404</v>
      </c>
      <c r="K101" s="112">
        <f>'Escenario 1'!K101</f>
        <v>0.36</v>
      </c>
      <c r="L101" s="24">
        <f t="shared" si="14"/>
        <v>167843.63470982958</v>
      </c>
      <c r="M101" s="36">
        <f t="shared" si="13"/>
        <v>8.7804878048780483E-2</v>
      </c>
    </row>
    <row r="102" spans="2:13" ht="15.75" thickBot="1">
      <c r="B102" s="305"/>
      <c r="C102" s="9">
        <f>(C101*F90)</f>
        <v>516.68423013698566</v>
      </c>
      <c r="D102" s="2" t="s">
        <v>406</v>
      </c>
      <c r="E102" s="75"/>
      <c r="L102" s="33">
        <f>SUM(L89:L101)</f>
        <v>1911552.5064175036</v>
      </c>
      <c r="M102" s="37">
        <f>SUM(M89:M101)</f>
        <v>0.99999999999999989</v>
      </c>
    </row>
    <row r="103" spans="2:13" ht="17.25">
      <c r="B103" s="54" t="s">
        <v>407</v>
      </c>
      <c r="C103" s="2">
        <v>1</v>
      </c>
      <c r="D103" s="2" t="s">
        <v>408</v>
      </c>
    </row>
    <row r="104" spans="2:13">
      <c r="B104" s="304" t="s">
        <v>410</v>
      </c>
      <c r="C104" s="9">
        <f>C103*O62</f>
        <v>0.83057521562658432</v>
      </c>
      <c r="D104" s="2" t="s">
        <v>411</v>
      </c>
      <c r="I104" s="303" t="s">
        <v>409</v>
      </c>
      <c r="J104" s="303"/>
      <c r="K104" s="303"/>
      <c r="L104" s="303"/>
      <c r="M104" s="303"/>
    </row>
    <row r="105" spans="2:13">
      <c r="B105" s="305"/>
      <c r="C105" s="9">
        <f>C104*F90</f>
        <v>19.933805175038025</v>
      </c>
      <c r="D105" s="2" t="s">
        <v>406</v>
      </c>
      <c r="I105" s="38" t="s">
        <v>341</v>
      </c>
      <c r="J105" s="38" t="s">
        <v>342</v>
      </c>
      <c r="K105" s="38" t="s">
        <v>380</v>
      </c>
      <c r="L105" s="38" t="s">
        <v>381</v>
      </c>
      <c r="M105" s="39" t="s">
        <v>17</v>
      </c>
    </row>
    <row r="106" spans="2:13" ht="15.75" thickBot="1">
      <c r="B106" s="108" t="s">
        <v>413</v>
      </c>
      <c r="C106" s="109">
        <f>C105+C102</f>
        <v>536.61803531202372</v>
      </c>
      <c r="D106" s="107" t="s">
        <v>406</v>
      </c>
      <c r="I106" s="1">
        <v>1</v>
      </c>
      <c r="J106" s="1" t="s">
        <v>412</v>
      </c>
      <c r="K106" s="1">
        <v>10</v>
      </c>
      <c r="L106" s="1"/>
      <c r="M106" s="1"/>
    </row>
    <row r="107" spans="2:13" ht="17.25">
      <c r="B107" s="104" t="s">
        <v>415</v>
      </c>
      <c r="C107" s="106" t="s">
        <v>12</v>
      </c>
      <c r="D107" s="106" t="s">
        <v>403</v>
      </c>
      <c r="I107" s="1">
        <v>2</v>
      </c>
      <c r="J107" s="1" t="s">
        <v>414</v>
      </c>
      <c r="K107" s="1"/>
      <c r="L107" s="21">
        <f>(L102-L95)/K106</f>
        <v>186492.92745536618</v>
      </c>
      <c r="M107" s="35">
        <f>(L107/$L$111)</f>
        <v>0.82484431063636732</v>
      </c>
    </row>
    <row r="108" spans="2:13">
      <c r="B108" s="304" t="s">
        <v>417</v>
      </c>
      <c r="C108" s="7" t="s">
        <v>12</v>
      </c>
      <c r="D108" s="2" t="s">
        <v>349</v>
      </c>
      <c r="I108" s="1">
        <v>3</v>
      </c>
      <c r="J108" s="1" t="s">
        <v>416</v>
      </c>
      <c r="K108" s="1">
        <v>0.01</v>
      </c>
      <c r="L108" s="21">
        <f>K108*$L$107</f>
        <v>1864.9292745536618</v>
      </c>
      <c r="M108" s="35">
        <f>(L108/$L$111)</f>
        <v>8.2484431063636742E-3</v>
      </c>
    </row>
    <row r="109" spans="2:13">
      <c r="B109" s="306"/>
      <c r="C109" s="9">
        <f>(C110/3600)*8</f>
        <v>49.834512937595065</v>
      </c>
      <c r="D109" s="2" t="s">
        <v>406</v>
      </c>
      <c r="I109" s="1">
        <v>4</v>
      </c>
      <c r="J109" s="1" t="s">
        <v>418</v>
      </c>
      <c r="K109" s="1">
        <v>6.0000000000000001E-3</v>
      </c>
      <c r="L109" s="21">
        <f>K109*$L$107</f>
        <v>1118.9575647321972</v>
      </c>
      <c r="M109" s="35">
        <f>(L109/$L$111)</f>
        <v>4.9490658638182044E-3</v>
      </c>
    </row>
    <row r="110" spans="2:13" ht="15.75" thickBot="1">
      <c r="B110" s="307"/>
      <c r="C110" s="109">
        <f>K60</f>
        <v>22425.530821917779</v>
      </c>
      <c r="D110" s="107" t="s">
        <v>420</v>
      </c>
      <c r="I110" s="1">
        <v>5</v>
      </c>
      <c r="J110" s="1" t="s">
        <v>419</v>
      </c>
      <c r="K110" s="1">
        <v>0.21</v>
      </c>
      <c r="L110" s="24">
        <f>K110*SUM(L89:L100)/K106</f>
        <v>36617.886305861161</v>
      </c>
      <c r="M110" s="36">
        <f>(L110/$L$111)</f>
        <v>0.16195818039345078</v>
      </c>
    </row>
    <row r="111" spans="2:13" ht="18" customHeight="1" thickBot="1">
      <c r="B111" s="104" t="s">
        <v>421</v>
      </c>
      <c r="C111" s="105">
        <f>X69</f>
        <v>4.8219505573876695</v>
      </c>
      <c r="D111" s="106" t="s">
        <v>349</v>
      </c>
      <c r="E111" s="60" t="s">
        <v>422</v>
      </c>
      <c r="L111" s="33">
        <f>SUM(L107:L110)</f>
        <v>226094.7006005132</v>
      </c>
      <c r="M111" s="37">
        <f>SUM(M107:M110)</f>
        <v>0.99999999999999989</v>
      </c>
    </row>
    <row r="112" spans="2:13">
      <c r="B112" s="293" t="s">
        <v>423</v>
      </c>
      <c r="C112" s="7">
        <f>X79</f>
        <v>189.31091387208374</v>
      </c>
      <c r="D112" s="5" t="s">
        <v>274</v>
      </c>
      <c r="E112" s="60"/>
    </row>
    <row r="113" spans="2:31">
      <c r="B113" s="294"/>
      <c r="C113" s="7">
        <f>C112/24</f>
        <v>7.8879547446701563</v>
      </c>
      <c r="D113" s="5" t="s">
        <v>352</v>
      </c>
      <c r="I113" s="292" t="s">
        <v>424</v>
      </c>
      <c r="J113" s="292"/>
      <c r="K113" s="292"/>
      <c r="L113" s="292"/>
      <c r="M113" s="292"/>
      <c r="N113" s="292"/>
      <c r="Q113" s="300" t="s">
        <v>425</v>
      </c>
      <c r="R113" s="301"/>
      <c r="S113" s="302"/>
      <c r="U113" s="256" t="s">
        <v>426</v>
      </c>
      <c r="V113" s="256"/>
      <c r="W113" s="256"/>
      <c r="Z113" s="298" t="s">
        <v>135</v>
      </c>
      <c r="AA113" s="298"/>
      <c r="AB113" s="298" t="s">
        <v>427</v>
      </c>
      <c r="AC113" s="298"/>
      <c r="AD113" s="298" t="s">
        <v>428</v>
      </c>
      <c r="AE113" s="298"/>
    </row>
    <row r="114" spans="2:31" ht="17.25" customHeight="1">
      <c r="B114" s="57" t="s">
        <v>435</v>
      </c>
      <c r="C114" s="9" t="str">
        <f>C108</f>
        <v>-</v>
      </c>
      <c r="D114" s="5" t="s">
        <v>349</v>
      </c>
      <c r="I114" s="31" t="s">
        <v>341</v>
      </c>
      <c r="J114" s="31" t="s">
        <v>429</v>
      </c>
      <c r="K114" s="31" t="s">
        <v>430</v>
      </c>
      <c r="L114" s="31" t="s">
        <v>431</v>
      </c>
      <c r="M114" s="31" t="s">
        <v>381</v>
      </c>
      <c r="N114" s="31" t="s">
        <v>17</v>
      </c>
      <c r="Q114" s="129" t="s">
        <v>135</v>
      </c>
      <c r="R114" s="86">
        <f>M121</f>
        <v>77661.939894878364</v>
      </c>
      <c r="S114" s="128">
        <f>(R114/$R$117)</f>
        <v>0.2039901245584354</v>
      </c>
      <c r="U114" s="29" t="s">
        <v>4</v>
      </c>
      <c r="V114" s="20">
        <f>C155</f>
        <v>1951154.2795626507</v>
      </c>
      <c r="W114" s="35">
        <f>V114/$V$116</f>
        <v>0.83673426915526494</v>
      </c>
      <c r="X114" s="60" t="s">
        <v>432</v>
      </c>
      <c r="Z114" s="55" t="s">
        <v>433</v>
      </c>
      <c r="AA114" s="130">
        <f>N115</f>
        <v>0.19969917080351948</v>
      </c>
      <c r="AB114" s="55" t="s">
        <v>434</v>
      </c>
      <c r="AC114" s="130">
        <f>N123+N124+N125</f>
        <v>0.88607571489798664</v>
      </c>
      <c r="AD114" s="55" t="s">
        <v>428</v>
      </c>
      <c r="AE114" s="130">
        <f>N130</f>
        <v>0.27505512680084071</v>
      </c>
    </row>
    <row r="115" spans="2:31" ht="17.25">
      <c r="B115" s="293" t="s">
        <v>440</v>
      </c>
      <c r="C115" s="9">
        <f>(C111*0.86)/(30-20)</f>
        <v>0.41468774793533958</v>
      </c>
      <c r="D115" s="2" t="s">
        <v>345</v>
      </c>
      <c r="E115" s="60" t="s">
        <v>570</v>
      </c>
      <c r="I115" s="1">
        <v>1</v>
      </c>
      <c r="J115" s="1" t="s">
        <v>390</v>
      </c>
      <c r="K115" s="1">
        <f>I24*C128*G90</f>
        <v>51696.749999999927</v>
      </c>
      <c r="L115" s="1">
        <f>C93</f>
        <v>0.3</v>
      </c>
      <c r="M115" s="21">
        <f t="shared" ref="M115:M120" si="15">K115*L115</f>
        <v>15509.024999999978</v>
      </c>
      <c r="N115" s="35">
        <f t="shared" ref="N115:N120" si="16">(M115/$M$121)</f>
        <v>0.19969917080351948</v>
      </c>
      <c r="Q115" s="29" t="s">
        <v>427</v>
      </c>
      <c r="R115" s="20">
        <f>M128</f>
        <v>84914.183926641155</v>
      </c>
      <c r="S115" s="128">
        <f>(R115/$R$117)</f>
        <v>0.22303917439378498</v>
      </c>
      <c r="U115" s="29" t="s">
        <v>5</v>
      </c>
      <c r="V115" s="20">
        <f>C156</f>
        <v>380714.21380318428</v>
      </c>
      <c r="W115" s="35">
        <f>V115/$V$116</f>
        <v>0.16326573084473506</v>
      </c>
      <c r="X115" s="60" t="s">
        <v>437</v>
      </c>
      <c r="Z115" s="55" t="s">
        <v>127</v>
      </c>
      <c r="AA115" s="130">
        <f>N116</f>
        <v>5.2143672376474527E-2</v>
      </c>
      <c r="AB115" s="55" t="s">
        <v>438</v>
      </c>
      <c r="AC115" s="130">
        <f>N127</f>
        <v>0.11392428510201351</v>
      </c>
      <c r="AD115" s="55" t="s">
        <v>439</v>
      </c>
      <c r="AE115" s="130">
        <f t="shared" ref="AE115:AE122" si="17">N131</f>
        <v>5.5011025360168143E-2</v>
      </c>
    </row>
    <row r="116" spans="2:31" ht="18.75">
      <c r="B116" s="294"/>
      <c r="C116" s="9">
        <f>C115*F90</f>
        <v>9.952505950448149</v>
      </c>
      <c r="D116" s="2" t="s">
        <v>23</v>
      </c>
      <c r="I116" s="1">
        <v>2</v>
      </c>
      <c r="J116" s="1" t="s">
        <v>277</v>
      </c>
      <c r="K116" s="19">
        <f>E20*G90</f>
        <v>80991.574999999881</v>
      </c>
      <c r="L116" s="1">
        <f>C91</f>
        <v>0.05</v>
      </c>
      <c r="M116" s="21">
        <f t="shared" si="15"/>
        <v>4049.5787499999942</v>
      </c>
      <c r="N116" s="35">
        <f>(M116/$M$121)</f>
        <v>5.2143672376474527E-2</v>
      </c>
      <c r="Q116" s="29" t="s">
        <v>428</v>
      </c>
      <c r="R116" s="20">
        <f>M139</f>
        <v>218138.08998166476</v>
      </c>
      <c r="S116" s="128">
        <f>(R116/$R$117)</f>
        <v>0.57297070104777958</v>
      </c>
      <c r="U116" s="29" t="s">
        <v>125</v>
      </c>
      <c r="V116" s="299">
        <f>SUM(V114:V115)</f>
        <v>2331868.4933658349</v>
      </c>
      <c r="W116" s="299"/>
      <c r="Z116" s="56" t="s">
        <v>143</v>
      </c>
      <c r="AA116" s="130">
        <f>N117</f>
        <v>0.33283195133919918</v>
      </c>
      <c r="AD116" s="55" t="s">
        <v>443</v>
      </c>
      <c r="AE116" s="130">
        <f t="shared" si="17"/>
        <v>8.2516538040252219E-2</v>
      </c>
    </row>
    <row r="117" spans="2:31" ht="18">
      <c r="B117" s="293" t="s">
        <v>566</v>
      </c>
      <c r="C117" s="5">
        <v>1</v>
      </c>
      <c r="D117" s="5" t="s">
        <v>446</v>
      </c>
      <c r="I117" s="1">
        <v>3</v>
      </c>
      <c r="J117" s="23" t="s">
        <v>143</v>
      </c>
      <c r="K117" s="1">
        <f>I24*C126*G90</f>
        <v>258483.74999999965</v>
      </c>
      <c r="L117" s="1">
        <f>C92</f>
        <v>0.1</v>
      </c>
      <c r="M117" s="21">
        <f t="shared" si="15"/>
        <v>25848.374999999967</v>
      </c>
      <c r="N117" s="35">
        <f t="shared" si="16"/>
        <v>0.33283195133919918</v>
      </c>
      <c r="Q117" s="29" t="s">
        <v>125</v>
      </c>
      <c r="R117" s="299">
        <f>SUM(R114:R116)</f>
        <v>380714.21380318428</v>
      </c>
      <c r="S117" s="299"/>
      <c r="Z117" s="55" t="s">
        <v>48</v>
      </c>
      <c r="AA117" s="130">
        <f>N118</f>
        <v>0.42158713836298556</v>
      </c>
      <c r="AD117" s="55" t="s">
        <v>445</v>
      </c>
      <c r="AE117" s="130">
        <f t="shared" si="17"/>
        <v>8.5493059681159556E-2</v>
      </c>
    </row>
    <row r="118" spans="2:31">
      <c r="B118" s="294"/>
      <c r="C118" s="7">
        <f>C117*I20</f>
        <v>236.05821917808186</v>
      </c>
      <c r="D118" s="5" t="s">
        <v>406</v>
      </c>
      <c r="I118" s="1">
        <v>4</v>
      </c>
      <c r="J118" s="1" t="s">
        <v>393</v>
      </c>
      <c r="K118" s="19">
        <f>O58*G90</f>
        <v>3274.1274999999955</v>
      </c>
      <c r="L118" s="1">
        <f>C95</f>
        <v>10</v>
      </c>
      <c r="M118" s="21">
        <f t="shared" si="15"/>
        <v>32741.274999999954</v>
      </c>
      <c r="N118" s="35">
        <f t="shared" si="16"/>
        <v>0.42158713836298556</v>
      </c>
      <c r="Z118" s="55" t="s">
        <v>47</v>
      </c>
      <c r="AA118" s="130">
        <f>N120</f>
        <v>0.19343723792134063</v>
      </c>
      <c r="AD118" s="55" t="s">
        <v>448</v>
      </c>
      <c r="AE118" s="130">
        <f t="shared" si="17"/>
        <v>1.4240876483590024E-3</v>
      </c>
    </row>
    <row r="119" spans="2:31">
      <c r="I119" s="1">
        <v>5</v>
      </c>
      <c r="J119" s="1" t="s">
        <v>449</v>
      </c>
      <c r="K119" s="19">
        <v>0</v>
      </c>
      <c r="L119" s="1">
        <v>0</v>
      </c>
      <c r="M119" s="21">
        <f t="shared" si="15"/>
        <v>0</v>
      </c>
      <c r="N119" s="35">
        <f t="shared" si="16"/>
        <v>0</v>
      </c>
      <c r="AD119" s="55" t="s">
        <v>450</v>
      </c>
      <c r="AE119" s="130">
        <f t="shared" si="17"/>
        <v>0.22855756651319262</v>
      </c>
    </row>
    <row r="120" spans="2:31" ht="15.75" thickBot="1">
      <c r="I120" s="1">
        <v>6</v>
      </c>
      <c r="J120" s="1" t="s">
        <v>331</v>
      </c>
      <c r="K120" s="19">
        <f>O63*G90</f>
        <v>30045.422289756883</v>
      </c>
      <c r="L120" s="22">
        <f>C97</f>
        <v>0.5</v>
      </c>
      <c r="M120" s="21">
        <f t="shared" si="15"/>
        <v>15022.711144878442</v>
      </c>
      <c r="N120" s="35">
        <f t="shared" si="16"/>
        <v>0.19343723792134063</v>
      </c>
      <c r="AD120" s="55" t="s">
        <v>452</v>
      </c>
      <c r="AE120" s="130">
        <f t="shared" si="17"/>
        <v>0.17476348817300921</v>
      </c>
    </row>
    <row r="121" spans="2:31" ht="15.75" thickBot="1">
      <c r="B121" s="295" t="s">
        <v>453</v>
      </c>
      <c r="C121" s="296"/>
      <c r="D121" s="297"/>
      <c r="L121" s="40" t="s">
        <v>454</v>
      </c>
      <c r="M121" s="41">
        <f>SUM(M116:M120)</f>
        <v>77661.939894878364</v>
      </c>
      <c r="N121" s="37">
        <f>SUM(N116:N120)</f>
        <v>0.99999999999999989</v>
      </c>
      <c r="AD121" s="55" t="s">
        <v>455</v>
      </c>
      <c r="AE121" s="130">
        <f t="shared" si="17"/>
        <v>3.7264496960431027E-2</v>
      </c>
    </row>
    <row r="122" spans="2:31">
      <c r="B122" s="55" t="s">
        <v>456</v>
      </c>
      <c r="C122" s="2">
        <v>24</v>
      </c>
      <c r="D122" s="2" t="s">
        <v>317</v>
      </c>
      <c r="I122" s="31" t="s">
        <v>341</v>
      </c>
      <c r="J122" s="31" t="s">
        <v>427</v>
      </c>
      <c r="K122" s="31" t="s">
        <v>430</v>
      </c>
      <c r="L122" s="42" t="s">
        <v>431</v>
      </c>
      <c r="M122" s="42" t="s">
        <v>381</v>
      </c>
      <c r="N122" s="42" t="s">
        <v>17</v>
      </c>
      <c r="O122" s="93">
        <f>M123+M124+M125</f>
        <v>75240.396227777674</v>
      </c>
      <c r="AD122" s="55" t="s">
        <v>457</v>
      </c>
      <c r="AE122" s="130">
        <f t="shared" si="17"/>
        <v>5.9914610822587602E-2</v>
      </c>
    </row>
    <row r="123" spans="2:31">
      <c r="B123" s="55" t="s">
        <v>458</v>
      </c>
      <c r="C123" s="9">
        <f>1/R29</f>
        <v>0.33333333333333331</v>
      </c>
      <c r="D123" s="2" t="s">
        <v>459</v>
      </c>
      <c r="I123" s="1">
        <v>1</v>
      </c>
      <c r="J123" s="1" t="s">
        <v>571</v>
      </c>
      <c r="K123" s="19">
        <f>C106*G90</f>
        <v>195865.58288888866</v>
      </c>
      <c r="L123" s="1">
        <f>C94</f>
        <v>0.25</v>
      </c>
      <c r="M123" s="21">
        <f>K123*L123</f>
        <v>48966.395722222165</v>
      </c>
      <c r="N123" s="35">
        <f>(M123/M128)</f>
        <v>0.57665743763756938</v>
      </c>
    </row>
    <row r="124" spans="2:31" ht="17.25">
      <c r="B124" s="55" t="s">
        <v>288</v>
      </c>
      <c r="C124" s="9">
        <f>C58</f>
        <v>1133.0794520547929</v>
      </c>
      <c r="D124" s="2" t="s">
        <v>289</v>
      </c>
      <c r="I124" s="1">
        <v>2</v>
      </c>
      <c r="J124" s="1" t="s">
        <v>572</v>
      </c>
      <c r="K124" s="19">
        <f>C109*G90</f>
        <v>18189.597222222197</v>
      </c>
      <c r="L124" s="1">
        <f>L123</f>
        <v>0.25</v>
      </c>
      <c r="M124" s="21">
        <f>K124*L124</f>
        <v>4547.3993055555493</v>
      </c>
      <c r="N124" s="35">
        <f>(M124/M128)</f>
        <v>5.355288239576237E-2</v>
      </c>
    </row>
    <row r="125" spans="2:31">
      <c r="B125" s="55" t="s">
        <v>462</v>
      </c>
      <c r="C125" s="2">
        <v>0.01</v>
      </c>
      <c r="D125" s="2" t="s">
        <v>463</v>
      </c>
      <c r="I125" s="1">
        <v>3</v>
      </c>
      <c r="J125" s="1" t="s">
        <v>573</v>
      </c>
      <c r="K125" s="19">
        <f>(C140+C118)*G90</f>
        <v>86906.404799999873</v>
      </c>
      <c r="L125" s="1">
        <f>L123</f>
        <v>0.25</v>
      </c>
      <c r="M125" s="21">
        <f>K125*L125</f>
        <v>21726.601199999968</v>
      </c>
      <c r="N125" s="35">
        <f>(M125/M128)</f>
        <v>0.25586539486465487</v>
      </c>
      <c r="O125" s="131">
        <f>(C118)*G90*L125</f>
        <v>21540.312499999971</v>
      </c>
      <c r="P125" t="s">
        <v>270</v>
      </c>
    </row>
    <row r="126" spans="2:31" ht="18.75">
      <c r="B126" s="56" t="s">
        <v>466</v>
      </c>
      <c r="C126" s="2">
        <v>1.5</v>
      </c>
      <c r="D126" s="2" t="s">
        <v>467</v>
      </c>
      <c r="I126" s="1">
        <v>4</v>
      </c>
      <c r="J126" s="1" t="s">
        <v>468</v>
      </c>
      <c r="K126" s="19">
        <f>C116*G90*0</f>
        <v>0</v>
      </c>
      <c r="L126" s="1">
        <f>C96</f>
        <v>0.05</v>
      </c>
      <c r="M126" s="21">
        <f>K126*L126</f>
        <v>0</v>
      </c>
      <c r="N126" s="35">
        <f>(M126/M128)</f>
        <v>0</v>
      </c>
      <c r="O126" s="131">
        <f>(C140)*G90*L125</f>
        <v>186.28869999999998</v>
      </c>
      <c r="P126" t="s">
        <v>469</v>
      </c>
    </row>
    <row r="127" spans="2:31" ht="15.75" thickBot="1">
      <c r="B127" s="55" t="s">
        <v>292</v>
      </c>
      <c r="C127" s="9">
        <f>I24/V28</f>
        <v>0.41666666666666669</v>
      </c>
      <c r="D127" s="2" t="s">
        <v>470</v>
      </c>
      <c r="I127" s="1">
        <v>5</v>
      </c>
      <c r="J127" s="1" t="s">
        <v>398</v>
      </c>
      <c r="K127" s="19">
        <f>C112*G90</f>
        <v>69098.483563310569</v>
      </c>
      <c r="L127" s="22">
        <f>C98</f>
        <v>0.14000000000000001</v>
      </c>
      <c r="M127" s="24">
        <f>K127*L127</f>
        <v>9673.7876988634798</v>
      </c>
      <c r="N127" s="36">
        <f>(M127/M128)</f>
        <v>0.11392428510201351</v>
      </c>
    </row>
    <row r="128" spans="2:31" ht="15.75" thickBot="1">
      <c r="B128" s="55" t="s">
        <v>390</v>
      </c>
      <c r="C128" s="2">
        <v>0.3</v>
      </c>
      <c r="D128" s="2" t="s">
        <v>467</v>
      </c>
      <c r="L128" s="40" t="s">
        <v>454</v>
      </c>
      <c r="M128" s="41">
        <f>SUM(M123:M127)</f>
        <v>84914.183926641155</v>
      </c>
      <c r="N128" s="37">
        <f>SUM(N123:N127)</f>
        <v>1.0000000000000002</v>
      </c>
    </row>
    <row r="129" spans="2:14">
      <c r="B129" s="55" t="s">
        <v>471</v>
      </c>
      <c r="C129" s="2">
        <v>2</v>
      </c>
      <c r="D129" s="2" t="s">
        <v>17</v>
      </c>
      <c r="I129" s="31" t="s">
        <v>341</v>
      </c>
      <c r="J129" s="31" t="s">
        <v>472</v>
      </c>
      <c r="K129" s="31" t="s">
        <v>430</v>
      </c>
      <c r="L129" s="42" t="s">
        <v>431</v>
      </c>
      <c r="M129" s="42" t="s">
        <v>381</v>
      </c>
      <c r="N129" s="42" t="s">
        <v>17</v>
      </c>
    </row>
    <row r="130" spans="2:14">
      <c r="I130" s="1">
        <v>1</v>
      </c>
      <c r="J130" s="1" t="s">
        <v>473</v>
      </c>
      <c r="K130" s="1">
        <v>2</v>
      </c>
      <c r="L130" s="21">
        <v>30000</v>
      </c>
      <c r="M130" s="20">
        <f t="shared" ref="M130:M138" si="18">K130*L130</f>
        <v>60000</v>
      </c>
      <c r="N130" s="35">
        <f>(M130/$M$139)</f>
        <v>0.27505512680084071</v>
      </c>
    </row>
    <row r="131" spans="2:14">
      <c r="B131" s="295" t="s">
        <v>574</v>
      </c>
      <c r="C131" s="296"/>
      <c r="D131" s="297"/>
      <c r="I131" s="1">
        <v>2</v>
      </c>
      <c r="J131" s="1" t="s">
        <v>475</v>
      </c>
      <c r="K131" s="1">
        <v>0.2</v>
      </c>
      <c r="L131" s="21">
        <f>M130</f>
        <v>60000</v>
      </c>
      <c r="M131" s="20">
        <f t="shared" si="18"/>
        <v>12000</v>
      </c>
      <c r="N131" s="35">
        <f t="shared" ref="N131:N138" si="19">(M131/$M$139)</f>
        <v>5.5011025360168143E-2</v>
      </c>
    </row>
    <row r="132" spans="2:14">
      <c r="B132" s="55" t="s">
        <v>476</v>
      </c>
      <c r="C132" s="9">
        <f>K194</f>
        <v>36.5</v>
      </c>
      <c r="D132" s="2" t="s">
        <v>313</v>
      </c>
      <c r="E132" s="60" t="s">
        <v>575</v>
      </c>
      <c r="I132" s="1">
        <v>3</v>
      </c>
      <c r="J132" s="1" t="s">
        <v>477</v>
      </c>
      <c r="K132" s="1">
        <v>0.25</v>
      </c>
      <c r="L132" s="21">
        <f>M130+M131</f>
        <v>72000</v>
      </c>
      <c r="M132" s="20">
        <f t="shared" si="18"/>
        <v>18000</v>
      </c>
      <c r="N132" s="35">
        <f t="shared" si="19"/>
        <v>8.2516538040252219E-2</v>
      </c>
    </row>
    <row r="133" spans="2:14">
      <c r="B133" s="55" t="s">
        <v>478</v>
      </c>
      <c r="C133" s="9">
        <f t="shared" ref="C133:C138" si="20">K195</f>
        <v>36.5</v>
      </c>
      <c r="D133" s="2" t="s">
        <v>313</v>
      </c>
      <c r="E133" s="60" t="s">
        <v>576</v>
      </c>
      <c r="I133" s="1">
        <v>4</v>
      </c>
      <c r="J133" s="1" t="s">
        <v>479</v>
      </c>
      <c r="K133" s="1">
        <v>0.04</v>
      </c>
      <c r="L133" s="21">
        <f>O85</f>
        <v>466232.31863841548</v>
      </c>
      <c r="M133" s="20">
        <f t="shared" si="18"/>
        <v>18649.292745536619</v>
      </c>
      <c r="N133" s="35">
        <f t="shared" si="19"/>
        <v>8.5493059681159556E-2</v>
      </c>
    </row>
    <row r="134" spans="2:14">
      <c r="B134" s="56" t="s">
        <v>480</v>
      </c>
      <c r="C134" s="9">
        <f t="shared" si="20"/>
        <v>36.57</v>
      </c>
      <c r="D134" s="2" t="s">
        <v>313</v>
      </c>
      <c r="E134" s="60" t="s">
        <v>576</v>
      </c>
      <c r="I134" s="1">
        <v>5</v>
      </c>
      <c r="J134" s="1" t="s">
        <v>481</v>
      </c>
      <c r="K134" s="1">
        <v>4.0000000000000001E-3</v>
      </c>
      <c r="L134" s="21">
        <f>M121</f>
        <v>77661.939894878364</v>
      </c>
      <c r="M134" s="20">
        <f t="shared" si="18"/>
        <v>310.64775957951343</v>
      </c>
      <c r="N134" s="35">
        <f t="shared" si="19"/>
        <v>1.4240876483590024E-3</v>
      </c>
    </row>
    <row r="135" spans="2:14">
      <c r="B135" s="56" t="s">
        <v>482</v>
      </c>
      <c r="C135" s="9">
        <f t="shared" si="20"/>
        <v>36.57</v>
      </c>
      <c r="D135" s="2" t="s">
        <v>313</v>
      </c>
      <c r="E135" s="60" t="s">
        <v>576</v>
      </c>
      <c r="I135" s="1">
        <v>6</v>
      </c>
      <c r="J135" s="1" t="s">
        <v>483</v>
      </c>
      <c r="K135" s="1">
        <v>0.55000000000000004</v>
      </c>
      <c r="L135" s="21">
        <f>M130+M131+M133</f>
        <v>90649.292745536615</v>
      </c>
      <c r="M135" s="20">
        <f t="shared" si="18"/>
        <v>49857.111010045141</v>
      </c>
      <c r="N135" s="35">
        <f t="shared" si="19"/>
        <v>0.22855756651319262</v>
      </c>
    </row>
    <row r="136" spans="2:14">
      <c r="B136" s="56" t="s">
        <v>484</v>
      </c>
      <c r="C136" s="9">
        <f t="shared" si="20"/>
        <v>36.35</v>
      </c>
      <c r="D136" s="2" t="s">
        <v>313</v>
      </c>
      <c r="E136" s="60" t="s">
        <v>577</v>
      </c>
      <c r="I136" s="1">
        <v>7</v>
      </c>
      <c r="J136" s="1" t="s">
        <v>485</v>
      </c>
      <c r="K136" s="1">
        <f>0.21</f>
        <v>0.21</v>
      </c>
      <c r="L136" s="21">
        <f>M121+M128+M133+M134</f>
        <v>181536.06432663565</v>
      </c>
      <c r="M136" s="20">
        <f t="shared" si="18"/>
        <v>38122.573508593487</v>
      </c>
      <c r="N136" s="35">
        <f t="shared" si="19"/>
        <v>0.17476348817300921</v>
      </c>
    </row>
    <row r="137" spans="2:14">
      <c r="B137" s="56" t="s">
        <v>486</v>
      </c>
      <c r="C137" s="9">
        <f t="shared" si="20"/>
        <v>36.35</v>
      </c>
      <c r="D137" s="2" t="s">
        <v>313</v>
      </c>
      <c r="E137" s="60" t="s">
        <v>577</v>
      </c>
      <c r="I137" s="1">
        <v>8</v>
      </c>
      <c r="J137" s="1" t="s">
        <v>487</v>
      </c>
      <c r="K137" s="1">
        <v>0.05</v>
      </c>
      <c r="L137" s="21">
        <f>M121+M128</f>
        <v>162576.12382151952</v>
      </c>
      <c r="M137" s="20">
        <f t="shared" si="18"/>
        <v>8128.8061910759761</v>
      </c>
      <c r="N137" s="35">
        <f t="shared" si="19"/>
        <v>3.7264496960431027E-2</v>
      </c>
    </row>
    <row r="138" spans="2:14" ht="15.75" thickBot="1">
      <c r="B138" s="56" t="s">
        <v>488</v>
      </c>
      <c r="C138" s="9">
        <f t="shared" si="20"/>
        <v>36.35</v>
      </c>
      <c r="D138" s="2" t="s">
        <v>313</v>
      </c>
      <c r="E138" s="60" t="s">
        <v>577</v>
      </c>
      <c r="I138" s="1">
        <v>9</v>
      </c>
      <c r="J138" s="1" t="s">
        <v>489</v>
      </c>
      <c r="K138" s="1">
        <v>0.05</v>
      </c>
      <c r="L138" s="24">
        <f>M121+M128+M131+M132+M133+M134+M135</f>
        <v>261393.17533668078</v>
      </c>
      <c r="M138" s="32">
        <f t="shared" si="18"/>
        <v>13069.65876683404</v>
      </c>
      <c r="N138" s="36">
        <f t="shared" si="19"/>
        <v>5.9914610822587602E-2</v>
      </c>
    </row>
    <row r="139" spans="2:14" ht="15.75" thickBot="1">
      <c r="B139" s="101" t="s">
        <v>125</v>
      </c>
      <c r="C139" s="5">
        <f>SUM(C132:C138)</f>
        <v>255.18999999999997</v>
      </c>
      <c r="D139" s="2" t="s">
        <v>313</v>
      </c>
      <c r="L139" s="40" t="s">
        <v>454</v>
      </c>
      <c r="M139" s="43">
        <f>SUM(M130:M138)</f>
        <v>218138.08998166476</v>
      </c>
      <c r="N139" s="37">
        <f>SUM(N130:N138)</f>
        <v>1</v>
      </c>
    </row>
    <row r="140" spans="2:14">
      <c r="B140" s="102"/>
      <c r="C140" s="7">
        <f>(C139/1000)*8</f>
        <v>2.0415199999999998</v>
      </c>
      <c r="D140" s="5" t="s">
        <v>406</v>
      </c>
    </row>
    <row r="141" spans="2:14">
      <c r="B141" s="75" t="s">
        <v>491</v>
      </c>
      <c r="I141" s="292" t="s">
        <v>492</v>
      </c>
      <c r="J141" s="292"/>
      <c r="K141" s="292"/>
      <c r="L141" s="292"/>
    </row>
    <row r="142" spans="2:14">
      <c r="I142" s="31" t="s">
        <v>341</v>
      </c>
      <c r="J142" s="31" t="s">
        <v>342</v>
      </c>
      <c r="K142" s="31" t="s">
        <v>381</v>
      </c>
      <c r="L142" s="31" t="s">
        <v>17</v>
      </c>
    </row>
    <row r="143" spans="2:14">
      <c r="I143" s="1">
        <v>1</v>
      </c>
      <c r="J143" s="1" t="s">
        <v>493</v>
      </c>
      <c r="K143" s="21">
        <f>L111</f>
        <v>226094.7006005132</v>
      </c>
      <c r="L143" s="35">
        <f>(K143/$K$147)</f>
        <v>0.37259620818638312</v>
      </c>
    </row>
    <row r="144" spans="2:14">
      <c r="I144" s="1">
        <v>2</v>
      </c>
      <c r="J144" s="1" t="s">
        <v>429</v>
      </c>
      <c r="K144" s="21">
        <f>M121</f>
        <v>77661.939894878364</v>
      </c>
      <c r="L144" s="35">
        <f>(K144/$K$147)</f>
        <v>0.12798417764049438</v>
      </c>
    </row>
    <row r="145" spans="1:18">
      <c r="I145" s="1">
        <v>3</v>
      </c>
      <c r="J145" s="1" t="s">
        <v>427</v>
      </c>
      <c r="K145" s="21">
        <f>M128</f>
        <v>84914.183926641155</v>
      </c>
      <c r="L145" s="35">
        <f>(K145/$K$147)</f>
        <v>0.13993562373763926</v>
      </c>
    </row>
    <row r="146" spans="1:18" ht="15.75" thickBot="1">
      <c r="C146" s="92"/>
      <c r="D146" s="92"/>
      <c r="I146" s="1">
        <v>4</v>
      </c>
      <c r="J146" s="1" t="s">
        <v>472</v>
      </c>
      <c r="K146" s="24">
        <f>M139</f>
        <v>218138.08998166476</v>
      </c>
      <c r="L146" s="36">
        <f>(K146/$K$147)</f>
        <v>0.35948399043548324</v>
      </c>
    </row>
    <row r="147" spans="1:18" ht="15.75" thickBot="1">
      <c r="C147" s="92"/>
      <c r="D147" s="92"/>
      <c r="K147" s="96">
        <f>SUM(K143:K146)</f>
        <v>606808.91440369748</v>
      </c>
      <c r="L147" s="37">
        <f>SUM(L143:L146)</f>
        <v>1</v>
      </c>
    </row>
    <row r="148" spans="1:18" ht="15.75" thickBot="1"/>
    <row r="149" spans="1:18">
      <c r="J149" s="44" t="s">
        <v>494</v>
      </c>
      <c r="K149" s="45">
        <f>K147</f>
        <v>606808.91440369748</v>
      </c>
    </row>
    <row r="150" spans="1:18" ht="17.25">
      <c r="J150" s="79" t="s">
        <v>495</v>
      </c>
      <c r="K150" s="80">
        <f>K149/(N20*365)</f>
        <v>328.1813012823485</v>
      </c>
    </row>
    <row r="151" spans="1:18" ht="18" thickBot="1">
      <c r="J151" s="77" t="s">
        <v>496</v>
      </c>
      <c r="K151" s="78">
        <f>(C155+C156)/(D20*G90)</f>
        <v>169.15003071028437</v>
      </c>
    </row>
    <row r="153" spans="1:18" ht="20.25" thickBot="1">
      <c r="B153" s="291" t="s">
        <v>497</v>
      </c>
      <c r="C153" s="291"/>
      <c r="D153" s="291"/>
      <c r="E153" s="291"/>
      <c r="F153" s="291"/>
      <c r="G153" s="291"/>
      <c r="H153" s="291"/>
      <c r="I153" s="291"/>
      <c r="J153" s="28"/>
      <c r="K153" s="291" t="s">
        <v>498</v>
      </c>
      <c r="L153" s="291"/>
      <c r="M153" s="291"/>
      <c r="N153" s="291"/>
      <c r="O153" s="291"/>
      <c r="P153" s="291"/>
      <c r="Q153" s="291"/>
      <c r="R153" s="291"/>
    </row>
    <row r="154" spans="1:18" ht="16.5" thickTop="1" thickBot="1"/>
    <row r="155" spans="1:18" ht="15.75" thickBot="1">
      <c r="A155" s="27" t="s">
        <v>499</v>
      </c>
      <c r="B155" s="25" t="s">
        <v>500</v>
      </c>
      <c r="C155" s="21">
        <f>L102+L108+L109+L110</f>
        <v>1951154.2795626507</v>
      </c>
      <c r="K155" s="99"/>
      <c r="L155" s="133" t="s">
        <v>63</v>
      </c>
      <c r="M155" s="134" t="s">
        <v>501</v>
      </c>
      <c r="N155" s="133" t="s">
        <v>63</v>
      </c>
      <c r="O155" s="134" t="s">
        <v>502</v>
      </c>
      <c r="P155" s="133" t="s">
        <v>63</v>
      </c>
      <c r="Q155" s="134" t="s">
        <v>578</v>
      </c>
      <c r="R155" s="111" t="s">
        <v>579</v>
      </c>
    </row>
    <row r="156" spans="1:18">
      <c r="A156" s="27" t="s">
        <v>504</v>
      </c>
      <c r="B156" s="25" t="s">
        <v>505</v>
      </c>
      <c r="C156" s="21">
        <f>M121+M128+M139</f>
        <v>380714.21380318428</v>
      </c>
      <c r="K156" s="146" t="s">
        <v>105</v>
      </c>
      <c r="L156" s="135">
        <f>(N28/N21)*100</f>
        <v>4.5874131114078667</v>
      </c>
      <c r="M156" s="136">
        <v>30.8</v>
      </c>
      <c r="N156" s="143">
        <f>L156</f>
        <v>4.5874131114078667</v>
      </c>
      <c r="O156" s="136" t="s">
        <v>12</v>
      </c>
      <c r="P156" s="143">
        <f>N156</f>
        <v>4.5874131114078667</v>
      </c>
      <c r="Q156" s="136">
        <v>4</v>
      </c>
    </row>
    <row r="157" spans="1:18">
      <c r="B157" s="25" t="s">
        <v>16</v>
      </c>
      <c r="C157" s="2">
        <v>0.05</v>
      </c>
      <c r="K157" s="147" t="s">
        <v>106</v>
      </c>
      <c r="L157" s="135">
        <f>(N30/N21)*100</f>
        <v>0.82820767099518766</v>
      </c>
      <c r="M157" s="136">
        <v>3.5</v>
      </c>
      <c r="N157" s="143">
        <f>L157</f>
        <v>0.82820767099518766</v>
      </c>
      <c r="O157" s="136">
        <v>12</v>
      </c>
      <c r="P157" s="143">
        <f>N157</f>
        <v>0.82820767099518766</v>
      </c>
      <c r="Q157" s="136">
        <v>12</v>
      </c>
    </row>
    <row r="158" spans="1:18">
      <c r="B158" s="25" t="s">
        <v>506</v>
      </c>
      <c r="C158" s="2">
        <f>K106</f>
        <v>10</v>
      </c>
      <c r="K158" s="147" t="s">
        <v>107</v>
      </c>
      <c r="L158" s="135">
        <f>(N34/N21)*100</f>
        <v>1.6523862478082061</v>
      </c>
      <c r="M158" s="136" t="s">
        <v>12</v>
      </c>
      <c r="N158" s="143">
        <f>L158</f>
        <v>1.6523862478082061</v>
      </c>
      <c r="O158" s="136">
        <v>24</v>
      </c>
      <c r="P158" s="143">
        <f>N158</f>
        <v>1.6523862478082061</v>
      </c>
      <c r="Q158" s="136">
        <v>4</v>
      </c>
    </row>
    <row r="159" spans="1:18" ht="15.75" thickBot="1">
      <c r="K159" s="159" t="s">
        <v>507</v>
      </c>
      <c r="L159" s="137">
        <v>807.65011265797284</v>
      </c>
      <c r="M159" s="138">
        <v>120</v>
      </c>
      <c r="N159" s="137">
        <v>871.46682253550148</v>
      </c>
      <c r="O159" s="138">
        <f>5*12</f>
        <v>60</v>
      </c>
      <c r="P159" s="137">
        <v>871.46682253550148</v>
      </c>
      <c r="Q159" s="138">
        <f>5*12</f>
        <v>60</v>
      </c>
    </row>
    <row r="160" spans="1:18">
      <c r="B160" s="46" t="s">
        <v>7</v>
      </c>
      <c r="C160" s="47">
        <f>((C157*(1+C157)^C158)/((1+C157)^C158-1))*C155+C156</f>
        <v>633397.61946997722</v>
      </c>
      <c r="D160" s="48" t="s">
        <v>508</v>
      </c>
      <c r="K160" s="147" t="s">
        <v>509</v>
      </c>
      <c r="L160" s="135">
        <f>C161/1000</f>
        <v>0.34256130727919365</v>
      </c>
      <c r="M160" s="149">
        <f>'Escenario 1'!M160</f>
        <v>1.028125</v>
      </c>
      <c r="N160" s="143">
        <f>L160</f>
        <v>0.34256130727919365</v>
      </c>
      <c r="O160" s="149">
        <f>'Escenario 1'!O160</f>
        <v>6.3849999999999998</v>
      </c>
      <c r="P160" s="143">
        <f>N160</f>
        <v>0.34256130727919365</v>
      </c>
      <c r="Q160" s="149">
        <f>'Escenario 1'!Q160</f>
        <v>6.3849999999999998</v>
      </c>
    </row>
    <row r="161" spans="2:20" ht="18" thickBot="1">
      <c r="B161" s="49" t="s">
        <v>323</v>
      </c>
      <c r="C161" s="50">
        <f>C160/C169</f>
        <v>342.56130727919367</v>
      </c>
      <c r="D161" s="51" t="s">
        <v>510</v>
      </c>
      <c r="K161" s="147" t="s">
        <v>511</v>
      </c>
      <c r="L161" s="139">
        <f>L$159*1*(L156/100)</f>
        <v>37.050247162372251</v>
      </c>
      <c r="M161" s="140">
        <f>M$159*1*(M156/100)</f>
        <v>36.96</v>
      </c>
      <c r="N161" s="139">
        <f>N$159*1*(N156/100)</f>
        <v>39.977783278563123</v>
      </c>
      <c r="O161" s="140" t="s">
        <v>12</v>
      </c>
      <c r="P161" s="139">
        <f t="shared" ref="P161:Q163" si="21">P$159*1*(P156/100)</f>
        <v>39.977783278563123</v>
      </c>
      <c r="Q161" s="140">
        <f>Q$159*1*(Q156/100)</f>
        <v>2.4</v>
      </c>
    </row>
    <row r="162" spans="2:20">
      <c r="K162" s="147" t="s">
        <v>512</v>
      </c>
      <c r="L162" s="139">
        <f t="shared" ref="L162:O163" si="22">L$159*1*(L157/100)</f>
        <v>6.6890201878346058</v>
      </c>
      <c r="M162" s="140">
        <f t="shared" si="22"/>
        <v>4.2</v>
      </c>
      <c r="N162" s="139">
        <f>N$159*1*(N157/100)</f>
        <v>7.2175550744170414</v>
      </c>
      <c r="O162" s="140">
        <f>O$159*1*(O157/100)</f>
        <v>7.1999999999999993</v>
      </c>
      <c r="P162" s="139">
        <f t="shared" si="21"/>
        <v>7.2175550744170414</v>
      </c>
      <c r="Q162" s="140">
        <f t="shared" si="21"/>
        <v>7.1999999999999993</v>
      </c>
    </row>
    <row r="163" spans="2:20">
      <c r="B163" s="26" t="s">
        <v>580</v>
      </c>
      <c r="C163" s="267" t="s">
        <v>514</v>
      </c>
      <c r="D163" s="267"/>
      <c r="E163" s="267"/>
      <c r="F163" s="267"/>
      <c r="K163" s="147" t="s">
        <v>515</v>
      </c>
      <c r="L163" s="139">
        <f t="shared" si="22"/>
        <v>13.345499391967826</v>
      </c>
      <c r="M163" s="140" t="s">
        <v>12</v>
      </c>
      <c r="N163" s="139">
        <f t="shared" si="22"/>
        <v>14.399997929787771</v>
      </c>
      <c r="O163" s="145">
        <f t="shared" si="22"/>
        <v>14.399999999999999</v>
      </c>
      <c r="P163" s="139">
        <f t="shared" si="21"/>
        <v>14.399997929787771</v>
      </c>
      <c r="Q163" s="145">
        <f t="shared" si="21"/>
        <v>2.4</v>
      </c>
    </row>
    <row r="164" spans="2:20" ht="15.75" thickBot="1">
      <c r="B164" s="26" t="s">
        <v>516</v>
      </c>
      <c r="C164" s="267" t="s">
        <v>517</v>
      </c>
      <c r="D164" s="267"/>
      <c r="E164" s="267"/>
      <c r="F164" s="267"/>
      <c r="K164" s="160" t="s">
        <v>518</v>
      </c>
      <c r="L164" s="141">
        <f t="shared" ref="L164:Q164" si="23">L159*L160</f>
        <v>276.66967841630321</v>
      </c>
      <c r="M164" s="150">
        <f t="shared" si="23"/>
        <v>123.375</v>
      </c>
      <c r="N164" s="141">
        <f t="shared" si="23"/>
        <v>298.53081397820642</v>
      </c>
      <c r="O164" s="142">
        <f t="shared" si="23"/>
        <v>383.09999999999997</v>
      </c>
      <c r="P164" s="141">
        <f t="shared" si="23"/>
        <v>298.53081397820642</v>
      </c>
      <c r="Q164" s="142">
        <f t="shared" si="23"/>
        <v>383.09999999999997</v>
      </c>
      <c r="T164">
        <f>L156/'Escenario 1'!L156</f>
        <v>4.299841291625965</v>
      </c>
    </row>
    <row r="165" spans="2:20">
      <c r="B165" s="26" t="s">
        <v>519</v>
      </c>
      <c r="C165" s="267" t="s">
        <v>520</v>
      </c>
      <c r="D165" s="267"/>
      <c r="E165" s="267"/>
      <c r="F165" s="267"/>
      <c r="I165">
        <f>37.77/(C169/1000)</f>
        <v>20.427201142249363</v>
      </c>
      <c r="T165">
        <f>L157/'Escenario 1'!L157</f>
        <v>3.4925116664631055</v>
      </c>
    </row>
    <row r="166" spans="2:20">
      <c r="B166" s="26" t="s">
        <v>521</v>
      </c>
      <c r="C166" s="267" t="s">
        <v>522</v>
      </c>
      <c r="D166" s="267"/>
      <c r="E166" s="267"/>
      <c r="F166" s="267"/>
      <c r="K166" s="12" t="s">
        <v>523</v>
      </c>
      <c r="L166" s="9">
        <f>L156/L157</f>
        <v>5.5389647694225737</v>
      </c>
      <c r="T166">
        <f>L158/'Escenario 1'!L158</f>
        <v>3.4834620059211989</v>
      </c>
    </row>
    <row r="167" spans="2:20">
      <c r="B167" s="26" t="s">
        <v>7</v>
      </c>
      <c r="C167" s="267" t="s">
        <v>525</v>
      </c>
      <c r="D167" s="267"/>
      <c r="E167" s="267"/>
      <c r="F167" s="267"/>
    </row>
    <row r="169" spans="2:20" ht="17.25">
      <c r="B169" s="26" t="s">
        <v>44</v>
      </c>
      <c r="C169" s="9">
        <f>N20*G90</f>
        <v>1849.0051445119771</v>
      </c>
      <c r="D169" s="2" t="s">
        <v>528</v>
      </c>
    </row>
    <row r="171" spans="2:20" ht="20.25" thickBot="1">
      <c r="B171" s="291" t="s">
        <v>581</v>
      </c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</row>
    <row r="172" spans="2:20" ht="15.75" thickTop="1"/>
    <row r="173" spans="2:20">
      <c r="B173" s="25" t="s">
        <v>531</v>
      </c>
      <c r="C173" s="29">
        <v>0</v>
      </c>
      <c r="D173" s="29">
        <v>1</v>
      </c>
      <c r="E173" s="29">
        <v>2</v>
      </c>
      <c r="F173" s="29">
        <v>3</v>
      </c>
      <c r="G173" s="29">
        <v>4</v>
      </c>
      <c r="H173" s="29">
        <v>5</v>
      </c>
      <c r="I173" s="29">
        <v>6</v>
      </c>
      <c r="J173" s="29">
        <v>7</v>
      </c>
      <c r="K173" s="29">
        <v>8</v>
      </c>
      <c r="L173" s="29">
        <v>9</v>
      </c>
      <c r="M173" s="29">
        <v>10</v>
      </c>
    </row>
    <row r="174" spans="2:20">
      <c r="B174" s="25" t="s">
        <v>532</v>
      </c>
      <c r="C174" s="21">
        <f>C155</f>
        <v>1951154.2795626507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20">
      <c r="B175" s="25" t="s">
        <v>533</v>
      </c>
      <c r="C175" s="1"/>
      <c r="D175" s="21">
        <f>C186*C183</f>
        <v>714373.85910853313</v>
      </c>
      <c r="E175" s="21">
        <f>$D$175</f>
        <v>714373.85910853313</v>
      </c>
      <c r="F175" s="21">
        <f t="shared" ref="F175:M175" si="24">$D$175</f>
        <v>714373.85910853313</v>
      </c>
      <c r="G175" s="21">
        <f t="shared" si="24"/>
        <v>714373.85910853313</v>
      </c>
      <c r="H175" s="21">
        <f t="shared" si="24"/>
        <v>714373.85910853313</v>
      </c>
      <c r="I175" s="21">
        <f t="shared" si="24"/>
        <v>714373.85910853313</v>
      </c>
      <c r="J175" s="21">
        <f t="shared" si="24"/>
        <v>714373.85910853313</v>
      </c>
      <c r="K175" s="21">
        <f t="shared" si="24"/>
        <v>714373.85910853313</v>
      </c>
      <c r="L175" s="21">
        <f t="shared" si="24"/>
        <v>714373.85910853313</v>
      </c>
      <c r="M175" s="21">
        <f t="shared" si="24"/>
        <v>714373.85910853313</v>
      </c>
    </row>
    <row r="176" spans="2:20">
      <c r="B176" s="25" t="s">
        <v>534</v>
      </c>
      <c r="C176" s="1"/>
      <c r="D176" s="21">
        <f>C156</f>
        <v>380714.21380318428</v>
      </c>
      <c r="E176" s="21">
        <f>$D$176</f>
        <v>380714.21380318428</v>
      </c>
      <c r="F176" s="21">
        <f t="shared" ref="F176:M176" si="25">$D$176</f>
        <v>380714.21380318428</v>
      </c>
      <c r="G176" s="21">
        <f t="shared" si="25"/>
        <v>380714.21380318428</v>
      </c>
      <c r="H176" s="21">
        <f t="shared" si="25"/>
        <v>380714.21380318428</v>
      </c>
      <c r="I176" s="21">
        <f t="shared" si="25"/>
        <v>380714.21380318428</v>
      </c>
      <c r="J176" s="21">
        <f t="shared" si="25"/>
        <v>380714.21380318428</v>
      </c>
      <c r="K176" s="21">
        <f t="shared" si="25"/>
        <v>380714.21380318428</v>
      </c>
      <c r="L176" s="21">
        <f t="shared" si="25"/>
        <v>380714.21380318428</v>
      </c>
      <c r="M176" s="21">
        <f t="shared" si="25"/>
        <v>380714.21380318428</v>
      </c>
    </row>
    <row r="177" spans="2:16">
      <c r="B177" s="25" t="s">
        <v>535</v>
      </c>
      <c r="C177" s="1"/>
      <c r="D177" s="21">
        <f>D175-D176</f>
        <v>333659.64530534885</v>
      </c>
      <c r="E177" s="21">
        <f t="shared" ref="E177:M177" si="26">E175-E176</f>
        <v>333659.64530534885</v>
      </c>
      <c r="F177" s="21">
        <f t="shared" si="26"/>
        <v>333659.64530534885</v>
      </c>
      <c r="G177" s="21">
        <f t="shared" si="26"/>
        <v>333659.64530534885</v>
      </c>
      <c r="H177" s="21">
        <f t="shared" si="26"/>
        <v>333659.64530534885</v>
      </c>
      <c r="I177" s="21">
        <f t="shared" si="26"/>
        <v>333659.64530534885</v>
      </c>
      <c r="J177" s="21">
        <f t="shared" si="26"/>
        <v>333659.64530534885</v>
      </c>
      <c r="K177" s="21">
        <f t="shared" si="26"/>
        <v>333659.64530534885</v>
      </c>
      <c r="L177" s="21">
        <f t="shared" si="26"/>
        <v>333659.64530534885</v>
      </c>
      <c r="M177" s="21">
        <f t="shared" si="26"/>
        <v>333659.64530534885</v>
      </c>
    </row>
    <row r="178" spans="2:16">
      <c r="B178" s="25" t="s">
        <v>536</v>
      </c>
      <c r="C178" s="1"/>
      <c r="D178" s="21">
        <f>D177/((1+$C$157)^$C$158)</f>
        <v>204838.07842466244</v>
      </c>
      <c r="E178" s="21">
        <f t="shared" ref="E178:M178" si="27">E177/((1+$C$157)^$C$158)</f>
        <v>204838.07842466244</v>
      </c>
      <c r="F178" s="21">
        <f t="shared" si="27"/>
        <v>204838.07842466244</v>
      </c>
      <c r="G178" s="21">
        <f t="shared" si="27"/>
        <v>204838.07842466244</v>
      </c>
      <c r="H178" s="21">
        <f t="shared" si="27"/>
        <v>204838.07842466244</v>
      </c>
      <c r="I178" s="21">
        <f t="shared" si="27"/>
        <v>204838.07842466244</v>
      </c>
      <c r="J178" s="21">
        <f t="shared" si="27"/>
        <v>204838.07842466244</v>
      </c>
      <c r="K178" s="21">
        <f t="shared" si="27"/>
        <v>204838.07842466244</v>
      </c>
      <c r="L178" s="21">
        <f t="shared" si="27"/>
        <v>204838.07842466244</v>
      </c>
      <c r="M178" s="21">
        <f t="shared" si="27"/>
        <v>204838.07842466244</v>
      </c>
    </row>
    <row r="179" spans="2:16" ht="15.75" thickBot="1"/>
    <row r="180" spans="2:16" ht="15.75" thickBot="1">
      <c r="B180" s="58" t="s">
        <v>537</v>
      </c>
      <c r="C180" s="59">
        <f>SUM(D178:M178)-C174</f>
        <v>97226.504683973268</v>
      </c>
    </row>
    <row r="181" spans="2:16">
      <c r="D181" s="30"/>
    </row>
    <row r="182" spans="2:16">
      <c r="B182" s="25" t="s">
        <v>538</v>
      </c>
      <c r="C182" s="20">
        <f>C161</f>
        <v>342.56130727919367</v>
      </c>
    </row>
    <row r="183" spans="2:16">
      <c r="B183" s="25" t="s">
        <v>539</v>
      </c>
      <c r="C183" s="20">
        <v>386.35579853785839</v>
      </c>
    </row>
    <row r="185" spans="2:16">
      <c r="B185" s="289" t="s">
        <v>44</v>
      </c>
      <c r="C185" s="9">
        <f>C186*1000</f>
        <v>1849005.144511977</v>
      </c>
      <c r="D185" s="5" t="s">
        <v>540</v>
      </c>
    </row>
    <row r="186" spans="2:16" ht="17.25">
      <c r="B186" s="290"/>
      <c r="C186" s="9">
        <f>C169</f>
        <v>1849.0051445119771</v>
      </c>
      <c r="D186" s="2" t="s">
        <v>528</v>
      </c>
    </row>
    <row r="188" spans="2:16">
      <c r="B188" s="75" t="s">
        <v>541</v>
      </c>
    </row>
    <row r="190" spans="2:16" ht="20.25" thickBot="1">
      <c r="B190" s="291" t="s">
        <v>542</v>
      </c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</row>
    <row r="191" spans="2:16" ht="15.75" thickTop="1"/>
    <row r="192" spans="2:16">
      <c r="B192" s="292" t="s">
        <v>543</v>
      </c>
      <c r="C192" s="292"/>
      <c r="D192" s="292"/>
      <c r="E192" s="292"/>
      <c r="F192" s="292"/>
      <c r="G192" s="292"/>
      <c r="H192" s="292"/>
      <c r="I192" s="292"/>
      <c r="J192" s="292"/>
      <c r="K192" s="292"/>
    </row>
    <row r="193" spans="2:11" ht="17.25">
      <c r="B193" s="2" t="s">
        <v>544</v>
      </c>
      <c r="C193" s="2" t="s">
        <v>545</v>
      </c>
      <c r="D193" s="2" t="s">
        <v>546</v>
      </c>
      <c r="E193" s="2" t="s">
        <v>547</v>
      </c>
      <c r="F193" s="2" t="s">
        <v>548</v>
      </c>
      <c r="G193" s="2" t="s">
        <v>549</v>
      </c>
      <c r="H193" s="2" t="s">
        <v>550</v>
      </c>
      <c r="I193" s="2" t="s">
        <v>551</v>
      </c>
      <c r="J193" s="2" t="s">
        <v>552</v>
      </c>
      <c r="K193" s="2" t="s">
        <v>553</v>
      </c>
    </row>
    <row r="194" spans="2:11">
      <c r="B194" s="2" t="s">
        <v>245</v>
      </c>
      <c r="C194" s="9">
        <v>1573.7214611872146</v>
      </c>
      <c r="D194" s="9">
        <f>((1000*3*9.81)+101325)/101325</f>
        <v>1.2904515173945226</v>
      </c>
      <c r="E194" s="2">
        <v>1.5</v>
      </c>
      <c r="F194" s="2">
        <v>25</v>
      </c>
      <c r="G194" s="2">
        <v>2.1480000000000001</v>
      </c>
      <c r="H194" s="2">
        <v>1.577</v>
      </c>
      <c r="I194" s="130">
        <v>0.75</v>
      </c>
      <c r="J194" s="91">
        <v>4780</v>
      </c>
      <c r="K194" s="2">
        <v>36.5</v>
      </c>
    </row>
    <row r="195" spans="2:11">
      <c r="B195" s="2" t="s">
        <v>246</v>
      </c>
      <c r="C195" s="9">
        <v>9245.6135844748842</v>
      </c>
      <c r="D195" s="9">
        <f>D194</f>
        <v>1.2904515173945226</v>
      </c>
      <c r="E195" s="2">
        <v>1.5</v>
      </c>
      <c r="F195" s="2">
        <v>25</v>
      </c>
      <c r="G195" s="2">
        <v>2.1480000000000001</v>
      </c>
      <c r="H195" s="2">
        <v>9.2639999999999993</v>
      </c>
      <c r="I195" s="130">
        <v>0.75</v>
      </c>
      <c r="J195" s="91">
        <v>5230</v>
      </c>
      <c r="K195" s="2">
        <v>36.5</v>
      </c>
    </row>
    <row r="196" spans="2:11">
      <c r="B196" s="2" t="s">
        <v>247</v>
      </c>
      <c r="C196" s="9">
        <v>4917.8795662100447</v>
      </c>
      <c r="D196" s="2">
        <v>0.5</v>
      </c>
      <c r="E196" s="2">
        <v>1.5</v>
      </c>
      <c r="F196" s="2">
        <v>25</v>
      </c>
      <c r="G196" s="2">
        <v>10.23</v>
      </c>
      <c r="H196" s="2">
        <v>4.9279999999999999</v>
      </c>
      <c r="I196" s="130">
        <v>0.75</v>
      </c>
      <c r="J196" s="91">
        <v>5000</v>
      </c>
      <c r="K196" s="2">
        <v>36.57</v>
      </c>
    </row>
    <row r="197" spans="2:11">
      <c r="B197" s="2" t="s">
        <v>250</v>
      </c>
      <c r="C197" s="9">
        <v>9835.7591324200894</v>
      </c>
      <c r="D197" s="2">
        <v>1</v>
      </c>
      <c r="E197" s="2">
        <v>1.5</v>
      </c>
      <c r="F197" s="2">
        <v>25</v>
      </c>
      <c r="G197" s="2">
        <v>5.1139999999999999</v>
      </c>
      <c r="H197" s="2">
        <v>9.8450000000000006</v>
      </c>
      <c r="I197" s="130">
        <v>0.75</v>
      </c>
      <c r="J197" s="91">
        <v>5340</v>
      </c>
      <c r="K197" s="2">
        <v>36.57</v>
      </c>
    </row>
    <row r="198" spans="2:11">
      <c r="B198" s="2" t="s">
        <v>253</v>
      </c>
      <c r="C198" s="9">
        <v>207.6438039066463</v>
      </c>
      <c r="D198" s="2">
        <v>0.5</v>
      </c>
      <c r="E198" s="2">
        <v>1</v>
      </c>
      <c r="F198" s="2">
        <v>25</v>
      </c>
      <c r="G198" s="2">
        <v>5.1212</v>
      </c>
      <c r="H198" s="2">
        <v>0.22839999999999999</v>
      </c>
      <c r="I198" s="130">
        <v>0.75</v>
      </c>
      <c r="J198" s="91">
        <v>4560</v>
      </c>
      <c r="K198" s="2">
        <v>36.35</v>
      </c>
    </row>
    <row r="199" spans="2:11">
      <c r="B199" s="2" t="s">
        <v>254</v>
      </c>
      <c r="C199" s="9">
        <v>207.6438039066463</v>
      </c>
      <c r="D199" s="2">
        <v>1</v>
      </c>
      <c r="E199" s="2">
        <v>1.29</v>
      </c>
      <c r="F199" s="2">
        <v>35</v>
      </c>
      <c r="G199" s="2">
        <v>2.9792000000000001</v>
      </c>
      <c r="H199" s="2">
        <v>0.2291</v>
      </c>
      <c r="I199" s="130">
        <v>0.75</v>
      </c>
      <c r="J199" s="91">
        <v>4560</v>
      </c>
      <c r="K199" s="2">
        <v>36.35</v>
      </c>
    </row>
    <row r="200" spans="2:11">
      <c r="B200" s="2" t="s">
        <v>255</v>
      </c>
      <c r="C200" s="9">
        <v>211.88263946060633</v>
      </c>
      <c r="D200" s="2">
        <v>1.29</v>
      </c>
      <c r="E200" s="2">
        <v>1.5</v>
      </c>
      <c r="F200" s="2">
        <v>50</v>
      </c>
      <c r="G200" s="2">
        <v>2.1703999999999999</v>
      </c>
      <c r="H200" s="2">
        <v>0.2349</v>
      </c>
      <c r="I200" s="130">
        <v>0.75</v>
      </c>
      <c r="J200" s="91">
        <v>4560</v>
      </c>
      <c r="K200" s="2">
        <v>36.35</v>
      </c>
    </row>
    <row r="202" spans="2:11">
      <c r="B202" s="292" t="s">
        <v>554</v>
      </c>
      <c r="C202" s="292"/>
      <c r="D202" s="292"/>
      <c r="E202" s="292"/>
      <c r="F202" s="292"/>
      <c r="G202" s="292"/>
      <c r="H202" s="292"/>
      <c r="I202" s="292"/>
      <c r="J202" s="292"/>
      <c r="K202" s="292"/>
    </row>
    <row r="203" spans="2:11" ht="17.25">
      <c r="B203" s="2" t="s">
        <v>555</v>
      </c>
      <c r="C203" s="2" t="s">
        <v>202</v>
      </c>
      <c r="D203" s="2" t="s">
        <v>548</v>
      </c>
      <c r="E203" s="2" t="s">
        <v>556</v>
      </c>
      <c r="F203" s="2" t="s">
        <v>557</v>
      </c>
      <c r="G203" s="2" t="s">
        <v>558</v>
      </c>
      <c r="H203" s="2" t="s">
        <v>559</v>
      </c>
      <c r="I203" s="2" t="s">
        <v>560</v>
      </c>
      <c r="J203" s="2" t="s">
        <v>561</v>
      </c>
      <c r="K203" s="2"/>
    </row>
    <row r="204" spans="2:11">
      <c r="B204" s="9">
        <f>N21/24</f>
        <v>211.07364663378732</v>
      </c>
      <c r="C204" s="2">
        <f>O61</f>
        <v>4</v>
      </c>
      <c r="D204" s="2">
        <v>50</v>
      </c>
      <c r="E204" s="9">
        <v>0.83</v>
      </c>
      <c r="F204" s="2">
        <v>1.9810000000000001</v>
      </c>
      <c r="G204" s="2">
        <v>0.30480000000000002</v>
      </c>
      <c r="H204" s="2">
        <v>38.51</v>
      </c>
      <c r="I204" s="2">
        <v>13263</v>
      </c>
      <c r="J204" s="91">
        <v>46400</v>
      </c>
      <c r="K204" s="2"/>
    </row>
    <row r="206" spans="2:11">
      <c r="B206" s="292" t="s">
        <v>311</v>
      </c>
      <c r="C206" s="292"/>
      <c r="D206" s="292"/>
      <c r="E206" s="292"/>
      <c r="F206" s="292"/>
      <c r="G206" s="292"/>
      <c r="H206" s="292"/>
      <c r="I206" s="292"/>
      <c r="J206" s="292"/>
      <c r="K206" s="292"/>
    </row>
    <row r="207" spans="2:11" ht="17.25">
      <c r="B207" s="2" t="s">
        <v>555</v>
      </c>
      <c r="C207" s="2" t="s">
        <v>202</v>
      </c>
      <c r="D207" s="2" t="s">
        <v>548</v>
      </c>
      <c r="E207" s="2" t="s">
        <v>556</v>
      </c>
      <c r="F207" s="2" t="s">
        <v>557</v>
      </c>
      <c r="G207" s="2" t="s">
        <v>558</v>
      </c>
      <c r="H207" s="2" t="s">
        <v>559</v>
      </c>
      <c r="I207" s="2"/>
      <c r="J207" s="2" t="s">
        <v>561</v>
      </c>
      <c r="K207" s="2"/>
    </row>
    <row r="208" spans="2:11">
      <c r="B208" s="9">
        <f>N21/24</f>
        <v>211.07364663378732</v>
      </c>
      <c r="C208" s="2">
        <v>24</v>
      </c>
      <c r="D208" s="2">
        <v>25</v>
      </c>
      <c r="E208" s="9">
        <v>5.09</v>
      </c>
      <c r="F208" s="2">
        <v>1.2190000000000001</v>
      </c>
      <c r="G208" s="2">
        <v>2.59</v>
      </c>
      <c r="H208" s="2">
        <v>36.32</v>
      </c>
      <c r="I208" s="2"/>
      <c r="J208" s="91">
        <v>17200</v>
      </c>
      <c r="K208" s="2"/>
    </row>
    <row r="210" spans="2:11">
      <c r="B210" s="292" t="s">
        <v>566</v>
      </c>
      <c r="C210" s="292"/>
      <c r="D210" s="292"/>
      <c r="E210" s="292"/>
      <c r="F210" s="292"/>
      <c r="G210" s="292"/>
      <c r="H210" s="292"/>
      <c r="I210" s="292"/>
      <c r="J210" s="292"/>
      <c r="K210" s="292"/>
    </row>
    <row r="211" spans="2:11">
      <c r="B211" s="2" t="s">
        <v>582</v>
      </c>
      <c r="C211" s="2" t="s">
        <v>583</v>
      </c>
      <c r="D211" s="2" t="s">
        <v>584</v>
      </c>
      <c r="E211" s="2"/>
      <c r="F211" s="2"/>
      <c r="G211" s="2" t="s">
        <v>558</v>
      </c>
      <c r="H211" s="2" t="s">
        <v>559</v>
      </c>
      <c r="I211" s="2"/>
      <c r="J211" s="2" t="s">
        <v>561</v>
      </c>
      <c r="K211" s="2"/>
    </row>
    <row r="212" spans="2:11">
      <c r="B212" s="9">
        <f>I21/24</f>
        <v>9835.7591324200785</v>
      </c>
      <c r="C212" s="9">
        <f>L21/24</f>
        <v>207.6438039066461</v>
      </c>
      <c r="D212" s="9">
        <f>J21/24</f>
        <v>9628.1153285134315</v>
      </c>
      <c r="E212" s="9"/>
      <c r="F212" s="2"/>
      <c r="G212" s="2">
        <v>0.254</v>
      </c>
      <c r="H212" s="2">
        <v>44.941000000000003</v>
      </c>
      <c r="I212" s="2"/>
      <c r="J212" s="91">
        <v>274000</v>
      </c>
      <c r="K212" s="2"/>
    </row>
  </sheetData>
  <mergeCells count="77">
    <mergeCell ref="B32:B33"/>
    <mergeCell ref="B26:B27"/>
    <mergeCell ref="Q26:S26"/>
    <mergeCell ref="U26:W26"/>
    <mergeCell ref="B28:B29"/>
    <mergeCell ref="B30:B31"/>
    <mergeCell ref="U30:W30"/>
    <mergeCell ref="B24:B25"/>
    <mergeCell ref="R4:S4"/>
    <mergeCell ref="Q18:S18"/>
    <mergeCell ref="U18:W18"/>
    <mergeCell ref="B20:B21"/>
    <mergeCell ref="B22:B23"/>
    <mergeCell ref="B34:B35"/>
    <mergeCell ref="Q35:S35"/>
    <mergeCell ref="U35:W35"/>
    <mergeCell ref="B36:B37"/>
    <mergeCell ref="B40:B41"/>
    <mergeCell ref="B38:B39"/>
    <mergeCell ref="V38:W38"/>
    <mergeCell ref="B44:D44"/>
    <mergeCell ref="B46:E46"/>
    <mergeCell ref="B54:P54"/>
    <mergeCell ref="B56:D56"/>
    <mergeCell ref="F56:H56"/>
    <mergeCell ref="J56:L56"/>
    <mergeCell ref="N56:P56"/>
    <mergeCell ref="R56:T56"/>
    <mergeCell ref="B65:P65"/>
    <mergeCell ref="B67:G67"/>
    <mergeCell ref="I67:P67"/>
    <mergeCell ref="C68:D68"/>
    <mergeCell ref="F68:G68"/>
    <mergeCell ref="K68:L68"/>
    <mergeCell ref="S65:Y65"/>
    <mergeCell ref="S67:S68"/>
    <mergeCell ref="W67:Y67"/>
    <mergeCell ref="W68:W69"/>
    <mergeCell ref="C164:F164"/>
    <mergeCell ref="B121:D121"/>
    <mergeCell ref="I141:L141"/>
    <mergeCell ref="B153:I153"/>
    <mergeCell ref="C163:F163"/>
    <mergeCell ref="B131:D131"/>
    <mergeCell ref="K153:R153"/>
    <mergeCell ref="C165:F165"/>
    <mergeCell ref="C166:F166"/>
    <mergeCell ref="C167:F167"/>
    <mergeCell ref="B171:P171"/>
    <mergeCell ref="B185:B186"/>
    <mergeCell ref="AB113:AC113"/>
    <mergeCell ref="AD113:AE113"/>
    <mergeCell ref="Q113:S113"/>
    <mergeCell ref="R117:S117"/>
    <mergeCell ref="U113:W113"/>
    <mergeCell ref="V116:W116"/>
    <mergeCell ref="Z113:AA113"/>
    <mergeCell ref="B117:B118"/>
    <mergeCell ref="W75:Y75"/>
    <mergeCell ref="W78:W79"/>
    <mergeCell ref="B112:B113"/>
    <mergeCell ref="B101:B102"/>
    <mergeCell ref="B104:B105"/>
    <mergeCell ref="B108:B110"/>
    <mergeCell ref="B86:C86"/>
    <mergeCell ref="B87:D87"/>
    <mergeCell ref="I87:M87"/>
    <mergeCell ref="B89:D89"/>
    <mergeCell ref="B99:D99"/>
    <mergeCell ref="I104:M104"/>
    <mergeCell ref="I113:N113"/>
    <mergeCell ref="B115:B116"/>
    <mergeCell ref="B190:P190"/>
    <mergeCell ref="B192:K192"/>
    <mergeCell ref="B202:K202"/>
    <mergeCell ref="B206:K206"/>
    <mergeCell ref="B210:K210"/>
  </mergeCells>
  <hyperlinks>
    <hyperlink ref="R155" r:id="rId1" display="https://blogs.worldbank.org/opendata/fertilizer-prices-expected-remain-higher-longer" xr:uid="{00000000-0004-0000-0800-000000000000}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D6BAA-5136-454A-8A27-1CB4E83F10C2}">
  <sheetPr codeName="Hoja8"/>
  <dimension ref="A3:AG248"/>
  <sheetViews>
    <sheetView tabSelected="1" zoomScale="80" zoomScaleNormal="80" workbookViewId="0">
      <selection activeCell="L27" sqref="L27"/>
    </sheetView>
  </sheetViews>
  <sheetFormatPr defaultColWidth="11.42578125" defaultRowHeight="15"/>
  <cols>
    <col min="2" max="2" width="25.42578125" customWidth="1"/>
    <col min="3" max="3" width="15.5703125" bestFit="1" customWidth="1"/>
    <col min="4" max="6" width="14.5703125" bestFit="1" customWidth="1"/>
    <col min="7" max="7" width="14.42578125" bestFit="1" customWidth="1"/>
    <col min="8" max="8" width="22.85546875" bestFit="1" customWidth="1"/>
    <col min="9" max="9" width="18.5703125" bestFit="1" customWidth="1"/>
    <col min="10" max="10" width="50.85546875" customWidth="1"/>
    <col min="11" max="11" width="15.42578125" customWidth="1"/>
    <col min="12" max="12" width="18.5703125" customWidth="1"/>
    <col min="13" max="13" width="16.5703125" customWidth="1"/>
    <col min="14" max="14" width="18.7109375" customWidth="1"/>
    <col min="15" max="15" width="18" customWidth="1"/>
    <col min="16" max="16" width="17" customWidth="1"/>
    <col min="17" max="18" width="15" customWidth="1"/>
    <col min="19" max="19" width="16" customWidth="1"/>
    <col min="20" max="20" width="20.5703125" customWidth="1"/>
    <col min="21" max="21" width="20.85546875" bestFit="1" customWidth="1"/>
    <col min="22" max="22" width="15.5703125" bestFit="1" customWidth="1"/>
    <col min="24" max="24" width="18.5703125" bestFit="1" customWidth="1"/>
    <col min="29" max="29" width="16.7109375" bestFit="1" customWidth="1"/>
    <col min="30" max="30" width="25.85546875" bestFit="1" customWidth="1"/>
  </cols>
  <sheetData>
    <row r="3" spans="11:33" ht="20.25" thickBot="1">
      <c r="U3" s="317" t="s">
        <v>585</v>
      </c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</row>
    <row r="4" spans="11:33" ht="15.75" thickTop="1"/>
    <row r="5" spans="11:33">
      <c r="N5" s="298" t="s">
        <v>240</v>
      </c>
      <c r="O5" s="298"/>
      <c r="V5" s="314" t="s">
        <v>586</v>
      </c>
      <c r="W5" s="314"/>
      <c r="X5" s="314"/>
      <c r="Y5" s="314" t="s">
        <v>587</v>
      </c>
      <c r="Z5" s="314"/>
      <c r="AA5" s="314"/>
      <c r="AB5" s="314" t="s">
        <v>588</v>
      </c>
      <c r="AC5" s="314"/>
      <c r="AD5" s="314"/>
      <c r="AF5" s="161">
        <f>(Y8/V8)</f>
        <v>0.87809895696335627</v>
      </c>
    </row>
    <row r="6" spans="11:33">
      <c r="K6" s="75"/>
      <c r="N6" s="55" t="s">
        <v>241</v>
      </c>
      <c r="O6" s="2">
        <v>71.7</v>
      </c>
      <c r="V6" s="120" t="s">
        <v>274</v>
      </c>
      <c r="W6" s="120" t="s">
        <v>589</v>
      </c>
      <c r="X6" s="120" t="s">
        <v>590</v>
      </c>
      <c r="Y6" s="120" t="s">
        <v>274</v>
      </c>
      <c r="Z6" s="120" t="s">
        <v>589</v>
      </c>
      <c r="AA6" s="120" t="s">
        <v>591</v>
      </c>
      <c r="AB6" s="120" t="s">
        <v>274</v>
      </c>
      <c r="AC6" s="120" t="s">
        <v>589</v>
      </c>
      <c r="AD6" s="120" t="s">
        <v>592</v>
      </c>
    </row>
    <row r="7" spans="11:33">
      <c r="N7" s="55" t="s">
        <v>242</v>
      </c>
      <c r="O7" s="2">
        <v>42.3</v>
      </c>
      <c r="T7" s="161">
        <f>(Y7/V7)</f>
        <v>9.943633084059867E-3</v>
      </c>
      <c r="U7" s="119" t="s">
        <v>277</v>
      </c>
      <c r="V7" s="9">
        <f>P30</f>
        <v>9636.5962065620279</v>
      </c>
      <c r="W7" s="9">
        <v>10</v>
      </c>
      <c r="X7" s="9">
        <v>0.1</v>
      </c>
      <c r="Y7" s="9">
        <f>Z7*18</f>
        <v>95.822776857295992</v>
      </c>
      <c r="Z7" s="9">
        <f>$Z$9*AA7</f>
        <v>5.3234876031831107</v>
      </c>
      <c r="AA7" s="9">
        <f>AD7*AD18</f>
        <v>6.413840485762784E-2</v>
      </c>
      <c r="AB7" s="9">
        <f>AC7*18</f>
        <v>84.177223142703994</v>
      </c>
      <c r="AC7" s="9">
        <f>$AC$9*AD7</f>
        <v>4.6765123968168885</v>
      </c>
      <c r="AD7" s="9">
        <f>X7/(1+$Y$17*(AD18-1))</f>
        <v>0.27508896451864051</v>
      </c>
    </row>
    <row r="8" spans="11:33">
      <c r="N8" s="55" t="s">
        <v>243</v>
      </c>
      <c r="O8" s="2">
        <v>33.4</v>
      </c>
      <c r="S8" s="114"/>
      <c r="T8" s="161">
        <f t="shared" ref="T8:T9" si="0">(Y8/V8)</f>
        <v>0.87809895696335627</v>
      </c>
      <c r="U8" s="119" t="s">
        <v>593</v>
      </c>
      <c r="V8" s="9">
        <f>P31</f>
        <v>5139.5179768330809</v>
      </c>
      <c r="W8" s="9">
        <v>90</v>
      </c>
      <c r="X8" s="9">
        <v>0.9</v>
      </c>
      <c r="Y8" s="9">
        <f>Z8*58.1</f>
        <v>4513.0053747515476</v>
      </c>
      <c r="Z8" s="9">
        <f>$Z$9*AA8</f>
        <v>77.676512474209076</v>
      </c>
      <c r="AA8" s="9">
        <f>AD8*AD19</f>
        <v>0.93586159607480812</v>
      </c>
      <c r="AB8" s="9">
        <f>AC8*58.1</f>
        <v>715.99462524845251</v>
      </c>
      <c r="AC8" s="9">
        <f>$AC$9*AD8</f>
        <v>12.32348752579092</v>
      </c>
      <c r="AD8" s="9">
        <f>X8/(1+$Y$17*(AD19-1))</f>
        <v>0.72491103092887765</v>
      </c>
    </row>
    <row r="9" spans="11:33">
      <c r="S9" s="114"/>
      <c r="T9" s="161">
        <f t="shared" si="0"/>
        <v>0.30781380161682981</v>
      </c>
      <c r="U9" s="119" t="s">
        <v>125</v>
      </c>
      <c r="V9" s="9">
        <f>P29</f>
        <v>14972.779412100457</v>
      </c>
      <c r="W9" s="9">
        <f>W7+W8</f>
        <v>100</v>
      </c>
      <c r="X9" s="9">
        <f>X7+X8</f>
        <v>1</v>
      </c>
      <c r="Y9" s="9">
        <f>Y7+Y8</f>
        <v>4608.8281516088437</v>
      </c>
      <c r="Z9" s="9">
        <f>W9*Y17</f>
        <v>83</v>
      </c>
      <c r="AA9" s="9">
        <f>SUM(AA7:AA8)</f>
        <v>1.0000000009324359</v>
      </c>
      <c r="AB9" s="9">
        <f>AB7+AB8</f>
        <v>800.17184839115646</v>
      </c>
      <c r="AC9" s="9">
        <f>W9-Z9</f>
        <v>17</v>
      </c>
      <c r="AD9" s="9">
        <f>AD7+AD8</f>
        <v>0.99999999544751816</v>
      </c>
    </row>
    <row r="10" spans="11:33">
      <c r="N10" s="298" t="s">
        <v>594</v>
      </c>
      <c r="O10" s="298"/>
      <c r="S10" s="114"/>
      <c r="T10" s="115"/>
    </row>
    <row r="11" spans="11:33">
      <c r="N11" s="55" t="s">
        <v>241</v>
      </c>
      <c r="O11" s="2">
        <v>50</v>
      </c>
      <c r="Y11" s="8"/>
      <c r="AB11" s="314" t="s">
        <v>595</v>
      </c>
      <c r="AC11" s="314"/>
      <c r="AD11" s="314"/>
      <c r="AG11" s="113" t="s">
        <v>596</v>
      </c>
    </row>
    <row r="12" spans="11:33">
      <c r="N12" s="55" t="s">
        <v>242</v>
      </c>
      <c r="O12" s="2">
        <v>50</v>
      </c>
      <c r="AB12" s="120" t="s">
        <v>597</v>
      </c>
      <c r="AC12" s="120" t="s">
        <v>469</v>
      </c>
      <c r="AD12" s="120" t="s">
        <v>270</v>
      </c>
      <c r="AG12" s="2" t="s">
        <v>598</v>
      </c>
    </row>
    <row r="13" spans="11:33">
      <c r="N13" s="55" t="s">
        <v>243</v>
      </c>
      <c r="O13" s="2">
        <v>50</v>
      </c>
      <c r="AA13" s="121" t="s">
        <v>277</v>
      </c>
      <c r="AB13" s="2">
        <v>8.0713000000000008</v>
      </c>
      <c r="AC13" s="2">
        <v>1730.63</v>
      </c>
      <c r="AD13" s="2">
        <v>233.42599999999999</v>
      </c>
      <c r="AF13" s="121" t="s">
        <v>277</v>
      </c>
      <c r="AG13" s="117">
        <f>X7*(1-AD18)/(1+$Y$17*(AD18-1))</f>
        <v>0.21095055966101273</v>
      </c>
    </row>
    <row r="14" spans="11:33">
      <c r="N14" s="55" t="s">
        <v>599</v>
      </c>
      <c r="O14" s="2">
        <v>10</v>
      </c>
      <c r="P14" s="60" t="s">
        <v>600</v>
      </c>
      <c r="S14" s="8"/>
      <c r="X14" s="122" t="s">
        <v>548</v>
      </c>
      <c r="Y14" s="122" t="s">
        <v>601</v>
      </c>
      <c r="AA14" s="121" t="s">
        <v>593</v>
      </c>
      <c r="AB14" s="2">
        <v>7.1170999999999998</v>
      </c>
      <c r="AC14" s="2">
        <v>1210.595</v>
      </c>
      <c r="AD14" s="2">
        <v>229.66399999999999</v>
      </c>
      <c r="AF14" s="121" t="s">
        <v>593</v>
      </c>
      <c r="AG14" s="117">
        <f>X8*(1-AD19)/(1+$Y$17*(AD19-1))</f>
        <v>-0.2109505651459305</v>
      </c>
    </row>
    <row r="15" spans="11:33">
      <c r="X15" s="2">
        <v>63.788001669625295</v>
      </c>
      <c r="Y15" s="2">
        <v>1</v>
      </c>
      <c r="AG15" s="118">
        <f>SUM(AG13:AG14)</f>
        <v>-5.484917769971176E-9</v>
      </c>
    </row>
    <row r="16" spans="11:33">
      <c r="AB16" s="314" t="s">
        <v>602</v>
      </c>
      <c r="AC16" s="314"/>
      <c r="AD16" s="314"/>
    </row>
    <row r="17" spans="2:30">
      <c r="X17" s="73" t="s">
        <v>603</v>
      </c>
      <c r="Y17" s="9">
        <v>0.83</v>
      </c>
      <c r="AB17" s="120" t="s">
        <v>604</v>
      </c>
      <c r="AC17" s="120" t="s">
        <v>605</v>
      </c>
      <c r="AD17" s="120" t="s">
        <v>30</v>
      </c>
    </row>
    <row r="18" spans="2:30">
      <c r="AA18" s="121" t="s">
        <v>606</v>
      </c>
      <c r="AB18" s="9">
        <f>10^(AB13-(AC13/($X$15+AD13)))</f>
        <v>177.19790314778001</v>
      </c>
      <c r="AC18" s="116" t="s">
        <v>12</v>
      </c>
      <c r="AD18" s="116">
        <f>AB18/($Y$15*760)</f>
        <v>0.23315513572076318</v>
      </c>
    </row>
    <row r="19" spans="2:30">
      <c r="AA19" s="121" t="s">
        <v>593</v>
      </c>
      <c r="AB19" s="9">
        <f>10^(AB14-(AC14/($X$15+AD14)))</f>
        <v>981.16152558124986</v>
      </c>
      <c r="AC19" s="116" t="s">
        <v>12</v>
      </c>
      <c r="AD19" s="116">
        <f>AB19/($Y$15*760)</f>
        <v>1.2910020073437498</v>
      </c>
    </row>
    <row r="21" spans="2:30">
      <c r="B21" s="61"/>
      <c r="S21" s="8"/>
    </row>
    <row r="22" spans="2:30">
      <c r="B22" s="61"/>
      <c r="O22" s="9" t="s">
        <v>607</v>
      </c>
      <c r="S22" s="8"/>
      <c r="T22" s="2" t="s">
        <v>67</v>
      </c>
      <c r="AA22" s="111" t="s">
        <v>608</v>
      </c>
    </row>
    <row r="23" spans="2:30">
      <c r="B23" s="61"/>
      <c r="O23" s="199">
        <f>O29/O30</f>
        <v>1.5537414965986396</v>
      </c>
      <c r="P23" s="8"/>
      <c r="Q23" s="8"/>
      <c r="T23" s="228">
        <f>(T38/T29)</f>
        <v>1.2815973967152762E-2</v>
      </c>
      <c r="AA23" t="s">
        <v>609</v>
      </c>
    </row>
    <row r="24" spans="2:30">
      <c r="B24" s="8"/>
      <c r="M24" s="8"/>
      <c r="N24" s="8"/>
      <c r="O24" s="199">
        <f>O29/O31</f>
        <v>2.9132653061224492</v>
      </c>
      <c r="P24" s="8"/>
      <c r="Q24" s="8"/>
      <c r="T24" s="178">
        <f>(T31/T29)</f>
        <v>0.89480106890544509</v>
      </c>
    </row>
    <row r="26" spans="2:30">
      <c r="D26" s="3" t="s">
        <v>245</v>
      </c>
      <c r="E26" s="3" t="s">
        <v>246</v>
      </c>
      <c r="F26" s="3" t="s">
        <v>247</v>
      </c>
      <c r="G26" s="3" t="s">
        <v>248</v>
      </c>
      <c r="H26" s="3" t="s">
        <v>249</v>
      </c>
      <c r="I26" s="3" t="s">
        <v>250</v>
      </c>
      <c r="J26" s="3" t="s">
        <v>251</v>
      </c>
      <c r="K26" s="3" t="s">
        <v>252</v>
      </c>
      <c r="L26" s="3" t="s">
        <v>253</v>
      </c>
      <c r="M26" s="3" t="s">
        <v>254</v>
      </c>
      <c r="N26" s="3" t="s">
        <v>255</v>
      </c>
      <c r="O26" s="3" t="s">
        <v>610</v>
      </c>
      <c r="P26" s="3" t="s">
        <v>586</v>
      </c>
      <c r="Q26" s="3" t="s">
        <v>611</v>
      </c>
      <c r="R26" s="3" t="s">
        <v>612</v>
      </c>
      <c r="S26" s="3" t="s">
        <v>613</v>
      </c>
      <c r="T26" s="3" t="s">
        <v>614</v>
      </c>
      <c r="X26" s="328" t="s">
        <v>256</v>
      </c>
      <c r="Y26" s="329"/>
      <c r="Z26" s="330"/>
      <c r="AB26" s="328" t="s">
        <v>257</v>
      </c>
      <c r="AC26" s="329"/>
      <c r="AD26" s="330"/>
    </row>
    <row r="27" spans="2:30">
      <c r="D27" s="4" t="s">
        <v>258</v>
      </c>
      <c r="E27" s="4" t="s">
        <v>259</v>
      </c>
      <c r="F27" s="4" t="s">
        <v>260</v>
      </c>
      <c r="G27" s="4" t="s">
        <v>261</v>
      </c>
      <c r="H27" s="4" t="s">
        <v>262</v>
      </c>
      <c r="I27" s="4" t="s">
        <v>263</v>
      </c>
      <c r="J27" s="11" t="s">
        <v>264</v>
      </c>
      <c r="K27" s="4" t="s">
        <v>265</v>
      </c>
      <c r="L27" s="4" t="s">
        <v>266</v>
      </c>
      <c r="M27" s="4" t="s">
        <v>267</v>
      </c>
      <c r="N27" s="4" t="s">
        <v>593</v>
      </c>
      <c r="O27" s="11" t="s">
        <v>615</v>
      </c>
      <c r="P27" s="11" t="s">
        <v>61</v>
      </c>
      <c r="Q27" s="11" t="s">
        <v>616</v>
      </c>
      <c r="R27" s="11" t="s">
        <v>63</v>
      </c>
      <c r="S27" s="11" t="s">
        <v>617</v>
      </c>
      <c r="T27" s="11" t="s">
        <v>618</v>
      </c>
      <c r="X27" s="6" t="s">
        <v>268</v>
      </c>
      <c r="Y27" s="5">
        <v>8400</v>
      </c>
      <c r="Z27" s="5" t="s">
        <v>269</v>
      </c>
      <c r="AB27" s="6" t="s">
        <v>270</v>
      </c>
      <c r="AC27" s="5">
        <v>37.86</v>
      </c>
      <c r="AD27" s="5" t="s">
        <v>17</v>
      </c>
    </row>
    <row r="28" spans="2:30" ht="17.25">
      <c r="B28" s="327" t="s">
        <v>271</v>
      </c>
      <c r="C28" s="229" t="s">
        <v>619</v>
      </c>
      <c r="D28" s="18">
        <f>Y32</f>
        <v>37.76931506849315</v>
      </c>
      <c r="E28" s="18">
        <f>G28-(F28+D28)</f>
        <v>221.89472602739724</v>
      </c>
      <c r="F28" s="18">
        <f>I28*(Y36/100)</f>
        <v>118.02910958904108</v>
      </c>
      <c r="G28" s="18">
        <f>D28*Y35</f>
        <v>377.69315068493148</v>
      </c>
      <c r="H28" s="18">
        <f>(AC35*Y39)/1000</f>
        <v>141.63493150684931</v>
      </c>
      <c r="I28" s="18">
        <f>G28-H28</f>
        <v>236.05821917808217</v>
      </c>
      <c r="J28" s="18">
        <f>I28-L28</f>
        <v>213.63268835616435</v>
      </c>
      <c r="K28" s="18">
        <f>J28-F28</f>
        <v>95.603578767123267</v>
      </c>
      <c r="L28" s="18">
        <f>(I28*I33*((AC31-AC32)/100))/(AC45*1000)</f>
        <v>22.425530821917803</v>
      </c>
      <c r="M28" s="18">
        <f>L28</f>
        <v>22.425530821917803</v>
      </c>
      <c r="N28" s="18">
        <f>AC50</f>
        <v>14.950353881278538</v>
      </c>
      <c r="O28" s="18">
        <f>O29/1000</f>
        <v>34.146608264840182</v>
      </c>
      <c r="P28" s="18">
        <f>O28-Q28</f>
        <v>14.972779412100458</v>
      </c>
      <c r="Q28" s="18">
        <f>(O28*O33*((AC31-AC32)/100))/(AC45*1000)</f>
        <v>19.173828852739724</v>
      </c>
      <c r="R28" s="18">
        <f>R29/1000</f>
        <v>19.259039240514483</v>
      </c>
      <c r="S28" s="18">
        <f>S29/1000</f>
        <v>4.6088281516088436</v>
      </c>
      <c r="T28" s="18">
        <f>T29/1000</f>
        <v>0.8001718483911564</v>
      </c>
      <c r="X28" s="6" t="s">
        <v>272</v>
      </c>
      <c r="Y28" s="5">
        <v>14260</v>
      </c>
      <c r="Z28" s="5" t="s">
        <v>269</v>
      </c>
      <c r="AB28" s="6" t="s">
        <v>273</v>
      </c>
      <c r="AC28" s="5">
        <v>4.99</v>
      </c>
      <c r="AD28" s="5" t="s">
        <v>17</v>
      </c>
    </row>
    <row r="29" spans="2:30" s="237" customFormat="1">
      <c r="B29" s="327"/>
      <c r="C29" s="235" t="s">
        <v>274</v>
      </c>
      <c r="D29" s="236">
        <f t="shared" ref="D29:M29" si="1">D28*1000</f>
        <v>37769.315068493146</v>
      </c>
      <c r="E29" s="236">
        <f t="shared" si="1"/>
        <v>221894.72602739724</v>
      </c>
      <c r="F29" s="236">
        <f t="shared" si="1"/>
        <v>118029.10958904108</v>
      </c>
      <c r="G29" s="236">
        <f t="shared" si="1"/>
        <v>377693.15068493149</v>
      </c>
      <c r="H29" s="236">
        <f t="shared" si="1"/>
        <v>141634.9315068493</v>
      </c>
      <c r="I29" s="236">
        <f t="shared" si="1"/>
        <v>236058.21917808216</v>
      </c>
      <c r="J29" s="236">
        <f t="shared" si="1"/>
        <v>213632.68835616435</v>
      </c>
      <c r="K29" s="236">
        <f t="shared" si="1"/>
        <v>95603.578767123268</v>
      </c>
      <c r="L29" s="236">
        <f t="shared" si="1"/>
        <v>22425.530821917804</v>
      </c>
      <c r="M29" s="236">
        <f t="shared" si="1"/>
        <v>22425.530821917804</v>
      </c>
      <c r="N29" s="236">
        <f>N28*AC55</f>
        <v>11721.077442922373</v>
      </c>
      <c r="O29" s="236">
        <f>M29+N29</f>
        <v>34146.608264840179</v>
      </c>
      <c r="P29" s="236">
        <f>P28*1000</f>
        <v>14972.779412100457</v>
      </c>
      <c r="Q29" s="236">
        <f>Q28*1000</f>
        <v>19173.828852739724</v>
      </c>
      <c r="R29" s="236">
        <f>Q29+O69</f>
        <v>19259.039240514481</v>
      </c>
      <c r="S29" s="236">
        <f>Y9</f>
        <v>4608.8281516088437</v>
      </c>
      <c r="T29" s="236">
        <f>AB9</f>
        <v>800.17184839115646</v>
      </c>
      <c r="X29" s="238" t="s">
        <v>275</v>
      </c>
      <c r="Y29" s="235">
        <v>5120</v>
      </c>
      <c r="Z29" s="235" t="s">
        <v>269</v>
      </c>
      <c r="AB29" s="238" t="s">
        <v>276</v>
      </c>
      <c r="AC29" s="235">
        <v>1.03</v>
      </c>
      <c r="AD29" s="235" t="s">
        <v>17</v>
      </c>
    </row>
    <row r="30" spans="2:30" s="237" customFormat="1">
      <c r="B30" s="238" t="s">
        <v>277</v>
      </c>
      <c r="C30" s="239" t="s">
        <v>274</v>
      </c>
      <c r="D30" s="240">
        <f>D29-D34</f>
        <v>37452.052821917801</v>
      </c>
      <c r="E30" s="240">
        <f>E29</f>
        <v>221894.72602739724</v>
      </c>
      <c r="F30" s="240">
        <f>F29-F32</f>
        <v>118029.10958904108</v>
      </c>
      <c r="G30" s="240">
        <f>D30+E30+F30</f>
        <v>377375.88843835611</v>
      </c>
      <c r="H30" s="240">
        <f>H29</f>
        <v>141634.9315068493</v>
      </c>
      <c r="I30" s="240">
        <f>I29-I32</f>
        <v>235586.10273972599</v>
      </c>
      <c r="J30" s="240">
        <f>J29-J32</f>
        <v>213632.68835616435</v>
      </c>
      <c r="K30" s="240">
        <f>K29-K32</f>
        <v>95603.578767123268</v>
      </c>
      <c r="L30" s="240">
        <f>L29-L32</f>
        <v>21977.020205479446</v>
      </c>
      <c r="M30" s="240">
        <f>M29-M32</f>
        <v>21977.020205479446</v>
      </c>
      <c r="N30" s="240">
        <v>0</v>
      </c>
      <c r="O30" s="240">
        <f>M30+N30</f>
        <v>21977.020205479446</v>
      </c>
      <c r="P30" s="240">
        <f>P29/O23</f>
        <v>9636.5962065620279</v>
      </c>
      <c r="Q30" s="240">
        <f>O30-P30</f>
        <v>12340.423998917418</v>
      </c>
      <c r="R30" s="240">
        <f>Q30</f>
        <v>12340.423998917418</v>
      </c>
      <c r="S30" s="240">
        <f>Y7</f>
        <v>95.822776857295992</v>
      </c>
      <c r="T30" s="240">
        <f>AB7</f>
        <v>84.177223142703994</v>
      </c>
      <c r="X30" s="238" t="s">
        <v>278</v>
      </c>
      <c r="Y30" s="235">
        <v>3328</v>
      </c>
      <c r="Z30" s="235" t="s">
        <v>269</v>
      </c>
    </row>
    <row r="31" spans="2:30" s="237" customFormat="1">
      <c r="B31" s="238" t="s">
        <v>593</v>
      </c>
      <c r="C31" s="235" t="s">
        <v>274</v>
      </c>
      <c r="D31" s="236">
        <v>0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f>N29</f>
        <v>11721.077442922373</v>
      </c>
      <c r="O31" s="236">
        <f>N31+M31</f>
        <v>11721.077442922373</v>
      </c>
      <c r="P31" s="236">
        <f>P29/O24</f>
        <v>5139.5179768330809</v>
      </c>
      <c r="Q31" s="236">
        <f>O31-P31</f>
        <v>6581.5594660892921</v>
      </c>
      <c r="R31" s="236">
        <f>Q31</f>
        <v>6581.5594660892921</v>
      </c>
      <c r="S31" s="236">
        <f>Y8</f>
        <v>4513.0053747515476</v>
      </c>
      <c r="T31" s="236">
        <f>AB8</f>
        <v>715.99462524845251</v>
      </c>
      <c r="V31" s="249" t="s">
        <v>620</v>
      </c>
      <c r="X31" s="238" t="s">
        <v>279</v>
      </c>
      <c r="Y31" s="235">
        <v>76</v>
      </c>
      <c r="Z31" s="235" t="s">
        <v>269</v>
      </c>
      <c r="AB31" s="238" t="s">
        <v>280</v>
      </c>
      <c r="AC31" s="235">
        <v>100</v>
      </c>
      <c r="AD31" s="235" t="s">
        <v>17</v>
      </c>
    </row>
    <row r="32" spans="2:30" ht="17.25">
      <c r="B32" s="327" t="s">
        <v>281</v>
      </c>
      <c r="C32" s="229" t="s">
        <v>274</v>
      </c>
      <c r="D32" s="18">
        <v>0</v>
      </c>
      <c r="E32" s="18">
        <v>0</v>
      </c>
      <c r="F32" s="18">
        <f>(F28*F33)/1000</f>
        <v>0</v>
      </c>
      <c r="G32" s="18">
        <f>((D28*D32)+(F28*F32)+(E28*E32))/G28</f>
        <v>0</v>
      </c>
      <c r="H32" s="18">
        <v>0</v>
      </c>
      <c r="I32" s="18">
        <f>(I28*I33)/1000</f>
        <v>472.11643835616434</v>
      </c>
      <c r="J32" s="18">
        <f>Y41*AC35*(1-(AC31/100))</f>
        <v>0</v>
      </c>
      <c r="K32" s="18">
        <f>(K33*K28)/1000</f>
        <v>0</v>
      </c>
      <c r="L32" s="18">
        <f>(Y41*AC35*((AC31-AC32)/100))/1000</f>
        <v>448.51061643835607</v>
      </c>
      <c r="M32" s="18">
        <f>L32</f>
        <v>448.51061643835607</v>
      </c>
      <c r="N32" s="18">
        <v>0</v>
      </c>
      <c r="O32" s="18">
        <f>M32*(1-(O14/100))</f>
        <v>403.65955479452049</v>
      </c>
      <c r="P32" s="18">
        <v>0</v>
      </c>
      <c r="Q32" s="18">
        <f>O32*((AC31-AC32)/100)</f>
        <v>383.47657705479446</v>
      </c>
      <c r="R32" s="18">
        <f>Q32</f>
        <v>383.47657705479446</v>
      </c>
      <c r="S32" s="18">
        <v>0</v>
      </c>
      <c r="T32" s="18">
        <f>P32</f>
        <v>0</v>
      </c>
      <c r="V32" s="247">
        <f>M34*(8/100)</f>
        <v>35.880849315068488</v>
      </c>
      <c r="X32" s="6" t="s">
        <v>271</v>
      </c>
      <c r="Y32" s="103">
        <v>37.76931506849315</v>
      </c>
      <c r="Z32" s="5" t="s">
        <v>23</v>
      </c>
      <c r="AB32" s="6" t="s">
        <v>282</v>
      </c>
      <c r="AC32" s="5">
        <v>5</v>
      </c>
      <c r="AD32" s="5" t="s">
        <v>17</v>
      </c>
    </row>
    <row r="33" spans="2:30">
      <c r="B33" s="327"/>
      <c r="C33" s="230" t="s">
        <v>269</v>
      </c>
      <c r="D33" s="95">
        <v>0</v>
      </c>
      <c r="E33" s="95">
        <v>0</v>
      </c>
      <c r="F33" s="95">
        <f>J33</f>
        <v>0</v>
      </c>
      <c r="G33" s="95">
        <f>(G32/G28)*1000</f>
        <v>0</v>
      </c>
      <c r="H33" s="95">
        <v>0</v>
      </c>
      <c r="I33" s="95">
        <f>Y40*1000</f>
        <v>2000</v>
      </c>
      <c r="J33" s="95">
        <f>(J32/J28)*1000</f>
        <v>0</v>
      </c>
      <c r="K33" s="95">
        <f>J33</f>
        <v>0</v>
      </c>
      <c r="L33" s="95">
        <f>(L32/L28)*1000</f>
        <v>20000</v>
      </c>
      <c r="M33" s="95">
        <f>(M32/M28)*1000</f>
        <v>20000</v>
      </c>
      <c r="N33" s="95">
        <v>0</v>
      </c>
      <c r="O33" s="95">
        <f>(O32/O28)*1000</f>
        <v>11821.366024518387</v>
      </c>
      <c r="P33" s="95">
        <f>(P32/$P$28)*1000</f>
        <v>0</v>
      </c>
      <c r="Q33" s="95">
        <f>(Q32/$Q$28)*1000</f>
        <v>20000</v>
      </c>
      <c r="R33" s="95">
        <f>(R32/$R$28)*1000</f>
        <v>19911.511278718921</v>
      </c>
      <c r="S33" s="95">
        <f>(S32/$S$28)*1000</f>
        <v>0</v>
      </c>
      <c r="T33" s="95">
        <f>(T32/$T$28)*1000</f>
        <v>0</v>
      </c>
      <c r="V33" s="249" t="s">
        <v>621</v>
      </c>
    </row>
    <row r="34" spans="2:30" s="237" customFormat="1">
      <c r="B34" s="327" t="s">
        <v>268</v>
      </c>
      <c r="C34" s="239" t="s">
        <v>274</v>
      </c>
      <c r="D34" s="240">
        <f>(D28*D35)/1000</f>
        <v>317.26224657534243</v>
      </c>
      <c r="E34" s="240">
        <v>0</v>
      </c>
      <c r="F34" s="240">
        <f>F32</f>
        <v>0</v>
      </c>
      <c r="G34" s="240">
        <f>D34+E34+F34</f>
        <v>317.26224657534243</v>
      </c>
      <c r="H34" s="240">
        <v>0</v>
      </c>
      <c r="I34" s="240">
        <f>I32</f>
        <v>472.11643835616434</v>
      </c>
      <c r="J34" s="240">
        <f>J32</f>
        <v>0</v>
      </c>
      <c r="K34" s="240">
        <f>K32</f>
        <v>0</v>
      </c>
      <c r="L34" s="240">
        <f>L32</f>
        <v>448.51061643835607</v>
      </c>
      <c r="M34" s="240">
        <f>M32</f>
        <v>448.51061643835607</v>
      </c>
      <c r="N34" s="240">
        <v>0</v>
      </c>
      <c r="O34" s="240">
        <f>O32</f>
        <v>403.65955479452049</v>
      </c>
      <c r="P34" s="240">
        <f>P32</f>
        <v>0</v>
      </c>
      <c r="Q34" s="240">
        <f>Q32</f>
        <v>383.47657705479446</v>
      </c>
      <c r="R34" s="240">
        <f>Q34</f>
        <v>383.47657705479446</v>
      </c>
      <c r="S34" s="240">
        <v>0</v>
      </c>
      <c r="T34" s="240">
        <f>P34</f>
        <v>0</v>
      </c>
      <c r="V34" s="247">
        <f>M38-V32</f>
        <v>17.54837695731451</v>
      </c>
      <c r="X34" s="336" t="s">
        <v>283</v>
      </c>
      <c r="Y34" s="337"/>
      <c r="Z34" s="338"/>
      <c r="AB34" s="336" t="s">
        <v>284</v>
      </c>
      <c r="AC34" s="337"/>
      <c r="AD34" s="338"/>
    </row>
    <row r="35" spans="2:30" ht="17.25">
      <c r="B35" s="327"/>
      <c r="C35" s="230" t="s">
        <v>269</v>
      </c>
      <c r="D35" s="95">
        <f>Y27</f>
        <v>8400</v>
      </c>
      <c r="E35" s="95">
        <v>0</v>
      </c>
      <c r="F35" s="95">
        <f>F33</f>
        <v>0</v>
      </c>
      <c r="G35" s="95">
        <f>(G34/G28)*1000</f>
        <v>840</v>
      </c>
      <c r="H35" s="95">
        <v>0</v>
      </c>
      <c r="I35" s="95">
        <f>(I34/I28)*1000</f>
        <v>2000</v>
      </c>
      <c r="J35" s="95">
        <f>(J34/J28)*1000</f>
        <v>0</v>
      </c>
      <c r="K35" s="95">
        <f>K33</f>
        <v>0</v>
      </c>
      <c r="L35" s="95">
        <f>(L34/L28)*1000</f>
        <v>20000</v>
      </c>
      <c r="M35" s="95">
        <f>(M34/M28)*1000</f>
        <v>20000</v>
      </c>
      <c r="N35" s="95">
        <v>0</v>
      </c>
      <c r="O35" s="95">
        <f>(O34/O28)*1000</f>
        <v>11821.366024518387</v>
      </c>
      <c r="P35" s="95">
        <f>(P34/$P$28)*1000</f>
        <v>0</v>
      </c>
      <c r="Q35" s="95">
        <f>(Q34/$Q$28)*1000</f>
        <v>20000</v>
      </c>
      <c r="R35" s="95">
        <f>(R34/$R$28)*1000</f>
        <v>19911.511278718921</v>
      </c>
      <c r="S35" s="95">
        <f>(S34/$S$28)*1000</f>
        <v>0</v>
      </c>
      <c r="T35" s="95">
        <f>(T34/$T$28)*1000</f>
        <v>0</v>
      </c>
      <c r="V35" s="249" t="s">
        <v>622</v>
      </c>
      <c r="X35" s="6" t="s">
        <v>285</v>
      </c>
      <c r="Y35" s="5">
        <v>10</v>
      </c>
      <c r="Z35" s="5" t="s">
        <v>17</v>
      </c>
      <c r="AB35" s="6" t="s">
        <v>286</v>
      </c>
      <c r="AC35" s="9">
        <f>AC36/(Y38/100)</f>
        <v>28326.986301369863</v>
      </c>
      <c r="AD35" s="2" t="s">
        <v>287</v>
      </c>
    </row>
    <row r="36" spans="2:30" s="237" customFormat="1" ht="17.25">
      <c r="B36" s="327" t="s">
        <v>272</v>
      </c>
      <c r="C36" s="239" t="s">
        <v>274</v>
      </c>
      <c r="D36" s="240">
        <f>(D28*D37)/1000</f>
        <v>538.59043287671227</v>
      </c>
      <c r="E36" s="240">
        <v>0</v>
      </c>
      <c r="F36" s="240">
        <f>(F37*F28)/1000</f>
        <v>54.064488343376048</v>
      </c>
      <c r="G36" s="240">
        <f>D36+E36+F36</f>
        <v>592.65492122008834</v>
      </c>
      <c r="H36" s="240">
        <f>G36-I36</f>
        <v>254.42118804794524</v>
      </c>
      <c r="I36" s="240">
        <f>J36+L36</f>
        <v>338.2337331721431</v>
      </c>
      <c r="J36" s="240">
        <f>(J28*J37)/1000</f>
        <v>97.856723901510634</v>
      </c>
      <c r="K36" s="240">
        <f>(K32*(Y47/100))+D36*(1-(AC39/100))*(K30/(L30+K30))</f>
        <v>43.792235558134593</v>
      </c>
      <c r="L36" s="240">
        <f>(L32*(Y47/100))+D36*(1-(AC39/100))*(L30/(L30+K30))</f>
        <v>240.37700927063247</v>
      </c>
      <c r="M36" s="240">
        <f>L36</f>
        <v>240.37700927063247</v>
      </c>
      <c r="N36" s="240">
        <f>N31*((3*12)/58.1)</f>
        <v>7262.6297408813325</v>
      </c>
      <c r="O36" s="240">
        <f>M36+((O31*((3*12))/58.1))</f>
        <v>7503.0067501519652</v>
      </c>
      <c r="P36" s="240">
        <f>$P$32*(Y47/100)+(($M$32-$O$32)*(Y47/100))+D36*(1-(AC39/100))*($L$30/($K$30+$L$30))+((P31*((3*12))/58.1))</f>
        <v>3217.652856558188</v>
      </c>
      <c r="Q36" s="240">
        <f>O36-P36</f>
        <v>4285.3538935937777</v>
      </c>
      <c r="R36" s="240">
        <f>Q36</f>
        <v>4285.3538935937777</v>
      </c>
      <c r="S36" s="240">
        <f>S31*((3*12)/58.1)</f>
        <v>2796.3544490715271</v>
      </c>
      <c r="T36" s="240">
        <f>T31*((3*12)/58.1)+D36*(1-(AC39/100))*($L$30/($K$30+$L$30))+(($M$32-$O$32)*(Y47/100))</f>
        <v>476.74337881211932</v>
      </c>
      <c r="V36" s="248">
        <f>V34/M30</f>
        <v>7.9848754713977279E-4</v>
      </c>
      <c r="X36" s="238" t="s">
        <v>260</v>
      </c>
      <c r="Y36" s="242">
        <v>50</v>
      </c>
      <c r="Z36" s="235" t="s">
        <v>17</v>
      </c>
      <c r="AB36" s="238" t="s">
        <v>288</v>
      </c>
      <c r="AC36" s="243">
        <f>G28*Y37</f>
        <v>1133.0794520547945</v>
      </c>
      <c r="AD36" s="244" t="s">
        <v>623</v>
      </c>
    </row>
    <row r="37" spans="2:30">
      <c r="B37" s="327"/>
      <c r="C37" s="230" t="s">
        <v>269</v>
      </c>
      <c r="D37" s="95">
        <f>Y28</f>
        <v>14260</v>
      </c>
      <c r="E37" s="95">
        <v>0</v>
      </c>
      <c r="F37" s="95">
        <f>J37</f>
        <v>458.06063039550281</v>
      </c>
      <c r="G37" s="95">
        <f>(G36/G28)*1000</f>
        <v>1569.1439469985946</v>
      </c>
      <c r="H37" s="95">
        <f>(H36/H28)*1000</f>
        <v>1796.3166666666671</v>
      </c>
      <c r="I37" s="95">
        <f>(I36/I28)*1000</f>
        <v>1432.8403151977514</v>
      </c>
      <c r="J37" s="95">
        <f>K37</f>
        <v>458.06063039550281</v>
      </c>
      <c r="K37" s="95">
        <f t="shared" ref="K37:O37" si="2">(K36/K28)*1000</f>
        <v>458.06063039550281</v>
      </c>
      <c r="L37" s="95">
        <f t="shared" si="2"/>
        <v>10718.899417787594</v>
      </c>
      <c r="M37" s="95">
        <f t="shared" si="2"/>
        <v>10718.899417787594</v>
      </c>
      <c r="N37" s="95">
        <f t="shared" si="2"/>
        <v>485783.13253012043</v>
      </c>
      <c r="O37" s="95">
        <f t="shared" si="2"/>
        <v>219729.19512119167</v>
      </c>
      <c r="P37" s="95">
        <f>(P36/$P$28)*1000</f>
        <v>214900.17103690165</v>
      </c>
      <c r="Q37" s="95">
        <f>(Q36/$Q$28)*1000</f>
        <v>223500.16402599987</v>
      </c>
      <c r="R37" s="95">
        <f>(R36/$R$28)*1000</f>
        <v>222511.30183996132</v>
      </c>
      <c r="S37" s="95">
        <f>(S36/$S$28)*1000</f>
        <v>606738.7103802904</v>
      </c>
      <c r="T37" s="95">
        <f>(T36/$S$28)*1000</f>
        <v>103441.34411817857</v>
      </c>
      <c r="V37" s="249" t="s">
        <v>624</v>
      </c>
      <c r="X37" s="6" t="s">
        <v>65</v>
      </c>
      <c r="Y37" s="69">
        <v>3</v>
      </c>
      <c r="Z37" s="5" t="s">
        <v>26</v>
      </c>
    </row>
    <row r="38" spans="2:30" s="237" customFormat="1">
      <c r="B38" s="327" t="s">
        <v>275</v>
      </c>
      <c r="C38" s="239" t="s">
        <v>274</v>
      </c>
      <c r="D38" s="240">
        <f>(D28*D39)/1000</f>
        <v>193.37889315068492</v>
      </c>
      <c r="E38" s="240">
        <v>0</v>
      </c>
      <c r="F38" s="240">
        <f>(F39*F28)/1000</f>
        <v>77.646614394974875</v>
      </c>
      <c r="G38" s="240">
        <f>D38+E38+F38</f>
        <v>271.02550754565982</v>
      </c>
      <c r="H38" s="240">
        <f>G38-I38</f>
        <v>77.055909218372278</v>
      </c>
      <c r="I38" s="240">
        <f>J38+L38</f>
        <v>193.96959832728754</v>
      </c>
      <c r="J38" s="240">
        <f>(J39*J28)/1000</f>
        <v>140.54037205490454</v>
      </c>
      <c r="K38" s="240">
        <f>(K32*(Y48/100))+D38*(1-(AC40/100))*(K30/(K30+L30))</f>
        <v>62.893757659929655</v>
      </c>
      <c r="L38" s="240">
        <f>(L32*(Y48/100))+D38*(1-(AC40/100))*(L30/(K30+L30))</f>
        <v>53.429226272382998</v>
      </c>
      <c r="M38" s="240">
        <f>L38</f>
        <v>53.429226272382998</v>
      </c>
      <c r="N38" s="240">
        <v>0</v>
      </c>
      <c r="O38" s="240">
        <f>M38</f>
        <v>53.429226272382998</v>
      </c>
      <c r="P38" s="240">
        <f>O38-Q38</f>
        <v>10.254981578229568</v>
      </c>
      <c r="Q38" s="240">
        <f>Q34*(Y48/100)+V40</f>
        <v>43.17424469415343</v>
      </c>
      <c r="R38" s="240">
        <f>Q38</f>
        <v>43.17424469415343</v>
      </c>
      <c r="S38" s="240">
        <f>P38-T38</f>
        <v>0</v>
      </c>
      <c r="T38" s="240">
        <f>P38</f>
        <v>10.254981578229568</v>
      </c>
      <c r="V38" s="247">
        <f>V36*P30</f>
        <v>7.6947020677541529</v>
      </c>
      <c r="X38" s="238" t="s">
        <v>70</v>
      </c>
      <c r="Y38" s="242">
        <v>4</v>
      </c>
      <c r="Z38" s="235" t="s">
        <v>34</v>
      </c>
      <c r="AB38" s="336" t="s">
        <v>290</v>
      </c>
      <c r="AC38" s="337"/>
      <c r="AD38" s="338"/>
    </row>
    <row r="39" spans="2:30" ht="17.25">
      <c r="B39" s="327"/>
      <c r="C39" s="230" t="s">
        <v>269</v>
      </c>
      <c r="D39" s="95">
        <f>Y29</f>
        <v>5120</v>
      </c>
      <c r="E39" s="95">
        <v>0</v>
      </c>
      <c r="F39" s="95">
        <f>J39</f>
        <v>657.8598674964868</v>
      </c>
      <c r="G39" s="95">
        <f>(G38/G28)*1000</f>
        <v>717.58120859265216</v>
      </c>
      <c r="H39" s="95">
        <f>(H38/H28)*1000</f>
        <v>544.04593837535015</v>
      </c>
      <c r="I39" s="95">
        <f>(I38/I28)*1000</f>
        <v>821.70237072303348</v>
      </c>
      <c r="J39" s="95">
        <f>K39</f>
        <v>657.8598674964868</v>
      </c>
      <c r="K39" s="95">
        <f>(K38/K28)*1000</f>
        <v>657.8598674964868</v>
      </c>
      <c r="L39" s="95">
        <f>(L38/L28)*1000</f>
        <v>2382.5177961969775</v>
      </c>
      <c r="M39" s="95">
        <f>(M38/M28)*1000</f>
        <v>2382.5177961969775</v>
      </c>
      <c r="N39" s="95">
        <v>0</v>
      </c>
      <c r="O39" s="95">
        <f>(O38/O28)*1000</f>
        <v>1564.7008293762983</v>
      </c>
      <c r="P39" s="95">
        <f>(P38/$P$28)*1000</f>
        <v>684.90834573718917</v>
      </c>
      <c r="Q39" s="95">
        <f>(Q38/$Q$28)*1000</f>
        <v>2251.7278643584177</v>
      </c>
      <c r="R39" s="95">
        <f>(R38/$R$28)*1000</f>
        <v>2241.7652383889158</v>
      </c>
      <c r="S39" s="95">
        <f>(S38/$S$28)*1000</f>
        <v>0</v>
      </c>
      <c r="T39" s="95">
        <f>(T38/$S$28)*1000</f>
        <v>2225.0735416658513</v>
      </c>
      <c r="V39" s="249" t="s">
        <v>625</v>
      </c>
      <c r="X39" s="6" t="s">
        <v>262</v>
      </c>
      <c r="Y39" s="68">
        <v>5</v>
      </c>
      <c r="Z39" s="5" t="s">
        <v>21</v>
      </c>
      <c r="AB39" s="6" t="s">
        <v>272</v>
      </c>
      <c r="AC39" s="2">
        <v>90</v>
      </c>
      <c r="AD39" s="5" t="s">
        <v>17</v>
      </c>
    </row>
    <row r="40" spans="2:30">
      <c r="B40" s="327" t="s">
        <v>278</v>
      </c>
      <c r="C40" s="229" t="s">
        <v>274</v>
      </c>
      <c r="D40" s="18">
        <f>(D28*D41)/1000</f>
        <v>125.69628054794521</v>
      </c>
      <c r="E40" s="18">
        <v>0</v>
      </c>
      <c r="F40" s="18">
        <f>(F41*F28)/1000</f>
        <v>2.2425530821917805</v>
      </c>
      <c r="G40" s="18">
        <f>D40+E40+F40</f>
        <v>127.93883363013698</v>
      </c>
      <c r="H40" s="18">
        <f>G40*0.1</f>
        <v>12.793883363013698</v>
      </c>
      <c r="I40" s="18">
        <f>G40-H40</f>
        <v>115.14495026712328</v>
      </c>
      <c r="J40" s="18">
        <f>(J41*J28)/1000</f>
        <v>4.059021078767123</v>
      </c>
      <c r="K40" s="18">
        <f>(K28*K41)/1000</f>
        <v>1.8164679965753421</v>
      </c>
      <c r="L40" s="18">
        <f>I40-J40</f>
        <v>111.08592918835616</v>
      </c>
      <c r="M40" s="18">
        <f>L40</f>
        <v>111.08592918835616</v>
      </c>
      <c r="N40" s="18">
        <v>0</v>
      </c>
      <c r="O40" s="18">
        <f>M40</f>
        <v>111.08592918835616</v>
      </c>
      <c r="P40" s="18" t="s">
        <v>12</v>
      </c>
      <c r="Q40" s="18" t="s">
        <v>12</v>
      </c>
      <c r="R40" s="18" t="s">
        <v>12</v>
      </c>
      <c r="S40" s="18" t="s">
        <v>12</v>
      </c>
      <c r="T40" s="18" t="s">
        <v>12</v>
      </c>
      <c r="V40" s="247">
        <f>V36*Q30</f>
        <v>9.8536748895603559</v>
      </c>
      <c r="X40" s="6" t="s">
        <v>291</v>
      </c>
      <c r="Y40" s="5">
        <v>2</v>
      </c>
      <c r="Z40" s="5" t="s">
        <v>19</v>
      </c>
      <c r="AB40" s="6" t="s">
        <v>273</v>
      </c>
      <c r="AC40" s="2">
        <v>60</v>
      </c>
      <c r="AD40" s="5" t="s">
        <v>17</v>
      </c>
    </row>
    <row r="41" spans="2:30" ht="17.25">
      <c r="B41" s="327"/>
      <c r="C41" s="230" t="s">
        <v>269</v>
      </c>
      <c r="D41" s="95">
        <f>Y30</f>
        <v>3328</v>
      </c>
      <c r="E41" s="95">
        <v>0</v>
      </c>
      <c r="F41" s="95">
        <f>J41</f>
        <v>19</v>
      </c>
      <c r="G41" s="95">
        <f>(G39/G28)*1000</f>
        <v>1899.9052730804019</v>
      </c>
      <c r="H41" s="95">
        <f>(H40/H28)*1000</f>
        <v>90.33</v>
      </c>
      <c r="I41" s="95">
        <f>(I40/I28)*1000</f>
        <v>487.78199999999998</v>
      </c>
      <c r="J41" s="95">
        <v>19</v>
      </c>
      <c r="K41" s="95">
        <v>19</v>
      </c>
      <c r="L41" s="95">
        <f>(L40/L28)*1000</f>
        <v>4953.5473684210529</v>
      </c>
      <c r="M41" s="95">
        <f>(M40/M28)*1000</f>
        <v>4953.5473684210529</v>
      </c>
      <c r="N41" s="95">
        <v>0</v>
      </c>
      <c r="O41" s="95">
        <f>(O40/O28)*1000</f>
        <v>3253.2053645497281</v>
      </c>
      <c r="P41" s="95" t="s">
        <v>12</v>
      </c>
      <c r="Q41" s="95" t="s">
        <v>12</v>
      </c>
      <c r="R41" s="95" t="s">
        <v>12</v>
      </c>
      <c r="S41" s="95" t="s">
        <v>12</v>
      </c>
      <c r="T41" s="95" t="s">
        <v>12</v>
      </c>
      <c r="X41" s="6" t="s">
        <v>292</v>
      </c>
      <c r="Y41" s="7">
        <f>(I32*1000)/AC35</f>
        <v>16.666666666666664</v>
      </c>
      <c r="Z41" s="5" t="s">
        <v>40</v>
      </c>
      <c r="AB41" s="6" t="s">
        <v>276</v>
      </c>
      <c r="AC41" s="2">
        <v>60</v>
      </c>
      <c r="AD41" s="5" t="s">
        <v>17</v>
      </c>
    </row>
    <row r="42" spans="2:30" s="237" customFormat="1">
      <c r="B42" s="327" t="s">
        <v>279</v>
      </c>
      <c r="C42" s="239" t="s">
        <v>274</v>
      </c>
      <c r="D42" s="240">
        <f>(D28*D43)/1000</f>
        <v>2.8704679452054793</v>
      </c>
      <c r="E42" s="240">
        <v>0</v>
      </c>
      <c r="F42" s="240">
        <f>(F43*F28)/1000</f>
        <v>1.1525669324254084</v>
      </c>
      <c r="G42" s="240">
        <f>D42+E42+F42</f>
        <v>4.023034877630888</v>
      </c>
      <c r="H42" s="240">
        <f>G42-I42</f>
        <v>0.37674891780821973</v>
      </c>
      <c r="I42" s="240">
        <f>J42+L42</f>
        <v>3.6462859598226682</v>
      </c>
      <c r="J42" s="240">
        <f>(J43*J28)/1000</f>
        <v>2.086146147689989</v>
      </c>
      <c r="K42" s="240">
        <f>(K32*(Y49/100))+D42*(1-(AC41/100))*(K30/(K30+L30))</f>
        <v>0.93357921526458076</v>
      </c>
      <c r="L42" s="240">
        <f>(L32*(Y49/100))+D42*(1-(AC41/100))*(L30/(K30+L30))</f>
        <v>1.5601398121326793</v>
      </c>
      <c r="M42" s="240">
        <f>L42</f>
        <v>1.5601398121326793</v>
      </c>
      <c r="N42" s="240">
        <v>0</v>
      </c>
      <c r="O42" s="240">
        <f>M42</f>
        <v>1.5601398121326793</v>
      </c>
      <c r="P42" s="240">
        <f>$P$32*(Y49/100)+(($M$32-$O$32)*(Y49/100))+D42*(1-(AC41/100))*($L$30/($K$30+$L$30))</f>
        <v>0.34916114774911772</v>
      </c>
      <c r="Q42" s="240">
        <f>O42-P42</f>
        <v>1.2109786643835616</v>
      </c>
      <c r="R42" s="240">
        <f>Q42+O69</f>
        <v>86.421366439141011</v>
      </c>
      <c r="S42" s="240">
        <f>P42-T42</f>
        <v>0</v>
      </c>
      <c r="T42" s="240">
        <f>P42</f>
        <v>0.34916114774911772</v>
      </c>
      <c r="V42" s="241"/>
    </row>
    <row r="43" spans="2:30" ht="15.75" thickBot="1">
      <c r="B43" s="334"/>
      <c r="C43" s="231" t="s">
        <v>269</v>
      </c>
      <c r="D43" s="232">
        <f>Y31</f>
        <v>76</v>
      </c>
      <c r="E43" s="232">
        <v>0</v>
      </c>
      <c r="F43" s="232">
        <f>J43</f>
        <v>9.7651074081509748</v>
      </c>
      <c r="G43" s="232">
        <f>(G42/G28)*1000</f>
        <v>10.65159606504718</v>
      </c>
      <c r="H43" s="232">
        <f>(H42/H28)*1000</f>
        <v>2.6600000000000041</v>
      </c>
      <c r="I43" s="232">
        <f>(I42/I28)*1000</f>
        <v>15.446553704075487</v>
      </c>
      <c r="J43" s="232">
        <f>K43</f>
        <v>9.7651074081509748</v>
      </c>
      <c r="K43" s="232">
        <f>(K42/K28)*1000</f>
        <v>9.7651074081509748</v>
      </c>
      <c r="L43" s="232">
        <f>(L42/L28)*1000</f>
        <v>69.569805259987959</v>
      </c>
      <c r="M43" s="232">
        <f>(M42/M28)*1000</f>
        <v>69.569805259987959</v>
      </c>
      <c r="N43" s="232">
        <v>0</v>
      </c>
      <c r="O43" s="232">
        <f>(O42/O28)*1000</f>
        <v>45.689451790710123</v>
      </c>
      <c r="P43" s="232">
        <f>(P42/$P$28)*1000</f>
        <v>23.319728297535615</v>
      </c>
      <c r="Q43" s="232">
        <f>(Q42/$Q$28)*1000</f>
        <v>63.15789473684211</v>
      </c>
      <c r="R43" s="232">
        <f>(R42/$R$28)*1000</f>
        <v>4487.3145207233283</v>
      </c>
      <c r="S43" s="232">
        <f>(S42/$S$28)*1000</f>
        <v>0</v>
      </c>
      <c r="T43" s="232">
        <f>(T42/$T$28)*1000</f>
        <v>436.35770047540291</v>
      </c>
      <c r="X43" s="328" t="s">
        <v>293</v>
      </c>
      <c r="Y43" s="329"/>
      <c r="Z43" s="330"/>
      <c r="AB43" s="328" t="s">
        <v>280</v>
      </c>
      <c r="AC43" s="329"/>
      <c r="AD43" s="330"/>
    </row>
    <row r="44" spans="2:30" ht="18" thickTop="1">
      <c r="B44" s="335" t="s">
        <v>294</v>
      </c>
      <c r="C44" s="233" t="s">
        <v>274</v>
      </c>
      <c r="D44" s="234">
        <v>0</v>
      </c>
      <c r="E44" s="234">
        <v>0</v>
      </c>
      <c r="F44" s="234">
        <f>(F45*F28)/1000</f>
        <v>0</v>
      </c>
      <c r="G44" s="234">
        <f>D44+E44+F44</f>
        <v>0</v>
      </c>
      <c r="H44" s="234">
        <v>0</v>
      </c>
      <c r="I44" s="234">
        <f>J44+L44</f>
        <v>231.87998869863009</v>
      </c>
      <c r="J44" s="234">
        <f>J32*(Y44/100)</f>
        <v>0</v>
      </c>
      <c r="K44" s="234">
        <f>K32*(Y44/100)</f>
        <v>0</v>
      </c>
      <c r="L44" s="234">
        <f>L32*(Y44/100)</f>
        <v>231.87998869863009</v>
      </c>
      <c r="M44" s="234">
        <f>L44</f>
        <v>231.87998869863009</v>
      </c>
      <c r="N44" s="234">
        <v>0</v>
      </c>
      <c r="O44" s="234">
        <f>M44</f>
        <v>231.87998869863009</v>
      </c>
      <c r="P44" s="234">
        <f>O44-Q44</f>
        <v>33.622598361301357</v>
      </c>
      <c r="Q44" s="234">
        <f>Q32*(Y44/100)</f>
        <v>198.25739033732873</v>
      </c>
      <c r="R44" s="234">
        <f>Q44</f>
        <v>198.25739033732873</v>
      </c>
      <c r="S44" s="234" t="s">
        <v>12</v>
      </c>
      <c r="T44" s="234" t="s">
        <v>12</v>
      </c>
      <c r="V44" s="8"/>
      <c r="X44" s="6" t="s">
        <v>294</v>
      </c>
      <c r="Y44" s="2">
        <v>51.7</v>
      </c>
      <c r="Z44" s="5" t="s">
        <v>17</v>
      </c>
      <c r="AB44" s="6" t="s">
        <v>295</v>
      </c>
      <c r="AC44" s="2">
        <v>40</v>
      </c>
      <c r="AD44" s="5" t="s">
        <v>296</v>
      </c>
    </row>
    <row r="45" spans="2:30">
      <c r="B45" s="327"/>
      <c r="C45" s="230" t="s">
        <v>269</v>
      </c>
      <c r="D45" s="95">
        <v>0</v>
      </c>
      <c r="E45" s="95">
        <v>0</v>
      </c>
      <c r="F45" s="95">
        <f>J45</f>
        <v>0</v>
      </c>
      <c r="G45" s="95">
        <f>(G44/G28)*1000</f>
        <v>0</v>
      </c>
      <c r="H45" s="95">
        <v>0</v>
      </c>
      <c r="I45" s="95">
        <f>(I44/I28)*1000</f>
        <v>982.29999999999984</v>
      </c>
      <c r="J45" s="95">
        <f>(J44/J28)*1000</f>
        <v>0</v>
      </c>
      <c r="K45" s="95">
        <f>(K44/K28)*1000</f>
        <v>0</v>
      </c>
      <c r="L45" s="95">
        <f>(L44/L28)*1000</f>
        <v>10340</v>
      </c>
      <c r="M45" s="95">
        <f>(M44/M28)*1000</f>
        <v>10340</v>
      </c>
      <c r="N45" s="95">
        <v>0</v>
      </c>
      <c r="O45" s="95">
        <f>(O44/O28)*1000</f>
        <v>6790.7180385288957</v>
      </c>
      <c r="P45" s="95">
        <f>(P44/$P$28)*1000</f>
        <v>2245.5816275586612</v>
      </c>
      <c r="Q45" s="95">
        <f>(Q44/$Q$28)*1000</f>
        <v>10339.999999999998</v>
      </c>
      <c r="R45" s="95">
        <f>(R44/$R$28)*1000</f>
        <v>10294.251331097683</v>
      </c>
      <c r="S45" s="95" t="s">
        <v>12</v>
      </c>
      <c r="T45" s="95" t="s">
        <v>12</v>
      </c>
      <c r="X45" s="6" t="s">
        <v>297</v>
      </c>
      <c r="Y45" s="2">
        <v>22.3</v>
      </c>
      <c r="Z45" s="5" t="s">
        <v>17</v>
      </c>
      <c r="AB45" s="12" t="s">
        <v>298</v>
      </c>
      <c r="AC45" s="2">
        <v>20</v>
      </c>
      <c r="AD45" s="2" t="s">
        <v>19</v>
      </c>
    </row>
    <row r="46" spans="2:30">
      <c r="B46" s="327" t="s">
        <v>297</v>
      </c>
      <c r="C46" s="229" t="s">
        <v>274</v>
      </c>
      <c r="D46" s="18">
        <v>0</v>
      </c>
      <c r="E46" s="18">
        <v>0</v>
      </c>
      <c r="F46" s="18">
        <f>(F47*F28)/1000</f>
        <v>0</v>
      </c>
      <c r="G46" s="18">
        <f>D46+E46+F46</f>
        <v>0</v>
      </c>
      <c r="H46" s="18">
        <v>0</v>
      </c>
      <c r="I46" s="18">
        <f>J46+L46</f>
        <v>100.0178674657534</v>
      </c>
      <c r="J46" s="18">
        <f>J32*(Y45/100)</f>
        <v>0</v>
      </c>
      <c r="K46" s="18">
        <f>K32*(Y45/100)</f>
        <v>0</v>
      </c>
      <c r="L46" s="18">
        <f>L32*(Y45/100)</f>
        <v>100.0178674657534</v>
      </c>
      <c r="M46" s="18">
        <f>L46</f>
        <v>100.0178674657534</v>
      </c>
      <c r="N46" s="18">
        <v>0</v>
      </c>
      <c r="O46" s="18">
        <f>M46</f>
        <v>100.0178674657534</v>
      </c>
      <c r="P46" s="18">
        <f>O46-Q46</f>
        <v>14.502590782534227</v>
      </c>
      <c r="Q46" s="18">
        <f>Q32*(Y45/100)</f>
        <v>85.51527668321917</v>
      </c>
      <c r="R46" s="18">
        <f>Q46</f>
        <v>85.51527668321917</v>
      </c>
      <c r="S46" s="18" t="s">
        <v>12</v>
      </c>
      <c r="T46" s="18" t="s">
        <v>12</v>
      </c>
      <c r="X46" s="6" t="s">
        <v>299</v>
      </c>
      <c r="Y46" s="2">
        <v>13.4</v>
      </c>
      <c r="Z46" s="5" t="s">
        <v>17</v>
      </c>
      <c r="AB46" s="12" t="s">
        <v>300</v>
      </c>
      <c r="AC46" s="63">
        <f>AC45/Y40</f>
        <v>10</v>
      </c>
      <c r="AD46" s="64"/>
    </row>
    <row r="47" spans="2:30">
      <c r="B47" s="327"/>
      <c r="C47" s="230" t="s">
        <v>269</v>
      </c>
      <c r="D47" s="95">
        <v>0</v>
      </c>
      <c r="E47" s="95">
        <v>0</v>
      </c>
      <c r="F47" s="95">
        <f>J47</f>
        <v>0</v>
      </c>
      <c r="G47" s="95">
        <f>(G46/G28)*1000</f>
        <v>0</v>
      </c>
      <c r="H47" s="95">
        <v>0</v>
      </c>
      <c r="I47" s="95">
        <f>(I46/I28)*1000</f>
        <v>423.69999999999993</v>
      </c>
      <c r="J47" s="95">
        <f>(J46*J28)/1000</f>
        <v>0</v>
      </c>
      <c r="K47" s="95">
        <f>(K46/K28)*1000</f>
        <v>0</v>
      </c>
      <c r="L47" s="95">
        <f>(L46/L28)*1000</f>
        <v>4460</v>
      </c>
      <c r="M47" s="95">
        <f>(M46/M28)*1000</f>
        <v>4460</v>
      </c>
      <c r="N47" s="95">
        <v>0</v>
      </c>
      <c r="O47" s="95">
        <f>(O46/O28)*1000</f>
        <v>2929.0718038528889</v>
      </c>
      <c r="P47" s="95">
        <f>(P46/$P$28)*1000</f>
        <v>968.59710434348347</v>
      </c>
      <c r="Q47" s="95">
        <f>(Q46/$Q$28)*1000</f>
        <v>4460</v>
      </c>
      <c r="R47" s="95">
        <f>(R46/$R$28)*1000</f>
        <v>4440.2670151543198</v>
      </c>
      <c r="S47" s="95" t="s">
        <v>12</v>
      </c>
      <c r="T47" s="95" t="s">
        <v>12</v>
      </c>
      <c r="X47" s="6" t="s">
        <v>270</v>
      </c>
      <c r="Y47" s="2">
        <v>51.35</v>
      </c>
      <c r="Z47" s="5" t="s">
        <v>17</v>
      </c>
    </row>
    <row r="48" spans="2:30">
      <c r="B48" s="327" t="s">
        <v>299</v>
      </c>
      <c r="C48" s="229" t="s">
        <v>274</v>
      </c>
      <c r="D48" s="18">
        <v>0</v>
      </c>
      <c r="E48" s="18">
        <v>0</v>
      </c>
      <c r="F48" s="18">
        <f>(F49*F28)/1000</f>
        <v>0</v>
      </c>
      <c r="G48" s="18">
        <f>D48+E48+F48</f>
        <v>0</v>
      </c>
      <c r="H48" s="18">
        <v>0</v>
      </c>
      <c r="I48" s="18">
        <f>J48+L48</f>
        <v>60.100422602739719</v>
      </c>
      <c r="J48" s="18">
        <f>J32*(Y46/100)</f>
        <v>0</v>
      </c>
      <c r="K48" s="18">
        <f>K32*(Y46/100)</f>
        <v>0</v>
      </c>
      <c r="L48" s="18">
        <f>L32*(Y46/100)</f>
        <v>60.100422602739719</v>
      </c>
      <c r="M48" s="18">
        <f>L48</f>
        <v>60.100422602739719</v>
      </c>
      <c r="N48" s="18">
        <v>0</v>
      </c>
      <c r="O48" s="18">
        <f>M48</f>
        <v>60.100422602739719</v>
      </c>
      <c r="P48" s="18">
        <f>O48-Q48</f>
        <v>8.7145612773972587</v>
      </c>
      <c r="Q48" s="18">
        <f>Q32*(Y46/100)</f>
        <v>51.385861325342461</v>
      </c>
      <c r="R48" s="18">
        <f>Q48</f>
        <v>51.385861325342461</v>
      </c>
      <c r="S48" s="18" t="s">
        <v>12</v>
      </c>
      <c r="T48" s="18" t="s">
        <v>12</v>
      </c>
      <c r="X48" s="6" t="s">
        <v>273</v>
      </c>
      <c r="Y48" s="9">
        <f>Y44/5.95</f>
        <v>8.6890756302521019</v>
      </c>
      <c r="Z48" s="5" t="s">
        <v>17</v>
      </c>
      <c r="AB48" s="328" t="s">
        <v>626</v>
      </c>
      <c r="AC48" s="329"/>
      <c r="AD48" s="330"/>
    </row>
    <row r="49" spans="2:30">
      <c r="B49" s="327"/>
      <c r="C49" s="230" t="s">
        <v>269</v>
      </c>
      <c r="D49" s="95">
        <v>0</v>
      </c>
      <c r="E49" s="95">
        <v>0</v>
      </c>
      <c r="F49" s="95">
        <f>J49</f>
        <v>0</v>
      </c>
      <c r="G49" s="95">
        <f>(G48/G28)*1000</f>
        <v>0</v>
      </c>
      <c r="H49" s="95">
        <v>0</v>
      </c>
      <c r="I49" s="95">
        <f>(I48/I28)*1000</f>
        <v>254.6</v>
      </c>
      <c r="J49" s="95">
        <f>(J48*J28)/1000</f>
        <v>0</v>
      </c>
      <c r="K49" s="95">
        <f>(K48/K28)*1000</f>
        <v>0</v>
      </c>
      <c r="L49" s="95">
        <f>(L48/L28)*1000</f>
        <v>2680</v>
      </c>
      <c r="M49" s="95">
        <f>(M48/M28)*1000</f>
        <v>2680</v>
      </c>
      <c r="N49" s="95">
        <v>0</v>
      </c>
      <c r="O49" s="95">
        <f>(O48/O28)*1000</f>
        <v>1760.0700525394045</v>
      </c>
      <c r="P49" s="95">
        <f>(P48/$P$28)*1000</f>
        <v>582.02695956065884</v>
      </c>
      <c r="Q49" s="95">
        <f>(Q48/$Q$28)*1000</f>
        <v>2680</v>
      </c>
      <c r="R49" s="95">
        <f>(R48/$R$28)*1000</f>
        <v>2668.142511348336</v>
      </c>
      <c r="S49" s="95" t="s">
        <v>12</v>
      </c>
      <c r="T49" s="95" t="s">
        <v>12</v>
      </c>
      <c r="X49" s="6" t="s">
        <v>276</v>
      </c>
      <c r="Y49" s="2">
        <v>0.3</v>
      </c>
      <c r="Z49" s="5" t="s">
        <v>17</v>
      </c>
      <c r="AB49" s="331" t="s">
        <v>627</v>
      </c>
      <c r="AC49" s="2">
        <v>40</v>
      </c>
      <c r="AD49" s="2" t="s">
        <v>17</v>
      </c>
    </row>
    <row r="50" spans="2:30" ht="17.25">
      <c r="J50" s="67"/>
      <c r="K50" s="67"/>
      <c r="AB50" s="332"/>
      <c r="AC50" s="9">
        <f>(M28*(AC49/100))/(1-(AC49/100))</f>
        <v>14.950353881278538</v>
      </c>
      <c r="AD50" s="5" t="s">
        <v>23</v>
      </c>
    </row>
    <row r="51" spans="2:30">
      <c r="R51">
        <f>(R34/R29)*100</f>
        <v>1.9911511278718925</v>
      </c>
      <c r="X51" s="328" t="s">
        <v>565</v>
      </c>
      <c r="Y51" s="329"/>
      <c r="Z51" s="330"/>
      <c r="AB51" s="12" t="s">
        <v>566</v>
      </c>
      <c r="AC51" s="2">
        <v>95</v>
      </c>
      <c r="AD51" s="2" t="s">
        <v>17</v>
      </c>
    </row>
    <row r="52" spans="2:30" ht="15" customHeight="1">
      <c r="B52" s="292" t="s">
        <v>301</v>
      </c>
      <c r="C52" s="292"/>
      <c r="D52" s="292"/>
      <c r="E52" s="9">
        <f>(((G40-H40)-I40)/(G40-H40))*100</f>
        <v>0</v>
      </c>
      <c r="F52" s="75" t="s">
        <v>302</v>
      </c>
      <c r="X52" s="6" t="s">
        <v>628</v>
      </c>
      <c r="Y52" s="2">
        <v>95</v>
      </c>
      <c r="Z52" s="5" t="s">
        <v>17</v>
      </c>
      <c r="AB52" s="331" t="s">
        <v>629</v>
      </c>
      <c r="AC52" s="2">
        <v>9</v>
      </c>
      <c r="AD52" s="2" t="s">
        <v>17</v>
      </c>
    </row>
    <row r="53" spans="2:30">
      <c r="R53" s="8"/>
      <c r="X53" s="6" t="s">
        <v>630</v>
      </c>
      <c r="Y53" s="2">
        <f>AC53</f>
        <v>90</v>
      </c>
      <c r="Z53" s="5" t="s">
        <v>19</v>
      </c>
      <c r="AB53" s="333"/>
      <c r="AC53" s="2">
        <f>AC52*10</f>
        <v>90</v>
      </c>
      <c r="AD53" s="2" t="s">
        <v>631</v>
      </c>
    </row>
    <row r="54" spans="2:30">
      <c r="B54" s="292" t="s">
        <v>303</v>
      </c>
      <c r="C54" s="292"/>
      <c r="D54" s="292"/>
      <c r="E54" s="292"/>
      <c r="H54" s="8"/>
      <c r="AB54" s="332"/>
      <c r="AC54" s="2">
        <f>AC53*1000</f>
        <v>90000</v>
      </c>
      <c r="AD54" s="2" t="s">
        <v>269</v>
      </c>
    </row>
    <row r="55" spans="2:30">
      <c r="B55" s="2"/>
      <c r="C55" s="14" t="s">
        <v>304</v>
      </c>
      <c r="D55" s="14" t="s">
        <v>305</v>
      </c>
      <c r="E55" s="14" t="s">
        <v>306</v>
      </c>
      <c r="X55" s="6" t="s">
        <v>632</v>
      </c>
      <c r="Y55" s="191">
        <v>20</v>
      </c>
      <c r="Z55" s="2" t="s">
        <v>19</v>
      </c>
      <c r="AB55" s="12" t="s">
        <v>633</v>
      </c>
      <c r="AC55" s="2">
        <v>784</v>
      </c>
      <c r="AD55" s="2" t="s">
        <v>634</v>
      </c>
    </row>
    <row r="56" spans="2:30">
      <c r="B56" s="14" t="s">
        <v>275</v>
      </c>
      <c r="C56" s="9">
        <f>D38</f>
        <v>193.37889315068492</v>
      </c>
      <c r="D56" s="9">
        <f>H38+K38+O38</f>
        <v>193.37889315068495</v>
      </c>
      <c r="E56" s="9">
        <f>O32*(Y48/100)</f>
        <v>35.074284004834809</v>
      </c>
    </row>
    <row r="57" spans="2:30">
      <c r="B57" s="14" t="s">
        <v>279</v>
      </c>
      <c r="C57" s="9">
        <f>D42</f>
        <v>2.8704679452054793</v>
      </c>
      <c r="D57" s="9">
        <f>H42+K42+O42</f>
        <v>2.8704679452054798</v>
      </c>
      <c r="E57" s="9">
        <f>O32*(Y49/100)</f>
        <v>1.2109786643835614</v>
      </c>
    </row>
    <row r="58" spans="2:30">
      <c r="B58" s="14" t="s">
        <v>278</v>
      </c>
      <c r="C58" s="9">
        <f>D40</f>
        <v>125.69628054794521</v>
      </c>
      <c r="D58" s="9">
        <f>H40+K40+O40</f>
        <v>125.69628054794521</v>
      </c>
      <c r="E58" s="9">
        <f>D40*(E52/100)</f>
        <v>0</v>
      </c>
      <c r="F58" s="72"/>
    </row>
    <row r="59" spans="2:30">
      <c r="B59" s="14" t="s">
        <v>271</v>
      </c>
      <c r="C59" s="9">
        <f>D28+E28</f>
        <v>259.66404109589041</v>
      </c>
      <c r="D59" s="9">
        <f>H28+O28+K28</f>
        <v>271.38511853881278</v>
      </c>
      <c r="E59" s="9" t="s">
        <v>12</v>
      </c>
    </row>
    <row r="62" spans="2:30" ht="20.25" thickBot="1">
      <c r="B62" s="291" t="s">
        <v>307</v>
      </c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X62" s="317" t="s">
        <v>635</v>
      </c>
      <c r="Y62" s="317"/>
      <c r="Z62" s="317"/>
      <c r="AA62" s="317"/>
      <c r="AB62" s="317"/>
      <c r="AC62" s="317"/>
      <c r="AD62" s="317"/>
    </row>
    <row r="63" spans="2:30" ht="15.75" thickTop="1"/>
    <row r="64" spans="2:30" ht="17.25">
      <c r="B64" s="314" t="s">
        <v>308</v>
      </c>
      <c r="C64" s="314"/>
      <c r="D64" s="314"/>
      <c r="F64" s="314" t="s">
        <v>280</v>
      </c>
      <c r="G64" s="314"/>
      <c r="H64" s="314"/>
      <c r="J64" s="314" t="s">
        <v>309</v>
      </c>
      <c r="K64" s="314"/>
      <c r="L64" s="314"/>
      <c r="N64" s="314" t="s">
        <v>636</v>
      </c>
      <c r="O64" s="314"/>
      <c r="P64" s="314"/>
      <c r="S64" s="314" t="s">
        <v>637</v>
      </c>
      <c r="T64" s="314"/>
      <c r="U64" s="314"/>
      <c r="X64" s="285" t="s">
        <v>335</v>
      </c>
      <c r="Y64" s="7">
        <f>P28</f>
        <v>14.972779412100458</v>
      </c>
      <c r="Z64" s="5" t="s">
        <v>23</v>
      </c>
      <c r="AB64" s="285" t="s">
        <v>336</v>
      </c>
      <c r="AC64" s="285"/>
      <c r="AD64" s="285"/>
    </row>
    <row r="65" spans="2:30" ht="17.25">
      <c r="B65" s="16" t="s">
        <v>286</v>
      </c>
      <c r="C65" s="9">
        <f>AC35</f>
        <v>28326.986301369863</v>
      </c>
      <c r="D65" s="2" t="s">
        <v>287</v>
      </c>
      <c r="F65" s="17" t="s">
        <v>286</v>
      </c>
      <c r="G65" s="7">
        <f>(I28*1000)/(AC44*G66)</f>
        <v>245.89397831050226</v>
      </c>
      <c r="H65" s="5" t="s">
        <v>287</v>
      </c>
      <c r="J65" s="17" t="s">
        <v>312</v>
      </c>
      <c r="K65" s="5">
        <v>400</v>
      </c>
      <c r="L65" s="5" t="s">
        <v>313</v>
      </c>
      <c r="N65" s="17" t="s">
        <v>314</v>
      </c>
      <c r="O65" s="5">
        <v>2</v>
      </c>
      <c r="P65" s="5" t="s">
        <v>17</v>
      </c>
      <c r="S65" s="17" t="s">
        <v>315</v>
      </c>
      <c r="T65" s="9">
        <f>T28</f>
        <v>0.8001718483911564</v>
      </c>
      <c r="U65" s="2" t="s">
        <v>23</v>
      </c>
      <c r="X65" s="285"/>
      <c r="Y65" s="9">
        <f>P29</f>
        <v>14972.779412100457</v>
      </c>
      <c r="Z65" s="2" t="s">
        <v>274</v>
      </c>
      <c r="AB65" s="309" t="s">
        <v>271</v>
      </c>
      <c r="AC65" s="2">
        <f>AC67*AC68*(AC69-AC70)/1000</f>
        <v>2114663.2363394229</v>
      </c>
      <c r="AD65" s="2" t="s">
        <v>344</v>
      </c>
    </row>
    <row r="66" spans="2:30" ht="17.25">
      <c r="B66" s="16" t="s">
        <v>288</v>
      </c>
      <c r="C66" s="9">
        <f>AC36</f>
        <v>1133.0794520547945</v>
      </c>
      <c r="D66" s="2" t="s">
        <v>289</v>
      </c>
      <c r="F66" s="17" t="s">
        <v>316</v>
      </c>
      <c r="G66" s="5">
        <v>24</v>
      </c>
      <c r="H66" s="5" t="s">
        <v>317</v>
      </c>
      <c r="J66" s="17" t="s">
        <v>316</v>
      </c>
      <c r="K66" s="97">
        <f>10/60</f>
        <v>0.16666666666666666</v>
      </c>
      <c r="L66" s="5" t="s">
        <v>317</v>
      </c>
      <c r="N66" s="17" t="s">
        <v>318</v>
      </c>
      <c r="O66" s="7">
        <f>(O65/100)*Q32</f>
        <v>7.6695315410958891</v>
      </c>
      <c r="P66" s="5" t="s">
        <v>274</v>
      </c>
      <c r="S66" s="17" t="s">
        <v>65</v>
      </c>
      <c r="T66" s="2">
        <v>24</v>
      </c>
      <c r="U66" s="2" t="s">
        <v>317</v>
      </c>
      <c r="X66" s="132" t="s">
        <v>347</v>
      </c>
      <c r="Y66" s="5">
        <v>30</v>
      </c>
      <c r="Z66" s="5" t="s">
        <v>348</v>
      </c>
      <c r="AB66" s="309"/>
      <c r="AC66" s="9">
        <f>AC65/(24*60*60)</f>
        <v>24.47526893911369</v>
      </c>
      <c r="AD66" s="2" t="s">
        <v>349</v>
      </c>
    </row>
    <row r="67" spans="2:30" ht="17.25">
      <c r="B67" s="16" t="s">
        <v>70</v>
      </c>
      <c r="C67" s="2">
        <f>Y38/100</f>
        <v>0.04</v>
      </c>
      <c r="D67" s="2" t="s">
        <v>319</v>
      </c>
      <c r="F67" s="17" t="s">
        <v>320</v>
      </c>
      <c r="G67" s="2">
        <v>43.5</v>
      </c>
      <c r="H67" s="5" t="s">
        <v>287</v>
      </c>
      <c r="J67" s="17" t="s">
        <v>321</v>
      </c>
      <c r="K67" s="5">
        <v>50</v>
      </c>
      <c r="L67" s="5" t="s">
        <v>322</v>
      </c>
      <c r="N67" s="17" t="s">
        <v>65</v>
      </c>
      <c r="O67" s="2">
        <v>4</v>
      </c>
      <c r="P67" s="5" t="s">
        <v>317</v>
      </c>
      <c r="S67" s="17" t="s">
        <v>288</v>
      </c>
      <c r="T67" s="9">
        <f>T65*(T66/24)</f>
        <v>0.8001718483911564</v>
      </c>
      <c r="U67" s="2" t="s">
        <v>289</v>
      </c>
      <c r="X67" s="132" t="s">
        <v>351</v>
      </c>
      <c r="Y67" s="5">
        <f>X15</f>
        <v>63.788001669625295</v>
      </c>
      <c r="Z67" s="5" t="s">
        <v>348</v>
      </c>
      <c r="AB67" s="29" t="s">
        <v>335</v>
      </c>
      <c r="AC67" s="9">
        <f>Y65</f>
        <v>14972.779412100457</v>
      </c>
      <c r="AD67" s="2" t="s">
        <v>274</v>
      </c>
    </row>
    <row r="68" spans="2:30" ht="17.25">
      <c r="B68" s="16" t="s">
        <v>323</v>
      </c>
      <c r="C68" s="5">
        <v>50</v>
      </c>
      <c r="D68" s="2" t="s">
        <v>33</v>
      </c>
      <c r="F68" s="17" t="s">
        <v>567</v>
      </c>
      <c r="G68" s="71">
        <f>ROUND(G65/G67,0)</f>
        <v>6</v>
      </c>
      <c r="H68" s="2"/>
      <c r="J68" s="76" t="s">
        <v>326</v>
      </c>
      <c r="K68" s="7">
        <f>K67*M32</f>
        <v>22425.530821917804</v>
      </c>
      <c r="L68" s="5" t="s">
        <v>322</v>
      </c>
      <c r="N68" s="17" t="s">
        <v>288</v>
      </c>
      <c r="O68" s="7">
        <f>(R28/24)*O67</f>
        <v>3.2098398734190803</v>
      </c>
      <c r="P68" s="2" t="s">
        <v>289</v>
      </c>
      <c r="AB68" s="29" t="s">
        <v>354</v>
      </c>
      <c r="AC68" s="2">
        <v>4180</v>
      </c>
      <c r="AD68" s="2" t="s">
        <v>355</v>
      </c>
    </row>
    <row r="69" spans="2:30" ht="17.25">
      <c r="B69" s="16" t="s">
        <v>328</v>
      </c>
      <c r="C69" s="9">
        <f>C66*C68</f>
        <v>56653.972602739726</v>
      </c>
      <c r="D69" s="2" t="s">
        <v>228</v>
      </c>
      <c r="J69" s="314" t="s">
        <v>638</v>
      </c>
      <c r="K69" s="314"/>
      <c r="L69" s="314"/>
      <c r="N69" s="17" t="s">
        <v>331</v>
      </c>
      <c r="O69" s="9">
        <v>85.21038777475745</v>
      </c>
      <c r="P69" s="5" t="s">
        <v>274</v>
      </c>
      <c r="S69" s="314" t="s">
        <v>639</v>
      </c>
      <c r="T69" s="314"/>
      <c r="U69" s="314"/>
      <c r="X69" s="132" t="s">
        <v>286</v>
      </c>
      <c r="Y69" s="9">
        <f>0.575168003325301/2</f>
        <v>0.28758400166265052</v>
      </c>
      <c r="Z69" s="5" t="s">
        <v>287</v>
      </c>
      <c r="AB69" s="29" t="s">
        <v>356</v>
      </c>
      <c r="AC69" s="2">
        <f>Y67</f>
        <v>63.788001669625295</v>
      </c>
      <c r="AD69" s="2" t="s">
        <v>348</v>
      </c>
    </row>
    <row r="70" spans="2:30" ht="17.25">
      <c r="B70" s="16" t="s">
        <v>65</v>
      </c>
      <c r="C70" s="2">
        <v>24</v>
      </c>
      <c r="D70" s="2" t="s">
        <v>317</v>
      </c>
      <c r="F70" s="314" t="s">
        <v>640</v>
      </c>
      <c r="G70" s="314"/>
      <c r="H70" s="314"/>
      <c r="J70" s="17" t="s">
        <v>65</v>
      </c>
      <c r="K70" s="2">
        <v>15</v>
      </c>
      <c r="L70" s="5" t="s">
        <v>641</v>
      </c>
      <c r="N70" s="314" t="s">
        <v>642</v>
      </c>
      <c r="O70" s="314"/>
      <c r="P70" s="314"/>
      <c r="S70" s="17" t="s">
        <v>315</v>
      </c>
      <c r="T70" s="9">
        <f>R28</f>
        <v>19.259039240514483</v>
      </c>
      <c r="U70" s="2" t="s">
        <v>23</v>
      </c>
      <c r="AB70" s="29" t="s">
        <v>358</v>
      </c>
      <c r="AC70" s="2">
        <f>Y66</f>
        <v>30</v>
      </c>
      <c r="AD70" s="2" t="s">
        <v>348</v>
      </c>
    </row>
    <row r="71" spans="2:30" ht="17.25">
      <c r="F71" s="17" t="s">
        <v>286</v>
      </c>
      <c r="G71" s="9">
        <f>Y69</f>
        <v>0.28758400166265052</v>
      </c>
      <c r="H71" s="5" t="s">
        <v>287</v>
      </c>
      <c r="J71" s="17" t="s">
        <v>288</v>
      </c>
      <c r="K71" s="9">
        <f>(P28*K70)/(24*60)</f>
        <v>0.15596645220937977</v>
      </c>
      <c r="L71" s="2" t="s">
        <v>289</v>
      </c>
      <c r="N71" s="17" t="s">
        <v>593</v>
      </c>
      <c r="O71" s="2">
        <v>40</v>
      </c>
      <c r="P71" s="5" t="s">
        <v>17</v>
      </c>
      <c r="S71" s="17" t="s">
        <v>65</v>
      </c>
      <c r="T71" s="2">
        <v>24</v>
      </c>
      <c r="U71" s="2" t="s">
        <v>317</v>
      </c>
    </row>
    <row r="72" spans="2:30" ht="17.25">
      <c r="B72" s="314" t="s">
        <v>643</v>
      </c>
      <c r="C72" s="314"/>
      <c r="D72" s="314"/>
      <c r="N72" s="76" t="s">
        <v>65</v>
      </c>
      <c r="O72" s="2">
        <v>1</v>
      </c>
      <c r="P72" s="5" t="s">
        <v>317</v>
      </c>
      <c r="S72" s="17" t="s">
        <v>288</v>
      </c>
      <c r="T72" s="9">
        <f>T70*(T71/24)</f>
        <v>19.259039240514483</v>
      </c>
      <c r="U72" s="2" t="s">
        <v>289</v>
      </c>
      <c r="AB72" s="256" t="s">
        <v>361</v>
      </c>
      <c r="AC72" s="256"/>
      <c r="AD72" s="256"/>
    </row>
    <row r="73" spans="2:30" ht="17.25">
      <c r="B73" s="17" t="s">
        <v>286</v>
      </c>
      <c r="C73" s="7">
        <f>(O28*1000)/(AC44*G66)</f>
        <v>35.569383609208522</v>
      </c>
      <c r="D73" s="5" t="s">
        <v>287</v>
      </c>
      <c r="N73" s="76" t="s">
        <v>288</v>
      </c>
      <c r="O73" s="9">
        <f>O28*(O72/24)</f>
        <v>1.4227753443683409</v>
      </c>
      <c r="P73" s="2" t="s">
        <v>289</v>
      </c>
      <c r="AB73" s="29" t="s">
        <v>271</v>
      </c>
      <c r="AC73" s="127">
        <f>AC66</f>
        <v>24.47526893911369</v>
      </c>
      <c r="AD73" s="2" t="s">
        <v>349</v>
      </c>
    </row>
    <row r="74" spans="2:30">
      <c r="AB74" s="29" t="s">
        <v>364</v>
      </c>
      <c r="AC74" s="2">
        <v>2200.6999999999998</v>
      </c>
      <c r="AD74" s="2" t="s">
        <v>365</v>
      </c>
    </row>
    <row r="75" spans="2:30" ht="20.25" thickBot="1">
      <c r="B75" s="291" t="s">
        <v>332</v>
      </c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AB75" s="309" t="s">
        <v>367</v>
      </c>
      <c r="AC75" s="9">
        <f>AC73/AC74</f>
        <v>1.1121583559373696E-2</v>
      </c>
      <c r="AD75" s="2" t="s">
        <v>368</v>
      </c>
    </row>
    <row r="76" spans="2:30" ht="15.75" thickTop="1">
      <c r="AB76" s="309"/>
      <c r="AC76" s="9">
        <f>AC75*24*60*60</f>
        <v>960.90481952988728</v>
      </c>
      <c r="AD76" s="2" t="s">
        <v>370</v>
      </c>
    </row>
    <row r="77" spans="2:30">
      <c r="B77" s="303" t="s">
        <v>334</v>
      </c>
      <c r="C77" s="303"/>
      <c r="D77" s="303"/>
      <c r="E77" s="303"/>
      <c r="F77" s="303"/>
      <c r="G77" s="303"/>
      <c r="I77" s="303" t="s">
        <v>334</v>
      </c>
      <c r="J77" s="303"/>
      <c r="K77" s="303"/>
      <c r="L77" s="303"/>
      <c r="M77" s="303"/>
      <c r="N77" s="303"/>
      <c r="O77" s="303"/>
      <c r="P77" s="303"/>
      <c r="AB77" s="29" t="s">
        <v>227</v>
      </c>
      <c r="AC77" s="2">
        <v>120</v>
      </c>
      <c r="AD77" s="2" t="s">
        <v>348</v>
      </c>
    </row>
    <row r="78" spans="2:30">
      <c r="B78" s="31" t="s">
        <v>337</v>
      </c>
      <c r="C78" s="308" t="s">
        <v>338</v>
      </c>
      <c r="D78" s="308"/>
      <c r="E78" s="31" t="s">
        <v>339</v>
      </c>
      <c r="F78" s="308" t="s">
        <v>340</v>
      </c>
      <c r="G78" s="308"/>
      <c r="I78" s="31" t="s">
        <v>341</v>
      </c>
      <c r="J78" s="31" t="s">
        <v>342</v>
      </c>
      <c r="K78" s="308" t="s">
        <v>340</v>
      </c>
      <c r="L78" s="308"/>
      <c r="M78" s="31" t="s">
        <v>339</v>
      </c>
      <c r="N78" s="31" t="s">
        <v>343</v>
      </c>
      <c r="O78" s="31" t="s">
        <v>214</v>
      </c>
      <c r="P78" s="31" t="s">
        <v>17</v>
      </c>
    </row>
    <row r="79" spans="2:30" ht="20.25" thickBot="1">
      <c r="B79" s="2">
        <v>1</v>
      </c>
      <c r="C79" s="2">
        <v>4</v>
      </c>
      <c r="D79" s="2" t="s">
        <v>345</v>
      </c>
      <c r="E79" s="20">
        <f>'Escenario 1'!E69</f>
        <v>6774</v>
      </c>
      <c r="F79" s="9">
        <f>(C148*C147)/C146</f>
        <v>15.737214611872146</v>
      </c>
      <c r="G79" s="2" t="s">
        <v>345</v>
      </c>
      <c r="I79" s="1">
        <v>1</v>
      </c>
      <c r="J79" s="1" t="s">
        <v>346</v>
      </c>
      <c r="K79" s="9">
        <f>+IF(F79/C79&lt;1,C79,IF(F79/C79&lt;10,F79,F79/(1+INT(F79/(C79*10)))))</f>
        <v>15.737214611872146</v>
      </c>
      <c r="L79" s="2" t="s">
        <v>345</v>
      </c>
      <c r="M79" s="20">
        <f t="shared" ref="M79:M103" si="3">E79*(K79/C79)^$D$105</f>
        <v>21701.156903190953</v>
      </c>
      <c r="N79" s="2">
        <f>+IF(B79=1,ROUNDUP(F79/K79,0),0)</f>
        <v>1</v>
      </c>
      <c r="O79" s="20">
        <f>M79*N79</f>
        <v>21701.156903190953</v>
      </c>
      <c r="P79" s="35">
        <f t="shared" ref="P79:P103" si="4">(O79/$O$104)</f>
        <v>5.5121401678205888E-2</v>
      </c>
      <c r="X79" s="317" t="s">
        <v>644</v>
      </c>
      <c r="Y79" s="317"/>
      <c r="Z79" s="317"/>
      <c r="AA79" s="317"/>
      <c r="AB79" s="317"/>
      <c r="AC79" s="317"/>
      <c r="AD79" s="317"/>
    </row>
    <row r="80" spans="2:30" ht="18" thickTop="1">
      <c r="B80" s="2">
        <v>1</v>
      </c>
      <c r="C80" s="2">
        <v>200</v>
      </c>
      <c r="D80" s="2" t="s">
        <v>345</v>
      </c>
      <c r="E80" s="20">
        <f>'Escenario 1'!E70</f>
        <v>2822.5</v>
      </c>
      <c r="F80" s="9">
        <f>C149*C148*60</f>
        <v>679.84767123287668</v>
      </c>
      <c r="G80" s="2" t="s">
        <v>345</v>
      </c>
      <c r="I80" s="1">
        <v>2</v>
      </c>
      <c r="J80" s="1" t="s">
        <v>350</v>
      </c>
      <c r="K80" s="9">
        <f>+IF(F80/C80&lt;1,C80,IF(F80/C80&lt;10,F80,F80/(1+INT(F80/(C80*10)))))</f>
        <v>679.84767123287668</v>
      </c>
      <c r="L80" s="2" t="s">
        <v>345</v>
      </c>
      <c r="M80" s="20">
        <f t="shared" si="3"/>
        <v>7985.6142295367554</v>
      </c>
      <c r="N80" s="2">
        <f>+IF(B80=1,ROUNDUP(F80/K80,0),0)</f>
        <v>1</v>
      </c>
      <c r="O80" s="20">
        <f>M80*N80</f>
        <v>7985.6142295367554</v>
      </c>
      <c r="P80" s="35">
        <f t="shared" si="4"/>
        <v>2.0283630571270053E-2</v>
      </c>
    </row>
    <row r="81" spans="2:30" ht="18">
      <c r="B81" s="2">
        <v>1</v>
      </c>
      <c r="C81" s="2">
        <v>4</v>
      </c>
      <c r="D81" s="2" t="s">
        <v>352</v>
      </c>
      <c r="E81" s="20">
        <f>'Escenario 1'!E71</f>
        <v>564.5</v>
      </c>
      <c r="F81" s="9">
        <f>(C151*C148*C150)/C146</f>
        <v>29.507277397260271</v>
      </c>
      <c r="G81" s="2" t="s">
        <v>352</v>
      </c>
      <c r="I81" s="1">
        <v>3</v>
      </c>
      <c r="J81" s="1" t="s">
        <v>353</v>
      </c>
      <c r="K81" s="9">
        <f t="shared" ref="K81:K103" si="5">+IF(F81/C81&lt;1,C81,IF(F81/C81&lt;10,F81,F81/(1+INT(F81/(C81*10)))))</f>
        <v>29.507277397260271</v>
      </c>
      <c r="L81" s="2" t="s">
        <v>352</v>
      </c>
      <c r="M81" s="20">
        <f t="shared" si="3"/>
        <v>3085.6930490457175</v>
      </c>
      <c r="N81" s="2">
        <f t="shared" ref="N81:N103" si="6">+IF(B81=1,ROUNDUP(F81/K81,0),0)</f>
        <v>1</v>
      </c>
      <c r="O81" s="20">
        <f t="shared" ref="O81:O103" si="7">M81*N81</f>
        <v>3085.6930490457175</v>
      </c>
      <c r="P81" s="35">
        <f t="shared" si="4"/>
        <v>7.8377261991542501E-3</v>
      </c>
      <c r="X81" s="285" t="s">
        <v>335</v>
      </c>
      <c r="Y81" s="7">
        <f>R28</f>
        <v>19.259039240514483</v>
      </c>
      <c r="Z81" s="5" t="s">
        <v>23</v>
      </c>
      <c r="AB81" s="285" t="s">
        <v>336</v>
      </c>
      <c r="AC81" s="285"/>
      <c r="AD81" s="285"/>
    </row>
    <row r="82" spans="2:30" ht="17.25">
      <c r="B82" s="2">
        <v>1</v>
      </c>
      <c r="C82" s="2">
        <v>200</v>
      </c>
      <c r="D82" s="2" t="s">
        <v>289</v>
      </c>
      <c r="E82" s="20">
        <f>'Escenario 1'!E72</f>
        <v>10000</v>
      </c>
      <c r="F82" s="9">
        <f>C148</f>
        <v>1133.0794520547945</v>
      </c>
      <c r="G82" s="2" t="s">
        <v>289</v>
      </c>
      <c r="I82" s="1">
        <v>4</v>
      </c>
      <c r="J82" s="1" t="s">
        <v>308</v>
      </c>
      <c r="K82" s="9">
        <f t="shared" si="5"/>
        <v>1133.0794520547945</v>
      </c>
      <c r="L82" s="2" t="s">
        <v>289</v>
      </c>
      <c r="M82" s="20">
        <f t="shared" si="3"/>
        <v>43676.297243828398</v>
      </c>
      <c r="N82" s="2">
        <f t="shared" si="6"/>
        <v>1</v>
      </c>
      <c r="O82" s="20">
        <f t="shared" si="7"/>
        <v>43676.297243828398</v>
      </c>
      <c r="P82" s="35">
        <f t="shared" si="4"/>
        <v>0.11093872713485527</v>
      </c>
      <c r="X82" s="285"/>
      <c r="Y82" s="7">
        <f>R29</f>
        <v>19259.039240514481</v>
      </c>
      <c r="Z82" s="2" t="s">
        <v>274</v>
      </c>
      <c r="AB82" s="309" t="s">
        <v>271</v>
      </c>
      <c r="AC82" s="2">
        <f>AC84*AC85*(AC86-AC87)/1000</f>
        <v>1610055.6805070105</v>
      </c>
      <c r="AD82" s="2" t="s">
        <v>344</v>
      </c>
    </row>
    <row r="83" spans="2:30" ht="17.25">
      <c r="B83" s="2">
        <v>1</v>
      </c>
      <c r="C83" s="2">
        <v>1</v>
      </c>
      <c r="D83" s="2" t="s">
        <v>289</v>
      </c>
      <c r="E83" s="20">
        <f>'Escenario 1'!E73</f>
        <v>564.5</v>
      </c>
      <c r="F83" s="9">
        <f>F79</f>
        <v>15.737214611872146</v>
      </c>
      <c r="G83" s="2" t="s">
        <v>289</v>
      </c>
      <c r="I83" s="1">
        <v>5</v>
      </c>
      <c r="J83" s="1" t="s">
        <v>568</v>
      </c>
      <c r="K83" s="9">
        <f t="shared" si="5"/>
        <v>7.8686073059360728</v>
      </c>
      <c r="L83" s="2" t="s">
        <v>289</v>
      </c>
      <c r="M83" s="20">
        <f t="shared" si="3"/>
        <v>3259.6962830318425</v>
      </c>
      <c r="N83" s="2">
        <f t="shared" si="6"/>
        <v>2</v>
      </c>
      <c r="O83" s="20">
        <f t="shared" si="7"/>
        <v>6519.3925660636851</v>
      </c>
      <c r="P83" s="35">
        <f t="shared" si="4"/>
        <v>1.6559396254080146E-2</v>
      </c>
      <c r="X83" s="132" t="s">
        <v>347</v>
      </c>
      <c r="Y83" s="5">
        <v>30</v>
      </c>
      <c r="Z83" s="5" t="s">
        <v>348</v>
      </c>
      <c r="AB83" s="309"/>
      <c r="AC83" s="9">
        <f>AC82/(24*60*60)</f>
        <v>18.63490370957188</v>
      </c>
      <c r="AD83" s="2" t="s">
        <v>349</v>
      </c>
    </row>
    <row r="84" spans="2:30" ht="17.25">
      <c r="B84" s="2">
        <v>1</v>
      </c>
      <c r="C84" s="2">
        <f>G67</f>
        <v>43.5</v>
      </c>
      <c r="D84" s="2" t="s">
        <v>287</v>
      </c>
      <c r="E84" s="20">
        <f>'Escenario 1'!E74</f>
        <v>6000</v>
      </c>
      <c r="F84" s="9">
        <f>G65</f>
        <v>245.89397831050226</v>
      </c>
      <c r="G84" s="2" t="s">
        <v>287</v>
      </c>
      <c r="I84" s="1">
        <v>6</v>
      </c>
      <c r="J84" s="157" t="s">
        <v>359</v>
      </c>
      <c r="K84" s="9">
        <f t="shared" si="5"/>
        <v>245.89397831050226</v>
      </c>
      <c r="L84" s="2" t="s">
        <v>287</v>
      </c>
      <c r="M84" s="20">
        <f t="shared" si="3"/>
        <v>26155.985708899305</v>
      </c>
      <c r="N84" s="2">
        <f t="shared" si="6"/>
        <v>1</v>
      </c>
      <c r="O84" s="20">
        <f t="shared" si="7"/>
        <v>26155.985708899305</v>
      </c>
      <c r="P84" s="35">
        <f t="shared" si="4"/>
        <v>6.6436761919253018E-2</v>
      </c>
      <c r="X84" s="132" t="s">
        <v>351</v>
      </c>
      <c r="Y84" s="5">
        <v>50</v>
      </c>
      <c r="Z84" s="5" t="s">
        <v>348</v>
      </c>
      <c r="AB84" s="29" t="s">
        <v>335</v>
      </c>
      <c r="AC84" s="9">
        <f>Y82</f>
        <v>19259.039240514481</v>
      </c>
      <c r="AD84" s="2" t="s">
        <v>274</v>
      </c>
    </row>
    <row r="85" spans="2:30" ht="17.25">
      <c r="B85" s="2">
        <v>1</v>
      </c>
      <c r="C85" s="9">
        <f>C86</f>
        <v>1.4227753443683409</v>
      </c>
      <c r="D85" s="2" t="s">
        <v>289</v>
      </c>
      <c r="E85" s="20">
        <f>E87*0.25</f>
        <v>16125</v>
      </c>
      <c r="F85" s="9">
        <f>O73</f>
        <v>1.4227753443683409</v>
      </c>
      <c r="G85" s="2" t="s">
        <v>289</v>
      </c>
      <c r="I85" s="1">
        <v>7</v>
      </c>
      <c r="J85" s="157" t="s">
        <v>360</v>
      </c>
      <c r="K85" s="9">
        <f t="shared" si="5"/>
        <v>1.4227753443683409</v>
      </c>
      <c r="L85" s="2" t="s">
        <v>289</v>
      </c>
      <c r="M85" s="20">
        <v>16050</v>
      </c>
      <c r="N85" s="2">
        <f t="shared" si="6"/>
        <v>1</v>
      </c>
      <c r="O85" s="20">
        <v>16050</v>
      </c>
      <c r="P85" s="35">
        <f t="shared" si="4"/>
        <v>4.0767342537628391E-2</v>
      </c>
      <c r="AB85" s="29" t="s">
        <v>354</v>
      </c>
      <c r="AC85" s="2">
        <v>4180</v>
      </c>
      <c r="AD85" s="2" t="s">
        <v>355</v>
      </c>
    </row>
    <row r="86" spans="2:30" ht="17.25">
      <c r="B86" s="2">
        <v>1</v>
      </c>
      <c r="C86" s="9">
        <f>E235</f>
        <v>1.4227753443683409</v>
      </c>
      <c r="D86" s="2" t="s">
        <v>289</v>
      </c>
      <c r="E86" s="20">
        <f>J235</f>
        <v>47000</v>
      </c>
      <c r="F86" s="9">
        <f>O73</f>
        <v>1.4227753443683409</v>
      </c>
      <c r="G86" s="2" t="s">
        <v>289</v>
      </c>
      <c r="I86" s="1">
        <v>8</v>
      </c>
      <c r="J86" s="157" t="s">
        <v>645</v>
      </c>
      <c r="K86" s="9">
        <f t="shared" si="5"/>
        <v>1.4227753443683409</v>
      </c>
      <c r="L86" s="2" t="s">
        <v>289</v>
      </c>
      <c r="M86" s="20">
        <f t="shared" si="3"/>
        <v>47000</v>
      </c>
      <c r="N86" s="2">
        <f>+IF(B86=1,ROUNDUP(F86/K86,0),0)</f>
        <v>1</v>
      </c>
      <c r="O86" s="20">
        <f>M86*N86</f>
        <v>47000</v>
      </c>
      <c r="P86" s="35">
        <f t="shared" si="4"/>
        <v>0.11938100306969061</v>
      </c>
      <c r="AB86" s="29" t="s">
        <v>356</v>
      </c>
      <c r="AC86" s="2">
        <f>Y84</f>
        <v>50</v>
      </c>
      <c r="AD86" s="2" t="s">
        <v>348</v>
      </c>
    </row>
    <row r="87" spans="2:30" ht="17.25">
      <c r="B87" s="2">
        <v>1</v>
      </c>
      <c r="C87" s="9">
        <f>E239</f>
        <v>3.2098398734190803</v>
      </c>
      <c r="D87" s="2" t="s">
        <v>289</v>
      </c>
      <c r="E87" s="20">
        <f>J239</f>
        <v>64500</v>
      </c>
      <c r="F87" s="9">
        <f>O68</f>
        <v>3.2098398734190803</v>
      </c>
      <c r="G87" s="2" t="s">
        <v>289</v>
      </c>
      <c r="I87" s="1">
        <v>9</v>
      </c>
      <c r="J87" s="157" t="s">
        <v>646</v>
      </c>
      <c r="K87" s="9">
        <f t="shared" si="5"/>
        <v>3.2098398734190803</v>
      </c>
      <c r="L87" s="2" t="s">
        <v>289</v>
      </c>
      <c r="M87" s="20">
        <f t="shared" si="3"/>
        <v>64500</v>
      </c>
      <c r="N87" s="2">
        <f t="shared" si="6"/>
        <v>1</v>
      </c>
      <c r="O87" s="213">
        <f t="shared" si="7"/>
        <v>64500</v>
      </c>
      <c r="P87" s="35">
        <f t="shared" si="4"/>
        <v>0.16383137655308605</v>
      </c>
      <c r="AB87" s="29" t="s">
        <v>358</v>
      </c>
      <c r="AC87" s="2">
        <f>Y83</f>
        <v>30</v>
      </c>
      <c r="AD87" s="2" t="s">
        <v>348</v>
      </c>
    </row>
    <row r="88" spans="2:30" ht="17.25">
      <c r="B88" s="2">
        <v>1</v>
      </c>
      <c r="C88" s="9">
        <f>E247</f>
        <v>0.8001718483911564</v>
      </c>
      <c r="D88" s="2" t="s">
        <v>289</v>
      </c>
      <c r="E88" s="20">
        <f>J247</f>
        <v>14400</v>
      </c>
      <c r="F88" s="9">
        <f>T65</f>
        <v>0.8001718483911564</v>
      </c>
      <c r="G88" s="2" t="s">
        <v>289</v>
      </c>
      <c r="I88" s="1">
        <v>10</v>
      </c>
      <c r="J88" s="157" t="s">
        <v>647</v>
      </c>
      <c r="K88" s="9">
        <f t="shared" si="5"/>
        <v>0.8001718483911564</v>
      </c>
      <c r="L88" s="2" t="s">
        <v>289</v>
      </c>
      <c r="M88" s="20">
        <f t="shared" si="3"/>
        <v>14400</v>
      </c>
      <c r="N88" s="2">
        <f t="shared" si="6"/>
        <v>1</v>
      </c>
      <c r="O88" s="32">
        <f t="shared" si="7"/>
        <v>14400</v>
      </c>
      <c r="P88" s="35">
        <f t="shared" si="4"/>
        <v>3.6576307323479676E-2</v>
      </c>
    </row>
    <row r="89" spans="2:30" ht="17.25">
      <c r="B89" s="2">
        <v>1</v>
      </c>
      <c r="C89" s="9">
        <f>E248</f>
        <v>19.259039240514483</v>
      </c>
      <c r="D89" s="2" t="s">
        <v>289</v>
      </c>
      <c r="E89" s="20">
        <f>J248</f>
        <v>29500</v>
      </c>
      <c r="F89" s="9">
        <f>T72</f>
        <v>19.259039240514483</v>
      </c>
      <c r="G89" s="2" t="s">
        <v>289</v>
      </c>
      <c r="I89" s="1">
        <v>11</v>
      </c>
      <c r="J89" s="157" t="s">
        <v>648</v>
      </c>
      <c r="K89" s="9">
        <f t="shared" si="5"/>
        <v>19.259039240514483</v>
      </c>
      <c r="L89" s="2" t="s">
        <v>289</v>
      </c>
      <c r="M89" s="20">
        <f t="shared" si="3"/>
        <v>29500</v>
      </c>
      <c r="N89" s="2">
        <f>+IF(B89=1,ROUNDUP(F89/K89,0),0)</f>
        <v>1</v>
      </c>
      <c r="O89" s="32">
        <f>M89*N89</f>
        <v>29500</v>
      </c>
      <c r="P89" s="35">
        <f t="shared" si="4"/>
        <v>7.4930629586295178E-2</v>
      </c>
      <c r="AB89" s="256" t="s">
        <v>361</v>
      </c>
      <c r="AC89" s="256"/>
      <c r="AD89" s="256"/>
    </row>
    <row r="90" spans="2:30" ht="17.25">
      <c r="B90" s="2">
        <v>1</v>
      </c>
      <c r="C90" s="9">
        <f>C220/1000</f>
        <v>1.5737214611872143</v>
      </c>
      <c r="D90" s="2" t="s">
        <v>345</v>
      </c>
      <c r="E90" s="20">
        <f>J220</f>
        <v>4780</v>
      </c>
      <c r="F90" s="9">
        <f>D28/24</f>
        <v>1.5737214611872146</v>
      </c>
      <c r="G90" s="2" t="s">
        <v>345</v>
      </c>
      <c r="I90" s="1">
        <v>12</v>
      </c>
      <c r="J90" s="157" t="s">
        <v>366</v>
      </c>
      <c r="K90" s="9">
        <f t="shared" si="5"/>
        <v>1.5737214611872146</v>
      </c>
      <c r="L90" s="2" t="s">
        <v>345</v>
      </c>
      <c r="M90" s="20">
        <f t="shared" si="3"/>
        <v>4780.0000000000009</v>
      </c>
      <c r="N90" s="2">
        <f t="shared" si="6"/>
        <v>1</v>
      </c>
      <c r="O90" s="32">
        <f t="shared" si="7"/>
        <v>4780.0000000000009</v>
      </c>
      <c r="P90" s="35">
        <f t="shared" si="4"/>
        <v>1.2141302014321729E-2</v>
      </c>
      <c r="AB90" s="29" t="s">
        <v>271</v>
      </c>
      <c r="AC90" s="127">
        <f>AC83</f>
        <v>18.63490370957188</v>
      </c>
      <c r="AD90" s="2" t="s">
        <v>349</v>
      </c>
    </row>
    <row r="91" spans="2:30" ht="17.25">
      <c r="B91" s="2">
        <v>1</v>
      </c>
      <c r="C91" s="9">
        <f t="shared" ref="C91:C95" si="8">C221/1000</f>
        <v>9.245613584474885</v>
      </c>
      <c r="D91" s="2" t="s">
        <v>345</v>
      </c>
      <c r="E91" s="20">
        <f t="shared" ref="E91:E97" si="9">J221</f>
        <v>5230</v>
      </c>
      <c r="F91" s="9">
        <f>E28/24</f>
        <v>9.245613584474885</v>
      </c>
      <c r="G91" s="2" t="s">
        <v>345</v>
      </c>
      <c r="I91" s="1">
        <v>13</v>
      </c>
      <c r="J91" s="157" t="s">
        <v>369</v>
      </c>
      <c r="K91" s="9">
        <f t="shared" si="5"/>
        <v>9.245613584474885</v>
      </c>
      <c r="L91" s="2" t="s">
        <v>345</v>
      </c>
      <c r="M91" s="20">
        <f t="shared" si="3"/>
        <v>5230</v>
      </c>
      <c r="N91" s="2">
        <f>+IF(B91=1,ROUNDUP(F91/K91,0),0)</f>
        <v>1</v>
      </c>
      <c r="O91" s="32">
        <f>M91*N91</f>
        <v>5230</v>
      </c>
      <c r="P91" s="35">
        <f t="shared" si="4"/>
        <v>1.3284311618180465E-2</v>
      </c>
      <c r="AB91" s="29" t="s">
        <v>364</v>
      </c>
      <c r="AC91" s="2">
        <v>2200.6999999999998</v>
      </c>
      <c r="AD91" s="2" t="s">
        <v>365</v>
      </c>
    </row>
    <row r="92" spans="2:30" ht="17.25">
      <c r="B92" s="2">
        <v>1</v>
      </c>
      <c r="C92" s="9">
        <f t="shared" si="8"/>
        <v>4.9178795662100443</v>
      </c>
      <c r="D92" s="2" t="s">
        <v>345</v>
      </c>
      <c r="E92" s="20">
        <f t="shared" si="9"/>
        <v>5000</v>
      </c>
      <c r="F92" s="9">
        <f>F28/24</f>
        <v>4.9178795662100452</v>
      </c>
      <c r="G92" s="2" t="s">
        <v>345</v>
      </c>
      <c r="I92" s="1">
        <v>14</v>
      </c>
      <c r="J92" s="157" t="s">
        <v>371</v>
      </c>
      <c r="K92" s="9">
        <f t="shared" si="5"/>
        <v>4.9178795662100452</v>
      </c>
      <c r="L92" s="2" t="s">
        <v>345</v>
      </c>
      <c r="M92" s="20">
        <f t="shared" si="3"/>
        <v>5000.0000000000009</v>
      </c>
      <c r="N92" s="2">
        <f t="shared" si="6"/>
        <v>1</v>
      </c>
      <c r="O92" s="32">
        <f t="shared" si="7"/>
        <v>5000.0000000000009</v>
      </c>
      <c r="P92" s="35">
        <f t="shared" si="4"/>
        <v>1.2700106709541557E-2</v>
      </c>
      <c r="AB92" s="309" t="s">
        <v>367</v>
      </c>
      <c r="AC92" s="9">
        <f>AC90/AC91</f>
        <v>8.46771650364515E-3</v>
      </c>
      <c r="AD92" s="2" t="s">
        <v>368</v>
      </c>
    </row>
    <row r="93" spans="2:30" ht="17.25">
      <c r="B93" s="2">
        <v>1</v>
      </c>
      <c r="C93" s="9">
        <f t="shared" si="8"/>
        <v>9.8357591324200886</v>
      </c>
      <c r="D93" s="2" t="s">
        <v>345</v>
      </c>
      <c r="E93" s="20">
        <f t="shared" si="9"/>
        <v>5340</v>
      </c>
      <c r="F93" s="9">
        <f>I28/24</f>
        <v>9.8357591324200904</v>
      </c>
      <c r="G93" s="2" t="s">
        <v>345</v>
      </c>
      <c r="I93" s="1">
        <v>15</v>
      </c>
      <c r="J93" s="157" t="s">
        <v>372</v>
      </c>
      <c r="K93" s="9">
        <f t="shared" si="5"/>
        <v>9.8357591324200904</v>
      </c>
      <c r="L93" s="2" t="s">
        <v>345</v>
      </c>
      <c r="M93" s="20">
        <f t="shared" si="3"/>
        <v>5340.0000000000009</v>
      </c>
      <c r="N93" s="2">
        <f t="shared" si="6"/>
        <v>1</v>
      </c>
      <c r="O93" s="32">
        <f t="shared" si="7"/>
        <v>5340.0000000000009</v>
      </c>
      <c r="P93" s="35">
        <f t="shared" si="4"/>
        <v>1.3563713965790383E-2</v>
      </c>
      <c r="AB93" s="309"/>
      <c r="AC93" s="9">
        <f>AC92*24*60*60</f>
        <v>731.61070591494092</v>
      </c>
      <c r="AD93" s="2" t="s">
        <v>370</v>
      </c>
    </row>
    <row r="94" spans="2:30" ht="17.25">
      <c r="B94" s="2">
        <v>1</v>
      </c>
      <c r="C94" s="9">
        <f t="shared" si="8"/>
        <v>0.93439711757990851</v>
      </c>
      <c r="D94" s="2" t="s">
        <v>345</v>
      </c>
      <c r="E94" s="20">
        <f t="shared" si="9"/>
        <v>4780</v>
      </c>
      <c r="F94" s="9">
        <f>L28/24</f>
        <v>0.93439711757990851</v>
      </c>
      <c r="G94" s="2" t="s">
        <v>345</v>
      </c>
      <c r="I94" s="1">
        <v>16</v>
      </c>
      <c r="J94" s="157" t="s">
        <v>373</v>
      </c>
      <c r="K94" s="9">
        <f t="shared" si="5"/>
        <v>0.93439711757990851</v>
      </c>
      <c r="L94" s="2" t="s">
        <v>345</v>
      </c>
      <c r="M94" s="20">
        <f t="shared" si="3"/>
        <v>4780</v>
      </c>
      <c r="N94" s="2">
        <f t="shared" si="6"/>
        <v>1</v>
      </c>
      <c r="O94" s="32">
        <f t="shared" si="7"/>
        <v>4780</v>
      </c>
      <c r="P94" s="35">
        <f t="shared" si="4"/>
        <v>1.2141302014321726E-2</v>
      </c>
      <c r="AB94" s="29" t="s">
        <v>227</v>
      </c>
      <c r="AC94" s="2">
        <v>120</v>
      </c>
      <c r="AD94" s="2" t="s">
        <v>348</v>
      </c>
    </row>
    <row r="95" spans="2:30" ht="17.25">
      <c r="B95" s="2">
        <v>1</v>
      </c>
      <c r="C95" s="9">
        <f t="shared" si="8"/>
        <v>0.93439711757990851</v>
      </c>
      <c r="D95" s="2" t="s">
        <v>345</v>
      </c>
      <c r="E95" s="20">
        <f t="shared" si="9"/>
        <v>4780</v>
      </c>
      <c r="F95" s="9">
        <f>M28/24</f>
        <v>0.93439711757990851</v>
      </c>
      <c r="G95" s="2" t="s">
        <v>345</v>
      </c>
      <c r="I95" s="1">
        <v>17</v>
      </c>
      <c r="J95" s="157" t="s">
        <v>374</v>
      </c>
      <c r="K95" s="9">
        <f t="shared" si="5"/>
        <v>0.93439711757990851</v>
      </c>
      <c r="L95" s="2" t="s">
        <v>345</v>
      </c>
      <c r="M95" s="20">
        <f t="shared" si="3"/>
        <v>4780</v>
      </c>
      <c r="N95" s="2">
        <f t="shared" si="6"/>
        <v>1</v>
      </c>
      <c r="O95" s="32">
        <f t="shared" si="7"/>
        <v>4780</v>
      </c>
      <c r="P95" s="35">
        <f t="shared" si="4"/>
        <v>1.2141302014321726E-2</v>
      </c>
    </row>
    <row r="96" spans="2:30" ht="17.25">
      <c r="B96" s="2">
        <v>1</v>
      </c>
      <c r="C96" s="9">
        <v>1.6937801718670722</v>
      </c>
      <c r="D96" s="2" t="s">
        <v>345</v>
      </c>
      <c r="E96" s="20">
        <f t="shared" si="9"/>
        <v>4780</v>
      </c>
      <c r="F96" s="9">
        <f>O28/24</f>
        <v>1.4227753443683409</v>
      </c>
      <c r="G96" s="2" t="s">
        <v>345</v>
      </c>
      <c r="I96" s="1">
        <v>18</v>
      </c>
      <c r="J96" s="157" t="s">
        <v>649</v>
      </c>
      <c r="K96" s="9">
        <f t="shared" si="5"/>
        <v>1.6937801718670722</v>
      </c>
      <c r="L96" s="2" t="s">
        <v>345</v>
      </c>
      <c r="M96" s="20">
        <f t="shared" si="3"/>
        <v>4780</v>
      </c>
      <c r="N96" s="2">
        <f t="shared" si="6"/>
        <v>1</v>
      </c>
      <c r="O96" s="32">
        <f t="shared" si="7"/>
        <v>4780</v>
      </c>
      <c r="P96" s="35">
        <f t="shared" si="4"/>
        <v>1.2141302014321726E-2</v>
      </c>
    </row>
    <row r="97" spans="2:16" ht="17.25">
      <c r="B97" s="2">
        <v>1</v>
      </c>
      <c r="C97" s="9">
        <v>1.5162447195268898</v>
      </c>
      <c r="D97" s="2" t="s">
        <v>345</v>
      </c>
      <c r="E97" s="20">
        <f t="shared" si="9"/>
        <v>4560</v>
      </c>
      <c r="F97" s="9">
        <f>P28/24</f>
        <v>0.62386580883751908</v>
      </c>
      <c r="G97" s="2" t="s">
        <v>345</v>
      </c>
      <c r="I97" s="1">
        <v>19</v>
      </c>
      <c r="J97" s="157" t="s">
        <v>650</v>
      </c>
      <c r="K97" s="9">
        <f t="shared" si="5"/>
        <v>1.5162447195268898</v>
      </c>
      <c r="L97" s="2" t="s">
        <v>345</v>
      </c>
      <c r="M97" s="20">
        <f t="shared" si="3"/>
        <v>4560</v>
      </c>
      <c r="N97" s="2">
        <f t="shared" si="6"/>
        <v>1</v>
      </c>
      <c r="O97" s="32">
        <f t="shared" si="7"/>
        <v>4560</v>
      </c>
      <c r="P97" s="35">
        <f t="shared" si="4"/>
        <v>1.1582497319101898E-2</v>
      </c>
    </row>
    <row r="98" spans="2:16" ht="17.25">
      <c r="B98" s="2">
        <v>1</v>
      </c>
      <c r="C98" s="9">
        <f>C229/1000</f>
        <v>0.80245996835476996</v>
      </c>
      <c r="D98" s="2" t="s">
        <v>345</v>
      </c>
      <c r="E98" s="20">
        <f>J229</f>
        <v>4780</v>
      </c>
      <c r="F98" s="9">
        <f>R28/24</f>
        <v>0.80245996835477007</v>
      </c>
      <c r="G98" s="2" t="s">
        <v>345</v>
      </c>
      <c r="I98" s="1">
        <v>20</v>
      </c>
      <c r="J98" s="157" t="s">
        <v>651</v>
      </c>
      <c r="K98" s="9">
        <f t="shared" si="5"/>
        <v>0.80245996835477007</v>
      </c>
      <c r="L98" s="2" t="s">
        <v>345</v>
      </c>
      <c r="M98" s="20">
        <f t="shared" si="3"/>
        <v>4780.0000000000009</v>
      </c>
      <c r="N98" s="2">
        <f t="shared" si="6"/>
        <v>1</v>
      </c>
      <c r="O98" s="32">
        <f t="shared" si="7"/>
        <v>4780.0000000000009</v>
      </c>
      <c r="P98" s="35">
        <f t="shared" si="4"/>
        <v>1.2141302014321729E-2</v>
      </c>
    </row>
    <row r="99" spans="2:16" ht="17.25">
      <c r="B99" s="2">
        <v>1</v>
      </c>
      <c r="C99" s="9">
        <f>C230/1000</f>
        <v>0.79890953553082178</v>
      </c>
      <c r="D99" s="2" t="s">
        <v>345</v>
      </c>
      <c r="E99" s="20">
        <f t="shared" ref="E99:E100" si="10">J230</f>
        <v>4780</v>
      </c>
      <c r="F99" s="9">
        <f>S28/24</f>
        <v>0.19203450631703514</v>
      </c>
      <c r="G99" s="2" t="s">
        <v>345</v>
      </c>
      <c r="I99" s="1">
        <v>21</v>
      </c>
      <c r="J99" s="157" t="s">
        <v>652</v>
      </c>
      <c r="K99" s="9">
        <f t="shared" si="5"/>
        <v>0.79890953553082178</v>
      </c>
      <c r="L99" s="2" t="s">
        <v>345</v>
      </c>
      <c r="M99" s="20">
        <f t="shared" si="3"/>
        <v>4780</v>
      </c>
      <c r="N99" s="2">
        <f t="shared" si="6"/>
        <v>1</v>
      </c>
      <c r="O99" s="32">
        <f t="shared" si="7"/>
        <v>4780</v>
      </c>
      <c r="P99" s="35">
        <f t="shared" si="4"/>
        <v>1.2141302014321726E-2</v>
      </c>
    </row>
    <row r="100" spans="2:16" ht="17.25">
      <c r="B100" s="2">
        <v>1</v>
      </c>
      <c r="C100" s="9">
        <f>C231/1000</f>
        <v>3.3340493682964857E-2</v>
      </c>
      <c r="D100" s="2" t="s">
        <v>345</v>
      </c>
      <c r="E100" s="20">
        <f t="shared" si="10"/>
        <v>4780</v>
      </c>
      <c r="F100" s="9">
        <f>T28/24</f>
        <v>3.334049368296485E-2</v>
      </c>
      <c r="G100" s="2" t="s">
        <v>345</v>
      </c>
      <c r="I100" s="1">
        <v>22</v>
      </c>
      <c r="J100" s="158" t="s">
        <v>653</v>
      </c>
      <c r="K100" s="9">
        <f t="shared" si="5"/>
        <v>3.334049368296485E-2</v>
      </c>
      <c r="L100" s="2" t="s">
        <v>345</v>
      </c>
      <c r="M100" s="20">
        <f t="shared" si="3"/>
        <v>4779.9999999999991</v>
      </c>
      <c r="N100" s="2">
        <f t="shared" si="6"/>
        <v>1</v>
      </c>
      <c r="O100" s="32">
        <f t="shared" si="7"/>
        <v>4779.9999999999991</v>
      </c>
      <c r="P100" s="35">
        <f t="shared" si="4"/>
        <v>1.2141302014321724E-2</v>
      </c>
    </row>
    <row r="101" spans="2:16" ht="17.25">
      <c r="B101" s="2">
        <v>1</v>
      </c>
      <c r="C101" s="9">
        <f>C84</f>
        <v>43.5</v>
      </c>
      <c r="D101" s="2" t="s">
        <v>287</v>
      </c>
      <c r="E101" s="20">
        <f>E84</f>
        <v>6000</v>
      </c>
      <c r="F101" s="9">
        <f>C73</f>
        <v>35.569383609208522</v>
      </c>
      <c r="G101" s="2" t="s">
        <v>287</v>
      </c>
      <c r="I101" s="1">
        <v>23</v>
      </c>
      <c r="J101" s="157" t="s">
        <v>359</v>
      </c>
      <c r="K101" s="123">
        <f t="shared" si="5"/>
        <v>43.5</v>
      </c>
      <c r="L101" s="2" t="s">
        <v>287</v>
      </c>
      <c r="M101" s="32">
        <f t="shared" si="3"/>
        <v>6000</v>
      </c>
      <c r="N101" s="124">
        <f t="shared" si="6"/>
        <v>1</v>
      </c>
      <c r="O101" s="32">
        <f t="shared" si="7"/>
        <v>6000</v>
      </c>
      <c r="P101" s="36">
        <f t="shared" si="4"/>
        <v>1.5240128051449866E-2</v>
      </c>
    </row>
    <row r="102" spans="2:16" ht="17.25">
      <c r="B102" s="2">
        <v>1</v>
      </c>
      <c r="C102" s="9">
        <v>0.2</v>
      </c>
      <c r="D102" s="2" t="s">
        <v>287</v>
      </c>
      <c r="E102" s="20">
        <v>20000</v>
      </c>
      <c r="F102" s="9">
        <f>Y69</f>
        <v>0.28758400166265052</v>
      </c>
      <c r="G102" s="2" t="s">
        <v>287</v>
      </c>
      <c r="I102" s="1">
        <v>24</v>
      </c>
      <c r="J102" s="1" t="s">
        <v>654</v>
      </c>
      <c r="K102" s="9">
        <f t="shared" si="5"/>
        <v>0.28758400166265052</v>
      </c>
      <c r="L102" s="2" t="s">
        <v>287</v>
      </c>
      <c r="M102" s="20">
        <f t="shared" si="3"/>
        <v>27233.566082897614</v>
      </c>
      <c r="N102" s="2">
        <f t="shared" si="6"/>
        <v>1</v>
      </c>
      <c r="O102" s="32">
        <f t="shared" si="7"/>
        <v>27233.566082897614</v>
      </c>
      <c r="P102" s="36">
        <f t="shared" si="4"/>
        <v>6.9173839066830264E-2</v>
      </c>
    </row>
    <row r="103" spans="2:16" ht="18" thickBot="1">
      <c r="B103" s="2">
        <v>1</v>
      </c>
      <c r="C103" s="9">
        <v>0.05</v>
      </c>
      <c r="D103" s="2" t="s">
        <v>289</v>
      </c>
      <c r="E103" s="20">
        <v>10000</v>
      </c>
      <c r="F103" s="9">
        <f>K71</f>
        <v>0.15596645220937977</v>
      </c>
      <c r="G103" s="2" t="s">
        <v>289</v>
      </c>
      <c r="I103" s="1">
        <v>25</v>
      </c>
      <c r="J103" s="1" t="s">
        <v>638</v>
      </c>
      <c r="K103" s="9">
        <f t="shared" si="5"/>
        <v>0.15596645220937977</v>
      </c>
      <c r="L103" s="2" t="s">
        <v>289</v>
      </c>
      <c r="M103" s="20">
        <f t="shared" si="3"/>
        <v>26299.773643502907</v>
      </c>
      <c r="N103" s="2">
        <f t="shared" si="6"/>
        <v>1</v>
      </c>
      <c r="O103" s="32">
        <f t="shared" si="7"/>
        <v>26299.773643502907</v>
      </c>
      <c r="P103" s="36">
        <f t="shared" si="4"/>
        <v>6.680198634185508E-2</v>
      </c>
    </row>
    <row r="104" spans="2:16" ht="15.75" thickBot="1">
      <c r="O104" s="33">
        <f>SUM(O79:O103)</f>
        <v>393697.47942696529</v>
      </c>
      <c r="P104" s="34">
        <f>SUM(P79:P101)</f>
        <v>0.86402417459131486</v>
      </c>
    </row>
    <row r="105" spans="2:16">
      <c r="B105" s="310" t="s">
        <v>376</v>
      </c>
      <c r="C105" s="310"/>
      <c r="D105" s="1">
        <v>0.85</v>
      </c>
      <c r="E105" s="1"/>
    </row>
    <row r="106" spans="2:16">
      <c r="B106" s="252" t="s">
        <v>377</v>
      </c>
      <c r="C106" s="252"/>
      <c r="D106" s="252"/>
      <c r="E106" s="1">
        <f>0.73+2.07+2.11+1.91+2.29+1.36</f>
        <v>10.469999999999999</v>
      </c>
      <c r="I106" s="303" t="s">
        <v>378</v>
      </c>
      <c r="J106" s="303"/>
      <c r="K106" s="303"/>
      <c r="L106" s="303"/>
      <c r="M106" s="303"/>
    </row>
    <row r="107" spans="2:16">
      <c r="I107" s="31" t="s">
        <v>341</v>
      </c>
      <c r="J107" s="31" t="s">
        <v>342</v>
      </c>
      <c r="K107" s="31" t="s">
        <v>380</v>
      </c>
      <c r="L107" s="31" t="s">
        <v>381</v>
      </c>
      <c r="M107" s="31" t="s">
        <v>17</v>
      </c>
    </row>
    <row r="108" spans="2:16">
      <c r="B108" s="310" t="s">
        <v>383</v>
      </c>
      <c r="C108" s="310"/>
      <c r="D108" s="310"/>
      <c r="I108" s="1">
        <v>1</v>
      </c>
      <c r="J108" s="1" t="s">
        <v>382</v>
      </c>
      <c r="K108" s="1">
        <v>1</v>
      </c>
      <c r="L108" s="21">
        <f>O104</f>
        <v>393697.47942696529</v>
      </c>
      <c r="M108" s="35">
        <f>(L108/$L$121)</f>
        <v>0.24390243902439024</v>
      </c>
    </row>
    <row r="109" spans="2:16" ht="17.25">
      <c r="B109" s="52" t="s">
        <v>308</v>
      </c>
      <c r="C109" s="5">
        <f>'Escenario 2'!C90</f>
        <v>50</v>
      </c>
      <c r="D109" s="2" t="s">
        <v>33</v>
      </c>
      <c r="I109" s="1">
        <v>2</v>
      </c>
      <c r="J109" s="1" t="s">
        <v>386</v>
      </c>
      <c r="K109" s="1">
        <v>0.38</v>
      </c>
      <c r="L109" s="21">
        <f>K109*$L$108</f>
        <v>149605.04218224681</v>
      </c>
      <c r="M109" s="35">
        <f t="shared" ref="M109:M120" si="11">(L109/$L$121)</f>
        <v>9.2682926829268292E-2</v>
      </c>
    </row>
    <row r="110" spans="2:16" ht="17.25">
      <c r="B110" s="52" t="s">
        <v>277</v>
      </c>
      <c r="C110" s="5">
        <f>'Escenario 2'!C91</f>
        <v>0.05</v>
      </c>
      <c r="D110" s="2" t="s">
        <v>33</v>
      </c>
      <c r="I110" s="1">
        <v>3</v>
      </c>
      <c r="J110" s="1" t="s">
        <v>387</v>
      </c>
      <c r="K110" s="1">
        <v>0.12</v>
      </c>
      <c r="L110" s="21">
        <f>K110*$L$108</f>
        <v>47243.697531235834</v>
      </c>
      <c r="M110" s="35">
        <f t="shared" si="11"/>
        <v>2.9268292682926828E-2</v>
      </c>
    </row>
    <row r="111" spans="2:16" ht="18">
      <c r="B111" s="53" t="s">
        <v>143</v>
      </c>
      <c r="C111" s="5">
        <f>'Escenario 2'!C92</f>
        <v>0.1</v>
      </c>
      <c r="D111" s="2" t="s">
        <v>324</v>
      </c>
      <c r="I111" s="1">
        <v>4</v>
      </c>
      <c r="J111" s="1" t="s">
        <v>388</v>
      </c>
      <c r="K111" s="1">
        <v>0.31</v>
      </c>
      <c r="L111" s="21">
        <f>K111*$L$108</f>
        <v>122046.21862235924</v>
      </c>
      <c r="M111" s="35">
        <f t="shared" si="11"/>
        <v>7.5609756097560973E-2</v>
      </c>
    </row>
    <row r="112" spans="2:16">
      <c r="B112" s="52" t="s">
        <v>390</v>
      </c>
      <c r="C112" s="5">
        <f>'Escenario 2'!C93</f>
        <v>0.3</v>
      </c>
      <c r="D112" s="2" t="s">
        <v>324</v>
      </c>
      <c r="I112" s="1">
        <v>5</v>
      </c>
      <c r="J112" s="1" t="s">
        <v>389</v>
      </c>
      <c r="K112" s="1">
        <v>0.1</v>
      </c>
      <c r="L112" s="21">
        <f t="shared" ref="L112:L120" si="12">K112*$L$108</f>
        <v>39369.747942696529</v>
      </c>
      <c r="M112" s="35">
        <f t="shared" si="11"/>
        <v>2.4390243902439025E-2</v>
      </c>
    </row>
    <row r="113" spans="2:13">
      <c r="B113" s="52" t="s">
        <v>321</v>
      </c>
      <c r="C113" s="5">
        <f>'Escenario 2'!C94</f>
        <v>0.25</v>
      </c>
      <c r="D113" s="2" t="s">
        <v>9</v>
      </c>
      <c r="I113" s="1">
        <v>6</v>
      </c>
      <c r="J113" s="1" t="s">
        <v>391</v>
      </c>
      <c r="K113" s="1">
        <v>0.28999999999999998</v>
      </c>
      <c r="L113" s="21">
        <f t="shared" si="12"/>
        <v>114172.26903381993</v>
      </c>
      <c r="M113" s="35">
        <f t="shared" si="11"/>
        <v>7.0731707317073164E-2</v>
      </c>
    </row>
    <row r="114" spans="2:13">
      <c r="B114" s="52" t="s">
        <v>393</v>
      </c>
      <c r="C114" s="5">
        <f>'Escenario 2'!C95</f>
        <v>10</v>
      </c>
      <c r="D114" s="2" t="s">
        <v>324</v>
      </c>
      <c r="I114" s="1">
        <v>7</v>
      </c>
      <c r="J114" s="1" t="s">
        <v>392</v>
      </c>
      <c r="K114" s="1">
        <v>0.1</v>
      </c>
      <c r="L114" s="21">
        <f t="shared" si="12"/>
        <v>39369.747942696529</v>
      </c>
      <c r="M114" s="35">
        <f t="shared" si="11"/>
        <v>2.4390243902439025E-2</v>
      </c>
    </row>
    <row r="115" spans="2:13" ht="17.25">
      <c r="B115" s="52" t="s">
        <v>395</v>
      </c>
      <c r="C115" s="5">
        <f>'Escenario 2'!C96</f>
        <v>0.05</v>
      </c>
      <c r="D115" s="2" t="s">
        <v>33</v>
      </c>
      <c r="I115" s="1">
        <v>8</v>
      </c>
      <c r="J115" s="1" t="s">
        <v>394</v>
      </c>
      <c r="K115" s="1">
        <v>0.54</v>
      </c>
      <c r="L115" s="21">
        <f t="shared" si="12"/>
        <v>212596.63889056127</v>
      </c>
      <c r="M115" s="35">
        <f t="shared" si="11"/>
        <v>0.13170731707317074</v>
      </c>
    </row>
    <row r="116" spans="2:13">
      <c r="B116" s="52" t="s">
        <v>331</v>
      </c>
      <c r="C116" s="5">
        <f>'Escenario 2'!C97</f>
        <v>0.5</v>
      </c>
      <c r="D116" s="2" t="s">
        <v>324</v>
      </c>
      <c r="I116" s="1">
        <v>9</v>
      </c>
      <c r="J116" s="1" t="s">
        <v>396</v>
      </c>
      <c r="K116" s="1">
        <v>0.06</v>
      </c>
      <c r="L116" s="21">
        <f t="shared" si="12"/>
        <v>23621.848765617917</v>
      </c>
      <c r="M116" s="35">
        <f t="shared" si="11"/>
        <v>1.4634146341463414E-2</v>
      </c>
    </row>
    <row r="117" spans="2:13" ht="17.25">
      <c r="B117" s="52" t="s">
        <v>593</v>
      </c>
      <c r="C117" s="2">
        <v>0.6</v>
      </c>
      <c r="D117" s="2" t="s">
        <v>33</v>
      </c>
      <c r="E117" s="60"/>
      <c r="F117" s="62" t="s">
        <v>384</v>
      </c>
      <c r="G117" s="62" t="s">
        <v>385</v>
      </c>
      <c r="I117" s="1">
        <v>10</v>
      </c>
      <c r="J117" s="1" t="s">
        <v>397</v>
      </c>
      <c r="K117" s="1">
        <v>0.32</v>
      </c>
      <c r="L117" s="21">
        <f t="shared" si="12"/>
        <v>125983.1934166289</v>
      </c>
      <c r="M117" s="35">
        <f t="shared" si="11"/>
        <v>7.8048780487804878E-2</v>
      </c>
    </row>
    <row r="118" spans="2:13">
      <c r="B118" s="70" t="s">
        <v>655</v>
      </c>
      <c r="C118" s="65">
        <v>0.14000000000000001</v>
      </c>
      <c r="D118" s="65" t="s">
        <v>324</v>
      </c>
      <c r="F118" s="2">
        <v>24</v>
      </c>
      <c r="G118" s="2">
        <v>365</v>
      </c>
      <c r="I118" s="1">
        <v>11</v>
      </c>
      <c r="J118" s="1" t="s">
        <v>399</v>
      </c>
      <c r="K118" s="1">
        <v>0.34</v>
      </c>
      <c r="L118" s="21">
        <f t="shared" si="12"/>
        <v>133857.14300516821</v>
      </c>
      <c r="M118" s="35">
        <f t="shared" si="11"/>
        <v>8.2926829268292687E-2</v>
      </c>
    </row>
    <row r="119" spans="2:13">
      <c r="B119" s="310" t="s">
        <v>400</v>
      </c>
      <c r="C119" s="310"/>
      <c r="D119" s="310"/>
      <c r="E119" s="60"/>
      <c r="I119" s="1">
        <v>12</v>
      </c>
      <c r="J119" s="1" t="s">
        <v>401</v>
      </c>
      <c r="K119" s="1">
        <v>0.18</v>
      </c>
      <c r="L119" s="21">
        <f t="shared" si="12"/>
        <v>70865.546296853747</v>
      </c>
      <c r="M119" s="35">
        <f t="shared" si="11"/>
        <v>4.3902439024390241E-2</v>
      </c>
    </row>
    <row r="120" spans="2:13" ht="18" thickBot="1">
      <c r="B120" s="54" t="s">
        <v>402</v>
      </c>
      <c r="C120" s="2">
        <v>19</v>
      </c>
      <c r="D120" s="2" t="s">
        <v>403</v>
      </c>
      <c r="I120" s="1">
        <v>13</v>
      </c>
      <c r="J120" s="1" t="s">
        <v>404</v>
      </c>
      <c r="K120" s="1">
        <v>0.36</v>
      </c>
      <c r="L120" s="24">
        <f t="shared" si="12"/>
        <v>141731.09259370749</v>
      </c>
      <c r="M120" s="36">
        <f t="shared" si="11"/>
        <v>8.7804878048780483E-2</v>
      </c>
    </row>
    <row r="121" spans="2:13" ht="15.75" thickBot="1">
      <c r="B121" s="304" t="s">
        <v>405</v>
      </c>
      <c r="C121" s="9">
        <f>(C120*C148)/1000</f>
        <v>21.528509589041096</v>
      </c>
      <c r="D121" s="2" t="s">
        <v>349</v>
      </c>
      <c r="E121" s="75"/>
      <c r="L121" s="33">
        <f>SUM(L108:L120)</f>
        <v>1614159.6656505577</v>
      </c>
      <c r="M121" s="37">
        <f>SUM(M108:M120)</f>
        <v>1</v>
      </c>
    </row>
    <row r="122" spans="2:13">
      <c r="B122" s="305"/>
      <c r="C122" s="9">
        <f>(C121*F118)</f>
        <v>516.68423013698634</v>
      </c>
      <c r="D122" s="2" t="s">
        <v>406</v>
      </c>
    </row>
    <row r="123" spans="2:13" ht="17.25">
      <c r="B123" s="54" t="s">
        <v>656</v>
      </c>
      <c r="C123" s="2">
        <v>1</v>
      </c>
      <c r="D123" s="2" t="s">
        <v>446</v>
      </c>
      <c r="I123" s="303" t="s">
        <v>409</v>
      </c>
      <c r="J123" s="303"/>
      <c r="K123" s="303"/>
      <c r="L123" s="303"/>
      <c r="M123" s="303"/>
    </row>
    <row r="124" spans="2:13">
      <c r="B124" s="304" t="s">
        <v>657</v>
      </c>
      <c r="C124" s="9">
        <f>C123*O73</f>
        <v>1.4227753443683409</v>
      </c>
      <c r="D124" s="2" t="s">
        <v>411</v>
      </c>
      <c r="I124" s="38" t="s">
        <v>341</v>
      </c>
      <c r="J124" s="38" t="s">
        <v>342</v>
      </c>
      <c r="K124" s="38" t="s">
        <v>380</v>
      </c>
      <c r="L124" s="38" t="s">
        <v>381</v>
      </c>
      <c r="M124" s="39" t="s">
        <v>17</v>
      </c>
    </row>
    <row r="125" spans="2:13">
      <c r="B125" s="305"/>
      <c r="C125" s="9">
        <f>C124*F118</f>
        <v>34.146608264840182</v>
      </c>
      <c r="D125" s="2" t="s">
        <v>406</v>
      </c>
      <c r="I125" s="1">
        <v>1</v>
      </c>
      <c r="J125" s="1" t="s">
        <v>412</v>
      </c>
      <c r="K125" s="1">
        <v>10</v>
      </c>
      <c r="L125" s="1"/>
      <c r="M125" s="1"/>
    </row>
    <row r="126" spans="2:13" ht="17.25">
      <c r="B126" s="54" t="s">
        <v>658</v>
      </c>
      <c r="C126" s="2">
        <v>1</v>
      </c>
      <c r="D126" s="2" t="s">
        <v>446</v>
      </c>
      <c r="I126" s="1">
        <v>2</v>
      </c>
      <c r="J126" s="1" t="s">
        <v>414</v>
      </c>
      <c r="K126" s="1"/>
      <c r="L126" s="21">
        <f>(L121-L114)/K125</f>
        <v>157478.99177078612</v>
      </c>
      <c r="M126" s="35">
        <f>(L126/$L$130)</f>
        <v>0.82484431063636743</v>
      </c>
    </row>
    <row r="127" spans="2:13">
      <c r="B127" s="304" t="s">
        <v>659</v>
      </c>
      <c r="C127" s="9">
        <f>C126*O68</f>
        <v>3.2098398734190803</v>
      </c>
      <c r="D127" s="2" t="s">
        <v>411</v>
      </c>
      <c r="I127" s="1">
        <v>3</v>
      </c>
      <c r="J127" s="1" t="s">
        <v>416</v>
      </c>
      <c r="K127" s="1">
        <v>0.01</v>
      </c>
      <c r="L127" s="21">
        <f>K127*$L$126</f>
        <v>1574.7899177078612</v>
      </c>
      <c r="M127" s="35">
        <f>(L127/$L$130)</f>
        <v>8.2484431063636742E-3</v>
      </c>
    </row>
    <row r="128" spans="2:13">
      <c r="B128" s="305"/>
      <c r="C128" s="9">
        <f>C127*F118</f>
        <v>77.03615696205793</v>
      </c>
      <c r="D128" s="2" t="s">
        <v>406</v>
      </c>
      <c r="I128" s="1">
        <v>4</v>
      </c>
      <c r="J128" s="1" t="s">
        <v>418</v>
      </c>
      <c r="K128" s="1">
        <v>6.0000000000000001E-3</v>
      </c>
      <c r="L128" s="21">
        <f>K128*$L$126</f>
        <v>944.87395062471671</v>
      </c>
      <c r="M128" s="35">
        <f>(L128/$L$130)</f>
        <v>4.9490658638182044E-3</v>
      </c>
    </row>
    <row r="129" spans="2:31" ht="15.75" thickBot="1">
      <c r="B129" s="54" t="s">
        <v>413</v>
      </c>
      <c r="C129" s="9">
        <f>C125+C122+C128</f>
        <v>627.86699536388448</v>
      </c>
      <c r="D129" s="2" t="s">
        <v>406</v>
      </c>
      <c r="I129" s="1">
        <v>5</v>
      </c>
      <c r="J129" s="1" t="s">
        <v>419</v>
      </c>
      <c r="K129" s="1">
        <v>0.21</v>
      </c>
      <c r="L129" s="24">
        <f>K129*SUM(L108:L119)/K125</f>
        <v>30921.000034193858</v>
      </c>
      <c r="M129" s="36">
        <f>(L129/$L$130)</f>
        <v>0.16195818039345075</v>
      </c>
    </row>
    <row r="130" spans="2:31" ht="17.100000000000001" customHeight="1" thickBot="1">
      <c r="B130" s="54" t="s">
        <v>415</v>
      </c>
      <c r="C130" s="2" t="s">
        <v>12</v>
      </c>
      <c r="D130" s="2" t="s">
        <v>403</v>
      </c>
      <c r="L130" s="33">
        <f>SUM(L126:L129)</f>
        <v>190919.65567331255</v>
      </c>
      <c r="M130" s="37">
        <f>SUM(M126:M129)</f>
        <v>1</v>
      </c>
    </row>
    <row r="131" spans="2:31">
      <c r="B131" s="304" t="s">
        <v>417</v>
      </c>
      <c r="C131" s="7" t="s">
        <v>12</v>
      </c>
      <c r="D131" s="2" t="s">
        <v>349</v>
      </c>
    </row>
    <row r="132" spans="2:31">
      <c r="B132" s="306"/>
      <c r="C132" s="9">
        <f>(C133/3600)*8</f>
        <v>49.834512937595122</v>
      </c>
      <c r="D132" s="2" t="s">
        <v>406</v>
      </c>
      <c r="I132" s="292" t="s">
        <v>424</v>
      </c>
      <c r="J132" s="292"/>
      <c r="K132" s="292"/>
      <c r="L132" s="292"/>
      <c r="M132" s="292"/>
      <c r="N132" s="292"/>
      <c r="Q132" s="300" t="s">
        <v>425</v>
      </c>
      <c r="R132" s="301"/>
      <c r="S132" s="302"/>
      <c r="U132" s="256" t="s">
        <v>426</v>
      </c>
      <c r="V132" s="256"/>
      <c r="W132" s="256"/>
      <c r="Z132" s="298" t="s">
        <v>135</v>
      </c>
      <c r="AA132" s="298"/>
      <c r="AB132" s="298" t="s">
        <v>427</v>
      </c>
      <c r="AC132" s="298"/>
      <c r="AD132" s="298" t="s">
        <v>428</v>
      </c>
      <c r="AE132" s="298"/>
    </row>
    <row r="133" spans="2:31" ht="16.5" customHeight="1" thickBot="1">
      <c r="B133" s="307"/>
      <c r="C133" s="109">
        <f>K68</f>
        <v>22425.530821917804</v>
      </c>
      <c r="D133" s="107" t="s">
        <v>420</v>
      </c>
      <c r="I133" s="31" t="s">
        <v>341</v>
      </c>
      <c r="J133" s="31" t="s">
        <v>429</v>
      </c>
      <c r="K133" s="31" t="s">
        <v>430</v>
      </c>
      <c r="L133" s="31" t="s">
        <v>431</v>
      </c>
      <c r="M133" s="31" t="s">
        <v>381</v>
      </c>
      <c r="N133" s="31" t="s">
        <v>17</v>
      </c>
      <c r="Q133" s="129" t="s">
        <v>135</v>
      </c>
      <c r="R133" s="86">
        <f>M141</f>
        <v>76716.76714389323</v>
      </c>
      <c r="S133" s="128">
        <f>(R133/$R$136)</f>
        <v>0.16531812269647159</v>
      </c>
      <c r="U133" s="29" t="s">
        <v>4</v>
      </c>
      <c r="V133" s="20">
        <f>C176</f>
        <v>1647600.329553084</v>
      </c>
      <c r="W133" s="35">
        <f>V133/$V$135</f>
        <v>0.78024097793763747</v>
      </c>
      <c r="X133" s="60" t="s">
        <v>432</v>
      </c>
      <c r="Z133" s="55" t="s">
        <v>433</v>
      </c>
      <c r="AA133" s="130">
        <f>N134</f>
        <v>0.20215952232333523</v>
      </c>
      <c r="AB133" s="55" t="s">
        <v>434</v>
      </c>
      <c r="AC133" s="130">
        <f>N143+N144+N145+N146</f>
        <v>0.4367537488091458</v>
      </c>
      <c r="AD133" s="55" t="s">
        <v>428</v>
      </c>
      <c r="AE133" s="130">
        <f>N150</f>
        <v>0.25664418617682422</v>
      </c>
    </row>
    <row r="134" spans="2:31" ht="16.5" customHeight="1">
      <c r="B134" s="104" t="s">
        <v>421</v>
      </c>
      <c r="C134" s="105">
        <f>AC83</f>
        <v>18.63490370957188</v>
      </c>
      <c r="D134" s="106" t="s">
        <v>349</v>
      </c>
      <c r="E134" s="60" t="s">
        <v>422</v>
      </c>
      <c r="I134" s="1">
        <v>1</v>
      </c>
      <c r="J134" s="1" t="s">
        <v>390</v>
      </c>
      <c r="K134" s="1">
        <f>I32*C152*G118</f>
        <v>51696.749999999985</v>
      </c>
      <c r="L134" s="1">
        <f>C112</f>
        <v>0.3</v>
      </c>
      <c r="M134" s="21">
        <f t="shared" ref="M134:M140" si="13">K134*L134</f>
        <v>15509.024999999994</v>
      </c>
      <c r="N134" s="35">
        <f t="shared" ref="N134:N140" si="14">(M134/$M$141)</f>
        <v>0.20215952232333523</v>
      </c>
      <c r="Q134" s="29" t="s">
        <v>427</v>
      </c>
      <c r="R134" s="20">
        <f>M148</f>
        <v>153551.92008357408</v>
      </c>
      <c r="S134" s="128">
        <f>(R134/$R$136)</f>
        <v>0.33089135673616266</v>
      </c>
      <c r="U134" s="29" t="s">
        <v>5</v>
      </c>
      <c r="V134" s="20">
        <f>C177</f>
        <v>464055.39751226932</v>
      </c>
      <c r="W134" s="35">
        <f>V134/$V$135</f>
        <v>0.21975902206236261</v>
      </c>
      <c r="X134" s="60" t="s">
        <v>437</v>
      </c>
      <c r="Z134" s="55" t="s">
        <v>127</v>
      </c>
      <c r="AA134" s="130">
        <f>N135</f>
        <v>5.2786097495537553E-2</v>
      </c>
      <c r="AB134" s="55" t="s">
        <v>660</v>
      </c>
      <c r="AC134" s="130">
        <f>N147</f>
        <v>0.56324625119085414</v>
      </c>
      <c r="AD134" s="55" t="s">
        <v>439</v>
      </c>
      <c r="AE134" s="130">
        <f t="shared" ref="AE134:AE141" si="15">N151</f>
        <v>5.1328837235364841E-2</v>
      </c>
    </row>
    <row r="135" spans="2:31" ht="17.25" customHeight="1">
      <c r="B135" s="293" t="s">
        <v>423</v>
      </c>
      <c r="C135" s="7">
        <f>AC93</f>
        <v>731.61070591494092</v>
      </c>
      <c r="D135" s="5" t="s">
        <v>274</v>
      </c>
      <c r="E135" s="60"/>
      <c r="I135" s="1">
        <v>2</v>
      </c>
      <c r="J135" s="1" t="s">
        <v>277</v>
      </c>
      <c r="K135" s="19">
        <f>(E28)*G118</f>
        <v>80991.574999999997</v>
      </c>
      <c r="L135" s="1">
        <f>C110</f>
        <v>0.05</v>
      </c>
      <c r="M135" s="21">
        <f t="shared" si="13"/>
        <v>4049.5787500000001</v>
      </c>
      <c r="N135" s="35">
        <f>(M135/$M$141)</f>
        <v>5.2786097495537553E-2</v>
      </c>
      <c r="Q135" s="29" t="s">
        <v>428</v>
      </c>
      <c r="R135" s="20">
        <f>M159</f>
        <v>233786.71028480204</v>
      </c>
      <c r="S135" s="128">
        <f>(R135/$R$136)</f>
        <v>0.50379052056736584</v>
      </c>
      <c r="U135" s="29" t="s">
        <v>125</v>
      </c>
      <c r="V135" s="299">
        <f>SUM(V133:V134)</f>
        <v>2111655.7270653532</v>
      </c>
      <c r="W135" s="299"/>
      <c r="Z135" s="56" t="s">
        <v>143</v>
      </c>
      <c r="AA135" s="130">
        <f>N136</f>
        <v>0.33693253720555882</v>
      </c>
      <c r="AD135" s="55" t="s">
        <v>443</v>
      </c>
      <c r="AE135" s="130">
        <f t="shared" si="15"/>
        <v>7.6993255853047268E-2</v>
      </c>
    </row>
    <row r="136" spans="2:31" ht="18">
      <c r="B136" s="294"/>
      <c r="C136" s="7">
        <f>C135/24</f>
        <v>30.483779413122537</v>
      </c>
      <c r="D136" s="5" t="s">
        <v>352</v>
      </c>
      <c r="I136" s="1">
        <v>3</v>
      </c>
      <c r="J136" s="23" t="s">
        <v>143</v>
      </c>
      <c r="K136" s="1">
        <f>I32*C150*G118</f>
        <v>258483.74999999997</v>
      </c>
      <c r="L136" s="1">
        <f>C111</f>
        <v>0.1</v>
      </c>
      <c r="M136" s="21">
        <f t="shared" si="13"/>
        <v>25848.375</v>
      </c>
      <c r="N136" s="35">
        <f t="shared" si="14"/>
        <v>0.33693253720555882</v>
      </c>
      <c r="Q136" s="29" t="s">
        <v>125</v>
      </c>
      <c r="R136" s="299">
        <f>SUM(R133:R135)</f>
        <v>464055.39751226932</v>
      </c>
      <c r="S136" s="299"/>
      <c r="Z136" s="55" t="s">
        <v>48</v>
      </c>
      <c r="AA136" s="130">
        <f>N137</f>
        <v>0.36489793779362018</v>
      </c>
      <c r="AD136" s="55" t="s">
        <v>445</v>
      </c>
      <c r="AE136" s="130">
        <f t="shared" si="15"/>
        <v>6.7360112804933675E-2</v>
      </c>
    </row>
    <row r="137" spans="2:31" ht="17.25" customHeight="1">
      <c r="B137" s="57" t="s">
        <v>435</v>
      </c>
      <c r="C137" s="7" t="str">
        <f>C131</f>
        <v>-</v>
      </c>
      <c r="D137" s="5" t="s">
        <v>349</v>
      </c>
      <c r="I137" s="1">
        <v>4</v>
      </c>
      <c r="J137" s="1" t="s">
        <v>393</v>
      </c>
      <c r="K137" s="19">
        <f>O66*G118</f>
        <v>2799.3790124999996</v>
      </c>
      <c r="L137" s="1">
        <f>C114</f>
        <v>10</v>
      </c>
      <c r="M137" s="21">
        <f t="shared" si="13"/>
        <v>27993.790124999996</v>
      </c>
      <c r="N137" s="35">
        <f t="shared" si="14"/>
        <v>0.36489793779362018</v>
      </c>
      <c r="Z137" s="55" t="s">
        <v>47</v>
      </c>
      <c r="AA137" s="130">
        <f>N139</f>
        <v>0.20270530612591264</v>
      </c>
      <c r="AD137" s="55" t="s">
        <v>448</v>
      </c>
      <c r="AE137" s="130">
        <f t="shared" si="15"/>
        <v>1.3125941513174272E-3</v>
      </c>
    </row>
    <row r="138" spans="2:31" ht="17.25">
      <c r="B138" s="293" t="s">
        <v>440</v>
      </c>
      <c r="C138" s="7">
        <f>(C134*0.86)/(200-25)</f>
        <v>9.1577241087038949E-2</v>
      </c>
      <c r="D138" s="5" t="s">
        <v>345</v>
      </c>
      <c r="E138" s="60" t="s">
        <v>570</v>
      </c>
      <c r="I138" s="1">
        <v>5</v>
      </c>
      <c r="J138" s="1" t="s">
        <v>449</v>
      </c>
      <c r="K138" s="125">
        <v>0</v>
      </c>
      <c r="L138" s="1">
        <v>0</v>
      </c>
      <c r="M138" s="21">
        <f t="shared" si="13"/>
        <v>0</v>
      </c>
      <c r="N138" s="35">
        <f t="shared" si="14"/>
        <v>0</v>
      </c>
      <c r="Z138" s="55" t="s">
        <v>152</v>
      </c>
      <c r="AA138" s="130">
        <f>N140</f>
        <v>4.2678121379370784E-2</v>
      </c>
      <c r="AD138" s="55" t="s">
        <v>450</v>
      </c>
      <c r="AE138" s="130">
        <f t="shared" si="15"/>
        <v>0.20643322491941751</v>
      </c>
    </row>
    <row r="139" spans="2:31" ht="17.25">
      <c r="B139" s="294"/>
      <c r="C139" s="9">
        <f>C138*F118</f>
        <v>2.1978537860889347</v>
      </c>
      <c r="D139" s="2" t="s">
        <v>23</v>
      </c>
      <c r="I139" s="22">
        <v>6</v>
      </c>
      <c r="J139" s="22" t="s">
        <v>331</v>
      </c>
      <c r="K139" s="19">
        <f>O69*G118</f>
        <v>31101.79153778647</v>
      </c>
      <c r="L139" s="22">
        <f>C116</f>
        <v>0.5</v>
      </c>
      <c r="M139" s="24">
        <f t="shared" si="13"/>
        <v>15550.895768893235</v>
      </c>
      <c r="N139" s="36">
        <f t="shared" si="14"/>
        <v>0.20270530612591264</v>
      </c>
      <c r="AD139" s="55" t="s">
        <v>452</v>
      </c>
      <c r="AE139" s="130">
        <f t="shared" si="15"/>
        <v>0.22126118788505933</v>
      </c>
    </row>
    <row r="140" spans="2:31" ht="15.75" thickBot="1">
      <c r="B140" s="57" t="s">
        <v>661</v>
      </c>
      <c r="C140" s="9">
        <f>AC66</f>
        <v>24.47526893911369</v>
      </c>
      <c r="D140" s="5" t="s">
        <v>349</v>
      </c>
      <c r="E140" s="60" t="s">
        <v>662</v>
      </c>
      <c r="I140" s="1">
        <v>7</v>
      </c>
      <c r="J140" s="1" t="s">
        <v>593</v>
      </c>
      <c r="K140" s="19">
        <f>C154*G118</f>
        <v>5456.8791666666666</v>
      </c>
      <c r="L140" s="22">
        <f>C117</f>
        <v>0.6</v>
      </c>
      <c r="M140" s="24">
        <f t="shared" si="13"/>
        <v>3274.1275000000001</v>
      </c>
      <c r="N140" s="36">
        <f t="shared" si="14"/>
        <v>4.2678121379370784E-2</v>
      </c>
      <c r="AD140" s="55" t="s">
        <v>455</v>
      </c>
      <c r="AE140" s="130">
        <f t="shared" si="15"/>
        <v>4.9247599862915853E-2</v>
      </c>
    </row>
    <row r="141" spans="2:31" ht="15.75" thickBot="1">
      <c r="B141" s="57" t="s">
        <v>663</v>
      </c>
      <c r="C141" s="9">
        <f>AC76</f>
        <v>960.90481952988728</v>
      </c>
      <c r="D141" s="5" t="s">
        <v>274</v>
      </c>
      <c r="L141" s="40" t="s">
        <v>454</v>
      </c>
      <c r="M141" s="41">
        <f>SUM(M135:M140)</f>
        <v>76716.76714389323</v>
      </c>
      <c r="N141" s="37">
        <f>SUM(N135:N140)</f>
        <v>0.99999999999999989</v>
      </c>
      <c r="AD141" s="55" t="s">
        <v>457</v>
      </c>
      <c r="AE141" s="130">
        <f t="shared" si="15"/>
        <v>6.9419001111119899E-2</v>
      </c>
    </row>
    <row r="142" spans="2:31" ht="17.25">
      <c r="B142" s="293" t="s">
        <v>449</v>
      </c>
      <c r="C142" s="5">
        <v>0.2</v>
      </c>
      <c r="D142" s="5" t="s">
        <v>446</v>
      </c>
      <c r="I142" s="31" t="s">
        <v>341</v>
      </c>
      <c r="J142" s="31" t="s">
        <v>427</v>
      </c>
      <c r="K142" s="31" t="s">
        <v>430</v>
      </c>
      <c r="L142" s="42" t="s">
        <v>431</v>
      </c>
      <c r="M142" s="42" t="s">
        <v>381</v>
      </c>
      <c r="N142" s="42" t="s">
        <v>17</v>
      </c>
      <c r="O142" s="93">
        <f>M143+M144+M145+M146</f>
        <v>67064.37673334335</v>
      </c>
    </row>
    <row r="143" spans="2:31">
      <c r="B143" s="294"/>
      <c r="C143" s="7">
        <f>(I28+O28)*C142</f>
        <v>54.040965488584476</v>
      </c>
      <c r="D143" s="5" t="s">
        <v>406</v>
      </c>
      <c r="I143" s="1">
        <v>1</v>
      </c>
      <c r="J143" s="1" t="s">
        <v>571</v>
      </c>
      <c r="K143" s="19">
        <f>C129*G118</f>
        <v>229171.45330781784</v>
      </c>
      <c r="L143" s="1">
        <f>C113</f>
        <v>0.25</v>
      </c>
      <c r="M143" s="21">
        <f>K143*L143</f>
        <v>57292.863326954459</v>
      </c>
      <c r="N143" s="35">
        <f>(M143/M148)</f>
        <v>0.37311720554045519</v>
      </c>
      <c r="O143" s="93"/>
    </row>
    <row r="144" spans="2:31">
      <c r="I144" s="1">
        <v>2</v>
      </c>
      <c r="J144" s="1" t="s">
        <v>572</v>
      </c>
      <c r="K144" s="19">
        <f>C132*G118</f>
        <v>18189.597222222219</v>
      </c>
      <c r="L144" s="1">
        <f>L143</f>
        <v>0.25</v>
      </c>
      <c r="M144" s="21">
        <f>K144*L144</f>
        <v>4547.3993055555547</v>
      </c>
      <c r="N144" s="35">
        <f>(M144/M148)</f>
        <v>2.9614734241555109E-2</v>
      </c>
    </row>
    <row r="145" spans="2:16">
      <c r="B145" s="322" t="s">
        <v>664</v>
      </c>
      <c r="C145" s="323"/>
      <c r="D145" s="324"/>
      <c r="I145" s="1">
        <v>3</v>
      </c>
      <c r="J145" s="1" t="s">
        <v>665</v>
      </c>
      <c r="K145" s="19">
        <f>(C170)*G118</f>
        <v>1171.5039999999999</v>
      </c>
      <c r="L145" s="1">
        <f>L143</f>
        <v>0.25</v>
      </c>
      <c r="M145" s="21">
        <f>K145*L145</f>
        <v>292.87599999999998</v>
      </c>
      <c r="N145" s="35">
        <f>(M145/M148)</f>
        <v>1.9073418283574418E-3</v>
      </c>
      <c r="O145" s="131">
        <f>(C170)*G118*L145</f>
        <v>292.87599999999998</v>
      </c>
      <c r="P145" t="s">
        <v>469</v>
      </c>
    </row>
    <row r="146" spans="2:16">
      <c r="B146" s="55" t="s">
        <v>456</v>
      </c>
      <c r="C146" s="2">
        <v>24</v>
      </c>
      <c r="D146" s="2" t="s">
        <v>317</v>
      </c>
      <c r="I146" s="1">
        <v>4</v>
      </c>
      <c r="J146" s="1" t="s">
        <v>666</v>
      </c>
      <c r="K146" s="19">
        <f>C143*G118</f>
        <v>19724.952403333333</v>
      </c>
      <c r="L146" s="1">
        <f>C113</f>
        <v>0.25</v>
      </c>
      <c r="M146" s="21">
        <f>K146*L146</f>
        <v>4931.2381008333332</v>
      </c>
      <c r="N146" s="35">
        <f>(M146/M148)</f>
        <v>3.2114467198778085E-2</v>
      </c>
      <c r="O146" s="131">
        <f>('Escenario 1'!C119)*G118*L145</f>
        <v>4308.0624999999936</v>
      </c>
      <c r="P146" t="s">
        <v>465</v>
      </c>
    </row>
    <row r="147" spans="2:16" ht="15.75" thickBot="1">
      <c r="B147" s="55" t="s">
        <v>458</v>
      </c>
      <c r="C147" s="9">
        <f>1/Y37</f>
        <v>0.33333333333333331</v>
      </c>
      <c r="D147" s="2" t="s">
        <v>459</v>
      </c>
      <c r="I147" s="1">
        <v>5</v>
      </c>
      <c r="J147" s="1" t="s">
        <v>398</v>
      </c>
      <c r="K147" s="19">
        <f>(C135+C141)*G118</f>
        <v>617768.16678736231</v>
      </c>
      <c r="L147" s="22">
        <f>C118</f>
        <v>0.14000000000000001</v>
      </c>
      <c r="M147" s="24">
        <f>K147*L147</f>
        <v>86487.543350230728</v>
      </c>
      <c r="N147" s="36">
        <f>(M147/M148)</f>
        <v>0.56324625119085414</v>
      </c>
    </row>
    <row r="148" spans="2:16" ht="18" thickBot="1">
      <c r="B148" s="55" t="s">
        <v>288</v>
      </c>
      <c r="C148" s="9">
        <f>C66</f>
        <v>1133.0794520547945</v>
      </c>
      <c r="D148" s="2" t="s">
        <v>289</v>
      </c>
      <c r="L148" s="40" t="s">
        <v>454</v>
      </c>
      <c r="M148" s="41">
        <f>SUM(M143:M147)</f>
        <v>153551.92008357408</v>
      </c>
      <c r="N148" s="37">
        <f>SUM(N143:N147)</f>
        <v>1</v>
      </c>
    </row>
    <row r="149" spans="2:16">
      <c r="B149" s="55" t="s">
        <v>462</v>
      </c>
      <c r="C149" s="2">
        <v>0.01</v>
      </c>
      <c r="D149" s="2" t="s">
        <v>463</v>
      </c>
      <c r="I149" s="31" t="s">
        <v>341</v>
      </c>
      <c r="J149" s="31" t="s">
        <v>472</v>
      </c>
      <c r="K149" s="31" t="s">
        <v>430</v>
      </c>
      <c r="L149" s="42" t="s">
        <v>431</v>
      </c>
      <c r="M149" s="42" t="s">
        <v>381</v>
      </c>
      <c r="N149" s="42" t="s">
        <v>17</v>
      </c>
    </row>
    <row r="150" spans="2:16" ht="18">
      <c r="B150" s="56" t="s">
        <v>466</v>
      </c>
      <c r="C150" s="2">
        <v>1.5</v>
      </c>
      <c r="D150" s="2" t="s">
        <v>467</v>
      </c>
      <c r="I150" s="1">
        <v>1</v>
      </c>
      <c r="J150" s="1" t="s">
        <v>473</v>
      </c>
      <c r="K150" s="1">
        <v>2</v>
      </c>
      <c r="L150" s="21">
        <v>30000</v>
      </c>
      <c r="M150" s="20">
        <f t="shared" ref="M150:M158" si="16">K150*L150</f>
        <v>60000</v>
      </c>
      <c r="N150" s="35">
        <f>(M150/$M$159)</f>
        <v>0.25664418617682422</v>
      </c>
    </row>
    <row r="151" spans="2:16">
      <c r="B151" s="55" t="s">
        <v>292</v>
      </c>
      <c r="C151" s="9">
        <f>I32/AC36</f>
        <v>0.41666666666666663</v>
      </c>
      <c r="D151" s="2" t="s">
        <v>470</v>
      </c>
      <c r="I151" s="1">
        <v>2</v>
      </c>
      <c r="J151" s="1" t="s">
        <v>475</v>
      </c>
      <c r="K151" s="1">
        <v>0.2</v>
      </c>
      <c r="L151" s="21">
        <f>M150</f>
        <v>60000</v>
      </c>
      <c r="M151" s="20">
        <f t="shared" si="16"/>
        <v>12000</v>
      </c>
      <c r="N151" s="35">
        <f t="shared" ref="N151:N158" si="17">(M151/$M$159)</f>
        <v>5.1328837235364841E-2</v>
      </c>
    </row>
    <row r="152" spans="2:16">
      <c r="B152" s="55" t="s">
        <v>390</v>
      </c>
      <c r="C152" s="2">
        <v>0.3</v>
      </c>
      <c r="D152" s="2" t="s">
        <v>467</v>
      </c>
      <c r="I152" s="1">
        <v>3</v>
      </c>
      <c r="J152" s="1" t="s">
        <v>477</v>
      </c>
      <c r="K152" s="1">
        <v>0.25</v>
      </c>
      <c r="L152" s="21">
        <f>M150+M151</f>
        <v>72000</v>
      </c>
      <c r="M152" s="20">
        <f t="shared" si="16"/>
        <v>18000</v>
      </c>
      <c r="N152" s="35">
        <f t="shared" si="17"/>
        <v>7.6993255853047268E-2</v>
      </c>
    </row>
    <row r="153" spans="2:16">
      <c r="B153" s="55" t="s">
        <v>471</v>
      </c>
      <c r="C153" s="2">
        <v>2</v>
      </c>
      <c r="D153" s="2" t="s">
        <v>17</v>
      </c>
      <c r="I153" s="1">
        <v>4</v>
      </c>
      <c r="J153" s="1" t="s">
        <v>479</v>
      </c>
      <c r="K153" s="1">
        <v>0.04</v>
      </c>
      <c r="L153" s="21">
        <f>O104</f>
        <v>393697.47942696529</v>
      </c>
      <c r="M153" s="20">
        <f t="shared" si="16"/>
        <v>15747.899177078612</v>
      </c>
      <c r="N153" s="35">
        <f t="shared" si="17"/>
        <v>6.7360112804933675E-2</v>
      </c>
    </row>
    <row r="154" spans="2:16" ht="17.25">
      <c r="B154" s="55" t="s">
        <v>667</v>
      </c>
      <c r="C154" s="9">
        <f>AC50</f>
        <v>14.950353881278538</v>
      </c>
      <c r="D154" s="2" t="s">
        <v>23</v>
      </c>
      <c r="I154" s="1">
        <v>5</v>
      </c>
      <c r="J154" s="1" t="s">
        <v>481</v>
      </c>
      <c r="K154" s="1">
        <v>4.0000000000000001E-3</v>
      </c>
      <c r="L154" s="21">
        <f>M141</f>
        <v>76716.76714389323</v>
      </c>
      <c r="M154" s="20">
        <f t="shared" si="16"/>
        <v>306.86706857557294</v>
      </c>
      <c r="N154" s="35">
        <f t="shared" si="17"/>
        <v>1.3125941513174272E-3</v>
      </c>
    </row>
    <row r="155" spans="2:16">
      <c r="I155" s="1">
        <v>6</v>
      </c>
      <c r="J155" s="1" t="s">
        <v>483</v>
      </c>
      <c r="K155" s="1">
        <v>0.55000000000000004</v>
      </c>
      <c r="L155" s="21">
        <f>M150+M151+M153</f>
        <v>87747.899177078609</v>
      </c>
      <c r="M155" s="20">
        <f t="shared" si="16"/>
        <v>48261.344547393237</v>
      </c>
      <c r="N155" s="35">
        <f t="shared" si="17"/>
        <v>0.20643322491941751</v>
      </c>
    </row>
    <row r="156" spans="2:16">
      <c r="B156" s="295" t="s">
        <v>574</v>
      </c>
      <c r="C156" s="296"/>
      <c r="D156" s="297"/>
      <c r="I156" s="1">
        <v>7</v>
      </c>
      <c r="J156" s="1" t="s">
        <v>485</v>
      </c>
      <c r="K156" s="1">
        <f>0.21</f>
        <v>0.21</v>
      </c>
      <c r="L156" s="21">
        <f>M141+M148+M153+M154</f>
        <v>246323.45347312151</v>
      </c>
      <c r="M156" s="20">
        <f t="shared" si="16"/>
        <v>51727.925229355518</v>
      </c>
      <c r="N156" s="35">
        <f t="shared" si="17"/>
        <v>0.22126118788505933</v>
      </c>
    </row>
    <row r="157" spans="2:16">
      <c r="B157" s="55" t="s">
        <v>476</v>
      </c>
      <c r="C157" s="9">
        <f>K220</f>
        <v>36.5</v>
      </c>
      <c r="D157" s="2" t="s">
        <v>313</v>
      </c>
      <c r="E157" s="60"/>
      <c r="I157" s="1">
        <v>8</v>
      </c>
      <c r="J157" s="1" t="s">
        <v>487</v>
      </c>
      <c r="K157" s="1">
        <v>0.05</v>
      </c>
      <c r="L157" s="21">
        <f>M141+M148</f>
        <v>230268.68722746731</v>
      </c>
      <c r="M157" s="20">
        <f t="shared" si="16"/>
        <v>11513.434361373365</v>
      </c>
      <c r="N157" s="35">
        <f t="shared" si="17"/>
        <v>4.9247599862915853E-2</v>
      </c>
    </row>
    <row r="158" spans="2:16" ht="15.75" thickBot="1">
      <c r="B158" s="55" t="s">
        <v>478</v>
      </c>
      <c r="C158" s="9">
        <f t="shared" ref="C158:C164" si="18">K221</f>
        <v>36.5</v>
      </c>
      <c r="D158" s="2" t="s">
        <v>313</v>
      </c>
      <c r="E158" s="60"/>
      <c r="I158" s="1">
        <v>9</v>
      </c>
      <c r="J158" s="1" t="s">
        <v>489</v>
      </c>
      <c r="K158" s="1">
        <v>0.05</v>
      </c>
      <c r="L158" s="24">
        <f>M141+M148+M151+M152+M153+M154+M155</f>
        <v>324584.79802051478</v>
      </c>
      <c r="M158" s="32">
        <f t="shared" si="16"/>
        <v>16229.23990102574</v>
      </c>
      <c r="N158" s="36">
        <f t="shared" si="17"/>
        <v>6.9419001111119899E-2</v>
      </c>
    </row>
    <row r="159" spans="2:16" ht="15.75" thickBot="1">
      <c r="B159" s="56" t="s">
        <v>480</v>
      </c>
      <c r="C159" s="9">
        <f t="shared" si="18"/>
        <v>36.57</v>
      </c>
      <c r="D159" s="2" t="s">
        <v>313</v>
      </c>
      <c r="E159" s="60"/>
      <c r="L159" s="40" t="s">
        <v>454</v>
      </c>
      <c r="M159" s="43">
        <f>SUM(M150:M158)</f>
        <v>233786.71028480204</v>
      </c>
      <c r="N159" s="37">
        <f>SUM(N150:N158)</f>
        <v>1</v>
      </c>
    </row>
    <row r="160" spans="2:16">
      <c r="B160" s="56" t="s">
        <v>482</v>
      </c>
      <c r="C160" s="9">
        <f t="shared" si="18"/>
        <v>36.57</v>
      </c>
      <c r="D160" s="2" t="s">
        <v>313</v>
      </c>
      <c r="E160" s="60"/>
    </row>
    <row r="161" spans="1:18">
      <c r="B161" s="56" t="s">
        <v>484</v>
      </c>
      <c r="C161" s="9">
        <f t="shared" si="18"/>
        <v>36.51</v>
      </c>
      <c r="D161" s="2" t="s">
        <v>313</v>
      </c>
      <c r="E161" s="60"/>
      <c r="I161" s="292" t="s">
        <v>492</v>
      </c>
      <c r="J161" s="292"/>
      <c r="K161" s="292"/>
      <c r="L161" s="292"/>
    </row>
    <row r="162" spans="1:18">
      <c r="B162" s="56" t="s">
        <v>486</v>
      </c>
      <c r="C162" s="9">
        <f t="shared" si="18"/>
        <v>36.51</v>
      </c>
      <c r="D162" s="2" t="s">
        <v>313</v>
      </c>
      <c r="E162" s="60"/>
      <c r="I162" s="31" t="s">
        <v>341</v>
      </c>
      <c r="J162" s="31" t="s">
        <v>342</v>
      </c>
      <c r="K162" s="31" t="s">
        <v>381</v>
      </c>
      <c r="L162" s="31" t="s">
        <v>17</v>
      </c>
    </row>
    <row r="163" spans="1:18">
      <c r="B163" s="56" t="s">
        <v>668</v>
      </c>
      <c r="C163" s="9">
        <f t="shared" si="18"/>
        <v>36.51</v>
      </c>
      <c r="D163" s="2" t="s">
        <v>313</v>
      </c>
      <c r="E163" s="60"/>
      <c r="I163" s="1">
        <v>1</v>
      </c>
      <c r="J163" s="1" t="s">
        <v>493</v>
      </c>
      <c r="K163" s="21">
        <f>L130</f>
        <v>190919.65567331255</v>
      </c>
      <c r="L163" s="35">
        <f>(K163/$K$167)</f>
        <v>0.29149149230148924</v>
      </c>
    </row>
    <row r="164" spans="1:18">
      <c r="B164" s="56" t="s">
        <v>669</v>
      </c>
      <c r="C164" s="9">
        <f t="shared" si="18"/>
        <v>36</v>
      </c>
      <c r="D164" s="65" t="s">
        <v>313</v>
      </c>
      <c r="E164" s="60"/>
      <c r="I164" s="1">
        <v>2</v>
      </c>
      <c r="J164" s="1" t="s">
        <v>429</v>
      </c>
      <c r="K164" s="21">
        <f>M141</f>
        <v>76716.76714389323</v>
      </c>
      <c r="L164" s="35">
        <f>(K164/$K$167)</f>
        <v>0.11712929640719637</v>
      </c>
    </row>
    <row r="165" spans="1:18">
      <c r="B165" s="56" t="s">
        <v>670</v>
      </c>
      <c r="C165" s="9">
        <f>K229</f>
        <v>36.51</v>
      </c>
      <c r="D165" s="2" t="s">
        <v>313</v>
      </c>
      <c r="E165" s="60"/>
      <c r="I165" s="1">
        <v>3</v>
      </c>
      <c r="J165" s="1" t="s">
        <v>427</v>
      </c>
      <c r="K165" s="21">
        <f>M148</f>
        <v>153551.92008357408</v>
      </c>
      <c r="L165" s="35">
        <f>(K165/$K$167)</f>
        <v>0.23443934137147415</v>
      </c>
    </row>
    <row r="166" spans="1:18" ht="15.75" thickBot="1">
      <c r="B166" s="56" t="s">
        <v>671</v>
      </c>
      <c r="C166" s="9">
        <f t="shared" ref="C166:C167" si="19">K230</f>
        <v>36.51</v>
      </c>
      <c r="D166" s="2" t="s">
        <v>313</v>
      </c>
      <c r="I166" s="1">
        <v>4</v>
      </c>
      <c r="J166" s="1" t="s">
        <v>472</v>
      </c>
      <c r="K166" s="24">
        <f>M159</f>
        <v>233786.71028480204</v>
      </c>
      <c r="L166" s="36">
        <f>(K166/$K$167)</f>
        <v>0.35693986991984022</v>
      </c>
    </row>
    <row r="167" spans="1:18" ht="15.75" thickBot="1">
      <c r="B167" s="56" t="s">
        <v>672</v>
      </c>
      <c r="C167" s="9">
        <f t="shared" si="19"/>
        <v>36.51</v>
      </c>
      <c r="D167" s="2" t="s">
        <v>313</v>
      </c>
      <c r="K167" s="96">
        <f>SUM(K163:K166)</f>
        <v>654975.05318558193</v>
      </c>
      <c r="L167" s="37">
        <f>SUM(L163:L166)</f>
        <v>1</v>
      </c>
    </row>
    <row r="168" spans="1:18" ht="15.75" thickBot="1"/>
    <row r="169" spans="1:18">
      <c r="B169" s="325" t="s">
        <v>125</v>
      </c>
      <c r="C169" s="7">
        <f>SUM(C157:C167)</f>
        <v>401.19999999999993</v>
      </c>
      <c r="D169" s="2" t="s">
        <v>313</v>
      </c>
      <c r="J169" s="44" t="s">
        <v>494</v>
      </c>
      <c r="K169" s="45">
        <f>K167</f>
        <v>654975.05318558193</v>
      </c>
    </row>
    <row r="170" spans="1:18" ht="17.25">
      <c r="B170" s="326"/>
      <c r="C170" s="7">
        <f>(C169/1000)*8</f>
        <v>3.2095999999999996</v>
      </c>
      <c r="D170" s="5" t="s">
        <v>406</v>
      </c>
      <c r="J170" s="79" t="s">
        <v>495</v>
      </c>
      <c r="K170" s="80">
        <f>K169/(R28*G118)</f>
        <v>93.17454407245431</v>
      </c>
    </row>
    <row r="171" spans="1:18" ht="17.25">
      <c r="B171" s="75" t="s">
        <v>491</v>
      </c>
      <c r="J171" s="79" t="s">
        <v>673</v>
      </c>
      <c r="K171" s="80">
        <f>K169/(T28*G118)</f>
        <v>2242.5835201730852</v>
      </c>
    </row>
    <row r="172" spans="1:18" ht="18" thickBot="1">
      <c r="J172" s="77" t="s">
        <v>496</v>
      </c>
      <c r="K172" s="78">
        <f>(C176+C177)/(D28*G118)</f>
        <v>153.17614698206512</v>
      </c>
    </row>
    <row r="174" spans="1:18" ht="20.25" thickBot="1">
      <c r="B174" s="291" t="s">
        <v>497</v>
      </c>
      <c r="C174" s="291"/>
      <c r="D174" s="291"/>
      <c r="E174" s="291"/>
      <c r="F174" s="291"/>
      <c r="G174" s="291"/>
      <c r="H174" s="291"/>
      <c r="I174" s="291"/>
      <c r="J174" s="28"/>
      <c r="K174" s="291" t="s">
        <v>498</v>
      </c>
      <c r="L174" s="291"/>
      <c r="M174" s="291"/>
      <c r="N174" s="291"/>
      <c r="O174" s="291"/>
      <c r="P174" s="291"/>
      <c r="Q174" s="291"/>
      <c r="R174" s="291"/>
    </row>
    <row r="175" spans="1:18" ht="16.5" thickTop="1" thickBot="1"/>
    <row r="176" spans="1:18" ht="15.75" thickBot="1">
      <c r="A176" s="27" t="s">
        <v>499</v>
      </c>
      <c r="B176" s="25" t="s">
        <v>30</v>
      </c>
      <c r="C176" s="21">
        <f>L121+L127+L128+L129</f>
        <v>1647600.329553084</v>
      </c>
      <c r="H176" s="25" t="s">
        <v>674</v>
      </c>
      <c r="I176" s="20">
        <f>C183*C192</f>
        <v>460357.89904139488</v>
      </c>
      <c r="K176" s="99"/>
      <c r="L176" s="133" t="s">
        <v>63</v>
      </c>
      <c r="M176" s="134" t="s">
        <v>501</v>
      </c>
      <c r="N176" s="133" t="s">
        <v>63</v>
      </c>
      <c r="O176" s="134" t="s">
        <v>502</v>
      </c>
      <c r="P176" s="133" t="s">
        <v>63</v>
      </c>
      <c r="Q176" s="134" t="s">
        <v>578</v>
      </c>
      <c r="R176" s="111" t="s">
        <v>579</v>
      </c>
    </row>
    <row r="177" spans="1:17">
      <c r="A177" s="27" t="s">
        <v>504</v>
      </c>
      <c r="B177" s="25" t="s">
        <v>505</v>
      </c>
      <c r="C177" s="21">
        <f>M141+M148+M159</f>
        <v>464055.39751226932</v>
      </c>
      <c r="H177" s="25" t="s">
        <v>675</v>
      </c>
      <c r="I177" s="20">
        <f>C181-I176</f>
        <v>217069.27886259294</v>
      </c>
      <c r="K177" s="146" t="s">
        <v>105</v>
      </c>
      <c r="L177" s="135">
        <f>(R36/R29)*100</f>
        <v>22.251130183996136</v>
      </c>
      <c r="M177" s="136">
        <v>30.8</v>
      </c>
      <c r="N177" s="143">
        <f>L177</f>
        <v>22.251130183996136</v>
      </c>
      <c r="O177" s="136" t="s">
        <v>12</v>
      </c>
      <c r="P177" s="143">
        <f>N177</f>
        <v>22.251130183996136</v>
      </c>
      <c r="Q177" s="136">
        <v>4</v>
      </c>
    </row>
    <row r="178" spans="1:17">
      <c r="B178" s="25" t="s">
        <v>16</v>
      </c>
      <c r="C178" s="2">
        <v>0.05</v>
      </c>
      <c r="H178" s="111" t="s">
        <v>676</v>
      </c>
      <c r="K178" s="147" t="s">
        <v>106</v>
      </c>
      <c r="L178" s="135">
        <f>(R38/R29)*100</f>
        <v>0.22417652383889158</v>
      </c>
      <c r="M178" s="136">
        <v>3.5</v>
      </c>
      <c r="N178" s="143">
        <f>L178</f>
        <v>0.22417652383889158</v>
      </c>
      <c r="O178" s="136">
        <v>12</v>
      </c>
      <c r="P178" s="143">
        <f>N178</f>
        <v>0.22417652383889158</v>
      </c>
      <c r="Q178" s="136">
        <v>12</v>
      </c>
    </row>
    <row r="179" spans="1:17">
      <c r="B179" s="25" t="s">
        <v>506</v>
      </c>
      <c r="C179" s="2">
        <f>K125</f>
        <v>10</v>
      </c>
      <c r="H179" t="s">
        <v>677</v>
      </c>
      <c r="K179" s="147" t="s">
        <v>107</v>
      </c>
      <c r="L179" s="135">
        <f>(R42/R29)*100</f>
        <v>0.44873145207233284</v>
      </c>
      <c r="M179" s="136" t="s">
        <v>12</v>
      </c>
      <c r="N179" s="143">
        <f>L179</f>
        <v>0.44873145207233284</v>
      </c>
      <c r="O179" s="136">
        <v>24</v>
      </c>
      <c r="P179" s="143">
        <f>N179</f>
        <v>0.44873145207233284</v>
      </c>
      <c r="Q179" s="136">
        <v>4</v>
      </c>
    </row>
    <row r="180" spans="1:17" ht="15.75" thickBot="1">
      <c r="K180" s="147" t="s">
        <v>678</v>
      </c>
      <c r="L180" s="137">
        <v>3124.9385726859573</v>
      </c>
      <c r="M180" s="138">
        <v>120</v>
      </c>
      <c r="N180" s="137">
        <v>3209.0463809243124</v>
      </c>
      <c r="O180" s="138">
        <f>5*12</f>
        <v>60</v>
      </c>
      <c r="P180" s="137">
        <v>2935.4959705136998</v>
      </c>
      <c r="Q180" s="138">
        <f>5*12</f>
        <v>60</v>
      </c>
    </row>
    <row r="181" spans="1:17">
      <c r="B181" s="82" t="s">
        <v>7</v>
      </c>
      <c r="C181" s="47">
        <f>((C178*(1+C178)^C179)/((1+C178)^C179-1))*C176+C177</f>
        <v>677427.17790398782</v>
      </c>
      <c r="D181" s="48" t="s">
        <v>508</v>
      </c>
      <c r="K181" s="147" t="s">
        <v>509</v>
      </c>
      <c r="L181" s="135">
        <f>C183/1000</f>
        <v>6.5488963502830316E-2</v>
      </c>
      <c r="M181" s="149">
        <f>'Escenario 1'!M160</f>
        <v>1.028125</v>
      </c>
      <c r="N181" s="143">
        <f>L181</f>
        <v>6.5488963502830316E-2</v>
      </c>
      <c r="O181" s="144">
        <f>'Escenario 1'!O160</f>
        <v>6.3849999999999998</v>
      </c>
      <c r="P181" s="143">
        <f>N181</f>
        <v>6.5488963502830316E-2</v>
      </c>
      <c r="Q181" s="151">
        <f>'Escenario 1'!Q160</f>
        <v>6.3849999999999998</v>
      </c>
    </row>
    <row r="182" spans="1:17" ht="17.25">
      <c r="B182" s="83" t="s">
        <v>679</v>
      </c>
      <c r="C182" s="81">
        <f>(C181-(C183*C192))/C191</f>
        <v>743.22828807828955</v>
      </c>
      <c r="D182" s="84" t="s">
        <v>510</v>
      </c>
      <c r="K182" s="147" t="s">
        <v>511</v>
      </c>
      <c r="L182" s="139">
        <f>L$180*1*(L177/100)</f>
        <v>695.33414997826299</v>
      </c>
      <c r="M182" s="140">
        <f>M$180*1*(M177/100)</f>
        <v>36.96</v>
      </c>
      <c r="N182" s="139">
        <f>N$180*1*(N177/100)</f>
        <v>714.0490878842852</v>
      </c>
      <c r="O182" s="140" t="s">
        <v>12</v>
      </c>
      <c r="P182" s="139">
        <f t="shared" ref="P182:Q184" si="20">P$180*1*(P177/100)</f>
        <v>653.18102994496417</v>
      </c>
      <c r="Q182" s="140">
        <f t="shared" si="20"/>
        <v>2.4</v>
      </c>
    </row>
    <row r="183" spans="1:17" ht="18" thickBot="1">
      <c r="B183" s="49" t="s">
        <v>680</v>
      </c>
      <c r="C183" s="50">
        <f>'Escenario 1'!C161</f>
        <v>65.488963502830316</v>
      </c>
      <c r="D183" s="51" t="s">
        <v>510</v>
      </c>
      <c r="E183" s="60" t="s">
        <v>681</v>
      </c>
      <c r="K183" s="147" t="s">
        <v>512</v>
      </c>
      <c r="L183" s="139">
        <f t="shared" ref="L183:M184" si="21">L$180*1*(L178/100)</f>
        <v>7.0053786643480542</v>
      </c>
      <c r="M183" s="140">
        <f t="shared" si="21"/>
        <v>4.2</v>
      </c>
      <c r="N183" s="139">
        <f>N$180*1*(N178/100)</f>
        <v>7.1939286251338794</v>
      </c>
      <c r="O183" s="140">
        <f>O$180*1*(O178/100)</f>
        <v>7.1999999999999993</v>
      </c>
      <c r="P183" s="139">
        <f t="shared" si="20"/>
        <v>6.5806928241283469</v>
      </c>
      <c r="Q183" s="140">
        <f t="shared" si="20"/>
        <v>7.1999999999999993</v>
      </c>
    </row>
    <row r="184" spans="1:17">
      <c r="K184" s="147" t="s">
        <v>515</v>
      </c>
      <c r="L184" s="139">
        <f t="shared" si="21"/>
        <v>14.022582233582128</v>
      </c>
      <c r="M184" s="140" t="s">
        <v>12</v>
      </c>
      <c r="N184" s="139">
        <f>N$180*1*(N179/100)</f>
        <v>14.400000422796312</v>
      </c>
      <c r="O184" s="140">
        <f>O$180*1*(O179/100)</f>
        <v>14.399999999999999</v>
      </c>
      <c r="P184" s="139">
        <f t="shared" si="20"/>
        <v>13.172493694010944</v>
      </c>
      <c r="Q184" s="140">
        <f t="shared" si="20"/>
        <v>2.4</v>
      </c>
    </row>
    <row r="185" spans="1:17" ht="15.75" thickBot="1">
      <c r="B185" s="26" t="s">
        <v>580</v>
      </c>
      <c r="C185" s="267" t="s">
        <v>514</v>
      </c>
      <c r="D185" s="267"/>
      <c r="E185" s="267"/>
      <c r="F185" s="267"/>
      <c r="K185" s="148" t="s">
        <v>682</v>
      </c>
      <c r="L185" s="141">
        <f t="shared" ref="L185:Q185" si="22">L180*L181</f>
        <v>204.64898813521731</v>
      </c>
      <c r="M185" s="142">
        <f t="shared" si="22"/>
        <v>123.375</v>
      </c>
      <c r="N185" s="141">
        <f t="shared" si="22"/>
        <v>210.15712131924201</v>
      </c>
      <c r="O185" s="142">
        <f t="shared" si="22"/>
        <v>383.09999999999997</v>
      </c>
      <c r="P185" s="141">
        <f t="shared" si="22"/>
        <v>192.24258847567714</v>
      </c>
      <c r="Q185" s="142">
        <f t="shared" si="22"/>
        <v>383.09999999999997</v>
      </c>
    </row>
    <row r="186" spans="1:17" ht="15.75" thickBot="1">
      <c r="B186" s="26" t="s">
        <v>516</v>
      </c>
      <c r="C186" s="268" t="s">
        <v>517</v>
      </c>
      <c r="D186" s="321"/>
      <c r="E186" s="321"/>
      <c r="F186" s="269"/>
    </row>
    <row r="187" spans="1:17" ht="15.75" thickBot="1">
      <c r="B187" s="26" t="s">
        <v>519</v>
      </c>
      <c r="C187" s="268" t="s">
        <v>520</v>
      </c>
      <c r="D187" s="321"/>
      <c r="E187" s="321"/>
      <c r="F187" s="269"/>
      <c r="K187" s="99"/>
      <c r="L187" s="188" t="s">
        <v>61</v>
      </c>
    </row>
    <row r="188" spans="1:17">
      <c r="B188" s="26" t="s">
        <v>521</v>
      </c>
      <c r="C188" s="268" t="s">
        <v>522</v>
      </c>
      <c r="D188" s="321"/>
      <c r="E188" s="321"/>
      <c r="F188" s="269"/>
      <c r="H188" s="93"/>
      <c r="K188" s="146" t="s">
        <v>105</v>
      </c>
      <c r="L188" s="185">
        <f>(T36/T29)*100</f>
        <v>59.580123915965089</v>
      </c>
    </row>
    <row r="189" spans="1:17">
      <c r="B189" s="26" t="s">
        <v>7</v>
      </c>
      <c r="C189" s="268" t="s">
        <v>525</v>
      </c>
      <c r="D189" s="321"/>
      <c r="E189" s="321"/>
      <c r="F189" s="269"/>
      <c r="K189" s="147" t="s">
        <v>106</v>
      </c>
      <c r="L189" s="186">
        <f>(T38/T29)*100</f>
        <v>1.2815973967152763</v>
      </c>
    </row>
    <row r="190" spans="1:17" ht="15.75" thickBot="1">
      <c r="K190" s="148" t="s">
        <v>107</v>
      </c>
      <c r="L190" s="187">
        <f>(T42/T29)*100</f>
        <v>4.3635770047540282E-2</v>
      </c>
    </row>
    <row r="191" spans="1:17" ht="17.25">
      <c r="B191" s="26" t="s">
        <v>683</v>
      </c>
      <c r="C191" s="9">
        <f>T28*G118</f>
        <v>292.0627246627721</v>
      </c>
      <c r="D191" s="2" t="s">
        <v>528</v>
      </c>
    </row>
    <row r="192" spans="1:17" ht="17.25">
      <c r="B192" s="26" t="s">
        <v>684</v>
      </c>
      <c r="C192" s="9">
        <f>R28*G118</f>
        <v>7029.549322787786</v>
      </c>
      <c r="D192" s="2" t="s">
        <v>528</v>
      </c>
      <c r="H192" s="75"/>
    </row>
    <row r="194" spans="2:16" ht="20.25" thickBot="1">
      <c r="B194" s="291" t="s">
        <v>581</v>
      </c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</row>
    <row r="195" spans="2:16" ht="15.75" thickTop="1"/>
    <row r="196" spans="2:16">
      <c r="B196" s="25" t="s">
        <v>531</v>
      </c>
      <c r="C196" s="29">
        <v>0</v>
      </c>
      <c r="D196" s="29">
        <v>1</v>
      </c>
      <c r="E196" s="29">
        <v>2</v>
      </c>
      <c r="F196" s="29">
        <v>3</v>
      </c>
      <c r="G196" s="29">
        <v>4</v>
      </c>
      <c r="H196" s="29">
        <v>5</v>
      </c>
      <c r="I196" s="29">
        <v>6</v>
      </c>
      <c r="J196" s="29">
        <v>7</v>
      </c>
      <c r="K196" s="29">
        <v>8</v>
      </c>
      <c r="L196" s="29">
        <v>9</v>
      </c>
      <c r="M196" s="29">
        <v>10</v>
      </c>
    </row>
    <row r="197" spans="2:16">
      <c r="B197" s="25" t="s">
        <v>532</v>
      </c>
      <c r="C197" s="21">
        <f>C176</f>
        <v>1647600.329553084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6">
      <c r="B198" s="25" t="s">
        <v>533</v>
      </c>
      <c r="C198" s="1"/>
      <c r="D198" s="21">
        <f>(C210*C207)+(D207*C212)</f>
        <v>599666.54740581289</v>
      </c>
      <c r="E198" s="21">
        <f>$D$198</f>
        <v>599666.54740581289</v>
      </c>
      <c r="F198" s="21">
        <f t="shared" ref="F198:M198" si="23">$D$198</f>
        <v>599666.54740581289</v>
      </c>
      <c r="G198" s="21">
        <f t="shared" si="23"/>
        <v>599666.54740581289</v>
      </c>
      <c r="H198" s="21">
        <f t="shared" si="23"/>
        <v>599666.54740581289</v>
      </c>
      <c r="I198" s="21">
        <f t="shared" si="23"/>
        <v>599666.54740581289</v>
      </c>
      <c r="J198" s="21">
        <f t="shared" si="23"/>
        <v>599666.54740581289</v>
      </c>
      <c r="K198" s="21">
        <f t="shared" si="23"/>
        <v>599666.54740581289</v>
      </c>
      <c r="L198" s="21">
        <f t="shared" si="23"/>
        <v>599666.54740581289</v>
      </c>
      <c r="M198" s="21">
        <f t="shared" si="23"/>
        <v>599666.54740581289</v>
      </c>
    </row>
    <row r="199" spans="2:16">
      <c r="B199" s="25" t="s">
        <v>534</v>
      </c>
      <c r="C199" s="1"/>
      <c r="D199" s="21">
        <f>C177</f>
        <v>464055.39751226932</v>
      </c>
      <c r="E199" s="21">
        <f>$D$199</f>
        <v>464055.39751226932</v>
      </c>
      <c r="F199" s="21">
        <f t="shared" ref="F199:M199" si="24">$D$199</f>
        <v>464055.39751226932</v>
      </c>
      <c r="G199" s="21">
        <f t="shared" si="24"/>
        <v>464055.39751226932</v>
      </c>
      <c r="H199" s="21">
        <f t="shared" si="24"/>
        <v>464055.39751226932</v>
      </c>
      <c r="I199" s="21">
        <f t="shared" si="24"/>
        <v>464055.39751226932</v>
      </c>
      <c r="J199" s="21">
        <f t="shared" si="24"/>
        <v>464055.39751226932</v>
      </c>
      <c r="K199" s="21">
        <f t="shared" si="24"/>
        <v>464055.39751226932</v>
      </c>
      <c r="L199" s="21">
        <f t="shared" si="24"/>
        <v>464055.39751226932</v>
      </c>
      <c r="M199" s="21">
        <f t="shared" si="24"/>
        <v>464055.39751226932</v>
      </c>
    </row>
    <row r="200" spans="2:16">
      <c r="B200" s="25" t="s">
        <v>535</v>
      </c>
      <c r="C200" s="1"/>
      <c r="D200" s="21">
        <f>D198-D199</f>
        <v>135611.14989354357</v>
      </c>
      <c r="E200" s="21">
        <f t="shared" ref="E200:M200" si="25">E198-E199</f>
        <v>135611.14989354357</v>
      </c>
      <c r="F200" s="21">
        <f t="shared" si="25"/>
        <v>135611.14989354357</v>
      </c>
      <c r="G200" s="21">
        <f t="shared" si="25"/>
        <v>135611.14989354357</v>
      </c>
      <c r="H200" s="21">
        <f t="shared" si="25"/>
        <v>135611.14989354357</v>
      </c>
      <c r="I200" s="21">
        <f t="shared" si="25"/>
        <v>135611.14989354357</v>
      </c>
      <c r="J200" s="21">
        <f t="shared" si="25"/>
        <v>135611.14989354357</v>
      </c>
      <c r="K200" s="21">
        <f t="shared" si="25"/>
        <v>135611.14989354357</v>
      </c>
      <c r="L200" s="21">
        <f t="shared" si="25"/>
        <v>135611.14989354357</v>
      </c>
      <c r="M200" s="21">
        <f t="shared" si="25"/>
        <v>135611.14989354357</v>
      </c>
    </row>
    <row r="201" spans="2:16">
      <c r="B201" s="25" t="s">
        <v>536</v>
      </c>
      <c r="C201" s="1"/>
      <c r="D201" s="21">
        <f>D200/((1+$C$178)^$C$179)</f>
        <v>83253.48224754892</v>
      </c>
      <c r="E201" s="21">
        <f t="shared" ref="E201:M201" si="26">E200/((1+$C$178)^$C$179)</f>
        <v>83253.48224754892</v>
      </c>
      <c r="F201" s="21">
        <f t="shared" si="26"/>
        <v>83253.48224754892</v>
      </c>
      <c r="G201" s="21">
        <f t="shared" si="26"/>
        <v>83253.48224754892</v>
      </c>
      <c r="H201" s="21">
        <f t="shared" si="26"/>
        <v>83253.48224754892</v>
      </c>
      <c r="I201" s="21">
        <f t="shared" si="26"/>
        <v>83253.48224754892</v>
      </c>
      <c r="J201" s="21">
        <f t="shared" si="26"/>
        <v>83253.48224754892</v>
      </c>
      <c r="K201" s="21">
        <f t="shared" si="26"/>
        <v>83253.48224754892</v>
      </c>
      <c r="L201" s="21">
        <f t="shared" si="26"/>
        <v>83253.48224754892</v>
      </c>
      <c r="M201" s="21">
        <f t="shared" si="26"/>
        <v>83253.48224754892</v>
      </c>
    </row>
    <row r="202" spans="2:16" ht="15.75" thickBot="1"/>
    <row r="203" spans="2:16" ht="15.75" thickBot="1">
      <c r="B203" s="58" t="s">
        <v>537</v>
      </c>
      <c r="C203" s="59">
        <f>SUM(D201:M201)-C197</f>
        <v>-815065.50707759487</v>
      </c>
    </row>
    <row r="204" spans="2:16" ht="15.75" thickBot="1">
      <c r="C204" s="85"/>
    </row>
    <row r="205" spans="2:16" ht="15.75" thickBot="1">
      <c r="C205" s="58" t="s">
        <v>67</v>
      </c>
      <c r="D205" s="87" t="s">
        <v>69</v>
      </c>
    </row>
    <row r="206" spans="2:16">
      <c r="B206" s="25" t="s">
        <v>538</v>
      </c>
      <c r="C206" s="86">
        <f>C182</f>
        <v>743.22828807828955</v>
      </c>
      <c r="D206" s="88">
        <f>C183</f>
        <v>65.488963502830316</v>
      </c>
    </row>
    <row r="207" spans="2:16">
      <c r="B207" s="25" t="s">
        <v>539</v>
      </c>
      <c r="C207" s="20">
        <v>416.54474598466453</v>
      </c>
      <c r="D207" s="21">
        <f>'Escenario 1'!C183</f>
        <v>68</v>
      </c>
    </row>
    <row r="209" spans="2:16">
      <c r="B209" s="289" t="s">
        <v>683</v>
      </c>
      <c r="C209" s="9">
        <f>C210*1000</f>
        <v>292062.72466277209</v>
      </c>
      <c r="D209" s="5" t="s">
        <v>540</v>
      </c>
    </row>
    <row r="210" spans="2:16" ht="17.25">
      <c r="B210" s="290"/>
      <c r="C210" s="9">
        <f>C191</f>
        <v>292.0627246627721</v>
      </c>
      <c r="D210" s="2" t="s">
        <v>528</v>
      </c>
    </row>
    <row r="211" spans="2:16">
      <c r="B211" s="289" t="s">
        <v>684</v>
      </c>
      <c r="C211" s="2">
        <f>C212*1000</f>
        <v>7029549.3227877859</v>
      </c>
      <c r="D211" s="5" t="s">
        <v>540</v>
      </c>
    </row>
    <row r="212" spans="2:16" ht="17.25">
      <c r="B212" s="290"/>
      <c r="C212" s="9">
        <f>C192</f>
        <v>7029.549322787786</v>
      </c>
      <c r="D212" s="2" t="s">
        <v>528</v>
      </c>
    </row>
    <row r="214" spans="2:16">
      <c r="B214" s="75" t="s">
        <v>541</v>
      </c>
    </row>
    <row r="216" spans="2:16" ht="20.25" thickBot="1">
      <c r="B216" s="291" t="s">
        <v>542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</row>
    <row r="217" spans="2:16" ht="15.75" thickTop="1"/>
    <row r="218" spans="2:16">
      <c r="B218" s="292" t="s">
        <v>543</v>
      </c>
      <c r="C218" s="292"/>
      <c r="D218" s="292"/>
      <c r="E218" s="292"/>
      <c r="F218" s="292"/>
      <c r="G218" s="292"/>
      <c r="H218" s="292"/>
      <c r="I218" s="292"/>
      <c r="J218" s="292"/>
      <c r="K218" s="292"/>
    </row>
    <row r="219" spans="2:16" ht="17.25">
      <c r="B219" s="2" t="s">
        <v>544</v>
      </c>
      <c r="C219" s="2" t="s">
        <v>545</v>
      </c>
      <c r="D219" s="2" t="s">
        <v>546</v>
      </c>
      <c r="E219" s="2" t="s">
        <v>547</v>
      </c>
      <c r="F219" s="2" t="s">
        <v>548</v>
      </c>
      <c r="G219" s="2" t="s">
        <v>549</v>
      </c>
      <c r="H219" s="2" t="s">
        <v>550</v>
      </c>
      <c r="I219" s="2" t="s">
        <v>551</v>
      </c>
      <c r="J219" s="2" t="s">
        <v>552</v>
      </c>
      <c r="K219" s="2" t="s">
        <v>553</v>
      </c>
    </row>
    <row r="220" spans="2:16">
      <c r="B220" s="2" t="s">
        <v>245</v>
      </c>
      <c r="C220" s="9">
        <f>D29/24</f>
        <v>1573.7214611872143</v>
      </c>
      <c r="D220" s="9">
        <f>((1000*3*9.81)+101325)/101325</f>
        <v>1.2904515173945226</v>
      </c>
      <c r="E220" s="2">
        <v>1.5</v>
      </c>
      <c r="F220" s="2">
        <v>25</v>
      </c>
      <c r="G220" s="2">
        <v>2.1480000000000001</v>
      </c>
      <c r="H220" s="2">
        <v>1.577</v>
      </c>
      <c r="I220" s="130">
        <v>0.75</v>
      </c>
      <c r="J220" s="91">
        <v>4780</v>
      </c>
      <c r="K220" s="2">
        <v>36.5</v>
      </c>
    </row>
    <row r="221" spans="2:16">
      <c r="B221" s="2" t="s">
        <v>246</v>
      </c>
      <c r="C221" s="9">
        <f>E29/24</f>
        <v>9245.6135844748842</v>
      </c>
      <c r="D221" s="9">
        <f>D220</f>
        <v>1.2904515173945226</v>
      </c>
      <c r="E221" s="2">
        <v>1.5</v>
      </c>
      <c r="F221" s="2">
        <v>25</v>
      </c>
      <c r="G221" s="2">
        <v>2.1480000000000001</v>
      </c>
      <c r="H221" s="2">
        <v>9.2639999999999993</v>
      </c>
      <c r="I221" s="130">
        <v>0.75</v>
      </c>
      <c r="J221" s="91">
        <v>5230</v>
      </c>
      <c r="K221" s="2">
        <v>36.5</v>
      </c>
    </row>
    <row r="222" spans="2:16">
      <c r="B222" s="2" t="s">
        <v>247</v>
      </c>
      <c r="C222" s="9">
        <f>F29/24</f>
        <v>4917.8795662100447</v>
      </c>
      <c r="D222" s="2">
        <v>0.5</v>
      </c>
      <c r="E222" s="2">
        <v>1.5</v>
      </c>
      <c r="F222" s="2">
        <v>25</v>
      </c>
      <c r="G222" s="2">
        <v>10.23</v>
      </c>
      <c r="H222" s="2">
        <v>4.9279999999999999</v>
      </c>
      <c r="I222" s="130">
        <v>0.75</v>
      </c>
      <c r="J222" s="91">
        <v>5000</v>
      </c>
      <c r="K222" s="2">
        <v>36.57</v>
      </c>
    </row>
    <row r="223" spans="2:16">
      <c r="B223" s="2" t="s">
        <v>250</v>
      </c>
      <c r="C223" s="9">
        <f>I29/24</f>
        <v>9835.7591324200894</v>
      </c>
      <c r="D223" s="2">
        <v>1</v>
      </c>
      <c r="E223" s="2">
        <v>1.5</v>
      </c>
      <c r="F223" s="2">
        <v>25</v>
      </c>
      <c r="G223" s="2">
        <v>5.1139999999999999</v>
      </c>
      <c r="H223" s="2">
        <v>9.8450000000000006</v>
      </c>
      <c r="I223" s="130">
        <v>0.75</v>
      </c>
      <c r="J223" s="91">
        <v>5340</v>
      </c>
      <c r="K223" s="2">
        <v>36.57</v>
      </c>
    </row>
    <row r="224" spans="2:16">
      <c r="B224" s="2" t="s">
        <v>253</v>
      </c>
      <c r="C224" s="9">
        <f>L29/24</f>
        <v>934.39711757990847</v>
      </c>
      <c r="D224" s="2">
        <v>0.5</v>
      </c>
      <c r="E224" s="2">
        <v>1</v>
      </c>
      <c r="F224" s="2">
        <v>25</v>
      </c>
      <c r="G224" s="2">
        <v>5.1139999999999999</v>
      </c>
      <c r="H224" s="2">
        <v>0.93630000000000002</v>
      </c>
      <c r="I224" s="130">
        <v>0.75</v>
      </c>
      <c r="J224" s="91">
        <v>4780</v>
      </c>
      <c r="K224" s="2">
        <v>36.51</v>
      </c>
    </row>
    <row r="225" spans="2:11">
      <c r="B225" s="2" t="s">
        <v>254</v>
      </c>
      <c r="C225" s="9">
        <f>M29/24</f>
        <v>934.39711757990847</v>
      </c>
      <c r="D225" s="2">
        <v>1</v>
      </c>
      <c r="E225" s="2">
        <v>1.29</v>
      </c>
      <c r="F225" s="2">
        <v>35</v>
      </c>
      <c r="G225" s="2">
        <v>2.9750000000000001</v>
      </c>
      <c r="H225" s="2">
        <v>0.93630000000000002</v>
      </c>
      <c r="I225" s="130">
        <v>0.75</v>
      </c>
      <c r="J225" s="91">
        <v>4780</v>
      </c>
      <c r="K225" s="2">
        <v>36.51</v>
      </c>
    </row>
    <row r="226" spans="2:11">
      <c r="B226" s="2" t="s">
        <v>610</v>
      </c>
      <c r="C226" s="9">
        <f>O29/24</f>
        <v>1422.7753443683407</v>
      </c>
      <c r="D226" s="2">
        <v>1</v>
      </c>
      <c r="E226" s="2">
        <v>1.5</v>
      </c>
      <c r="F226" s="2">
        <v>35</v>
      </c>
      <c r="G226" s="2">
        <v>5.1360000000000001</v>
      </c>
      <c r="H226" s="2">
        <v>1.4033</v>
      </c>
      <c r="I226" s="130">
        <v>0.75</v>
      </c>
      <c r="J226" s="91">
        <v>4780</v>
      </c>
      <c r="K226" s="2">
        <v>36.51</v>
      </c>
    </row>
    <row r="227" spans="2:11">
      <c r="B227" s="2" t="s">
        <v>586</v>
      </c>
      <c r="C227" s="9">
        <f>P29/24</f>
        <v>623.86580883751901</v>
      </c>
      <c r="D227" s="2">
        <v>1</v>
      </c>
      <c r="E227" s="2">
        <v>1.5</v>
      </c>
      <c r="F227" s="2">
        <v>35</v>
      </c>
      <c r="G227" s="2">
        <v>3.081</v>
      </c>
      <c r="H227" s="2">
        <v>0.21329999999999999</v>
      </c>
      <c r="I227" s="130">
        <v>0.75</v>
      </c>
      <c r="J227" s="91">
        <v>4560</v>
      </c>
      <c r="K227" s="2">
        <v>36</v>
      </c>
    </row>
    <row r="228" spans="2:11">
      <c r="B228" s="2"/>
      <c r="C228" s="9"/>
      <c r="D228" s="2"/>
      <c r="E228" s="2"/>
      <c r="F228" s="2"/>
      <c r="G228" s="2"/>
      <c r="H228" s="2"/>
      <c r="I228" s="130"/>
      <c r="J228" s="91"/>
      <c r="K228" s="2"/>
    </row>
    <row r="229" spans="2:11">
      <c r="B229" s="2" t="s">
        <v>612</v>
      </c>
      <c r="C229" s="9">
        <f>R29/24</f>
        <v>802.45996835477001</v>
      </c>
      <c r="D229" s="2">
        <v>1</v>
      </c>
      <c r="E229" s="2">
        <v>1.29</v>
      </c>
      <c r="F229" s="2">
        <v>50</v>
      </c>
      <c r="G229" s="2">
        <v>5.1210000000000004</v>
      </c>
      <c r="H229" s="2">
        <v>0.6835</v>
      </c>
      <c r="I229" s="130">
        <v>0.75</v>
      </c>
      <c r="J229" s="91">
        <v>4780</v>
      </c>
      <c r="K229" s="2">
        <v>36.51</v>
      </c>
    </row>
    <row r="230" spans="2:11">
      <c r="B230" s="2" t="s">
        <v>611</v>
      </c>
      <c r="C230" s="9">
        <f>Q29/24</f>
        <v>798.90953553082181</v>
      </c>
      <c r="D230" s="2">
        <v>1</v>
      </c>
      <c r="E230" s="2">
        <v>1.5</v>
      </c>
      <c r="F230" s="2">
        <v>25</v>
      </c>
      <c r="G230" s="2">
        <v>5.1139999999999999</v>
      </c>
      <c r="H230" s="2">
        <v>0.88680000000000003</v>
      </c>
      <c r="I230" s="130">
        <v>0.75</v>
      </c>
      <c r="J230" s="91">
        <v>4780</v>
      </c>
      <c r="K230" s="2">
        <v>36.51</v>
      </c>
    </row>
    <row r="231" spans="2:11">
      <c r="B231" s="2" t="s">
        <v>614</v>
      </c>
      <c r="C231" s="9">
        <f>T29/24</f>
        <v>33.340493682964855</v>
      </c>
      <c r="D231" s="2">
        <v>1</v>
      </c>
      <c r="E231" s="2">
        <v>1.29</v>
      </c>
      <c r="F231" s="2">
        <v>96</v>
      </c>
      <c r="G231" s="2">
        <v>5.1360000000000001</v>
      </c>
      <c r="H231" s="2">
        <v>1.5678000000000001</v>
      </c>
      <c r="I231" s="130">
        <v>0.75</v>
      </c>
      <c r="J231" s="91">
        <v>4780</v>
      </c>
      <c r="K231" s="2">
        <v>36.51</v>
      </c>
    </row>
    <row r="233" spans="2:11">
      <c r="B233" s="292" t="s">
        <v>685</v>
      </c>
      <c r="C233" s="292"/>
      <c r="D233" s="292"/>
      <c r="E233" s="292"/>
      <c r="F233" s="292"/>
      <c r="G233" s="292"/>
      <c r="H233" s="292"/>
      <c r="I233" s="292"/>
      <c r="J233" s="292"/>
      <c r="K233" s="292"/>
    </row>
    <row r="234" spans="2:11" ht="17.25">
      <c r="B234" s="2" t="s">
        <v>555</v>
      </c>
      <c r="C234" s="2" t="s">
        <v>202</v>
      </c>
      <c r="D234" s="2" t="s">
        <v>548</v>
      </c>
      <c r="E234" s="2" t="s">
        <v>556</v>
      </c>
      <c r="F234" s="2" t="s">
        <v>557</v>
      </c>
      <c r="G234" s="2" t="s">
        <v>558</v>
      </c>
      <c r="H234" s="2" t="s">
        <v>559</v>
      </c>
      <c r="I234" s="2" t="s">
        <v>560</v>
      </c>
      <c r="J234" s="2" t="s">
        <v>561</v>
      </c>
      <c r="K234" s="2"/>
    </row>
    <row r="235" spans="2:11">
      <c r="B235" s="9">
        <f>O29/24</f>
        <v>1422.7753443683407</v>
      </c>
      <c r="C235" s="2">
        <f>O72</f>
        <v>1</v>
      </c>
      <c r="D235" s="2">
        <v>35</v>
      </c>
      <c r="E235" s="9">
        <f>O73</f>
        <v>1.4227753443683409</v>
      </c>
      <c r="F235" s="2">
        <v>2.286</v>
      </c>
      <c r="G235" s="2">
        <v>0.30480000000000002</v>
      </c>
      <c r="H235" s="2"/>
      <c r="I235" s="2"/>
      <c r="J235" s="91">
        <v>47000</v>
      </c>
      <c r="K235" s="2"/>
    </row>
    <row r="237" spans="2:11">
      <c r="B237" s="292" t="s">
        <v>310</v>
      </c>
      <c r="C237" s="292"/>
      <c r="D237" s="292"/>
      <c r="E237" s="292"/>
      <c r="F237" s="292"/>
      <c r="G237" s="292"/>
      <c r="H237" s="292"/>
      <c r="I237" s="292"/>
      <c r="J237" s="292"/>
      <c r="K237" s="292"/>
    </row>
    <row r="238" spans="2:11" ht="17.25">
      <c r="B238" s="2" t="s">
        <v>555</v>
      </c>
      <c r="C238" s="2" t="s">
        <v>202</v>
      </c>
      <c r="D238" s="2" t="s">
        <v>548</v>
      </c>
      <c r="E238" s="2" t="s">
        <v>556</v>
      </c>
      <c r="F238" s="2" t="s">
        <v>557</v>
      </c>
      <c r="G238" s="2" t="s">
        <v>558</v>
      </c>
      <c r="H238" s="2" t="s">
        <v>559</v>
      </c>
      <c r="I238" s="2" t="s">
        <v>560</v>
      </c>
      <c r="J238" s="2" t="s">
        <v>561</v>
      </c>
      <c r="K238" s="2"/>
    </row>
    <row r="239" spans="2:11">
      <c r="B239" s="9">
        <f>R29/24</f>
        <v>802.45996835477001</v>
      </c>
      <c r="C239" s="2">
        <f>O67</f>
        <v>4</v>
      </c>
      <c r="D239" s="2">
        <v>50</v>
      </c>
      <c r="E239" s="9">
        <f>O68</f>
        <v>3.2098398734190803</v>
      </c>
      <c r="F239" s="2">
        <v>2.44</v>
      </c>
      <c r="G239" s="2">
        <v>0.4572</v>
      </c>
      <c r="H239" s="2"/>
      <c r="I239" s="2"/>
      <c r="J239" s="91">
        <v>64500</v>
      </c>
      <c r="K239" s="2"/>
    </row>
    <row r="241" spans="1:11">
      <c r="B241" s="292" t="s">
        <v>566</v>
      </c>
      <c r="C241" s="292"/>
      <c r="D241" s="292"/>
      <c r="E241" s="292"/>
      <c r="F241" s="292"/>
      <c r="G241" s="292"/>
      <c r="H241" s="292"/>
      <c r="I241" s="292"/>
      <c r="J241" s="292"/>
      <c r="K241" s="292"/>
    </row>
    <row r="242" spans="1:11">
      <c r="B242" s="2" t="s">
        <v>582</v>
      </c>
      <c r="C242" s="2" t="s">
        <v>583</v>
      </c>
      <c r="D242" s="2" t="s">
        <v>584</v>
      </c>
      <c r="E242" s="2"/>
      <c r="F242" s="2"/>
      <c r="G242" s="2" t="s">
        <v>558</v>
      </c>
      <c r="H242" s="2" t="s">
        <v>559</v>
      </c>
      <c r="I242" s="2"/>
      <c r="J242" s="2" t="s">
        <v>561</v>
      </c>
      <c r="K242" s="2"/>
    </row>
    <row r="243" spans="1:11">
      <c r="B243" s="9">
        <f>O29/24</f>
        <v>1422.7753443683407</v>
      </c>
      <c r="C243" s="9">
        <f>Q29/24</f>
        <v>798.90953553082181</v>
      </c>
      <c r="D243" s="9">
        <f>P29/24</f>
        <v>623.86580883751901</v>
      </c>
      <c r="E243" s="9"/>
      <c r="F243" s="2"/>
      <c r="G243" s="2">
        <v>0.254</v>
      </c>
      <c r="H243" s="2">
        <v>44.91</v>
      </c>
      <c r="I243" s="2"/>
      <c r="J243" s="91">
        <v>274000</v>
      </c>
      <c r="K243" s="2"/>
    </row>
    <row r="245" spans="1:11">
      <c r="B245" s="292" t="s">
        <v>686</v>
      </c>
      <c r="C245" s="292"/>
      <c r="D245" s="292"/>
      <c r="E245" s="292"/>
      <c r="F245" s="292"/>
      <c r="G245" s="292"/>
      <c r="H245" s="292"/>
      <c r="I245" s="292"/>
      <c r="J245" s="292"/>
      <c r="K245" s="292"/>
    </row>
    <row r="246" spans="1:11" ht="17.25">
      <c r="B246" s="2" t="s">
        <v>555</v>
      </c>
      <c r="C246" s="2" t="s">
        <v>202</v>
      </c>
      <c r="D246" s="2" t="s">
        <v>548</v>
      </c>
      <c r="E246" s="2" t="s">
        <v>556</v>
      </c>
      <c r="F246" s="2" t="s">
        <v>557</v>
      </c>
      <c r="G246" s="2" t="s">
        <v>558</v>
      </c>
      <c r="H246" s="2" t="s">
        <v>559</v>
      </c>
      <c r="I246" s="2"/>
      <c r="J246" s="2" t="s">
        <v>561</v>
      </c>
      <c r="K246" s="2"/>
    </row>
    <row r="247" spans="1:11">
      <c r="A247" s="75" t="s">
        <v>67</v>
      </c>
      <c r="B247" s="9">
        <f>T29/24</f>
        <v>33.340493682964855</v>
      </c>
      <c r="C247" s="2">
        <v>24</v>
      </c>
      <c r="D247" s="2">
        <v>25</v>
      </c>
      <c r="E247" s="9">
        <f>T67</f>
        <v>0.8001718483911564</v>
      </c>
      <c r="F247" s="2">
        <v>1.8360000000000001</v>
      </c>
      <c r="G247" s="2">
        <v>1.224</v>
      </c>
      <c r="H247" s="2">
        <v>35.119999999999997</v>
      </c>
      <c r="I247" s="2"/>
      <c r="J247" s="91">
        <v>14400</v>
      </c>
      <c r="K247" s="2"/>
    </row>
    <row r="248" spans="1:11">
      <c r="A248" s="75" t="s">
        <v>69</v>
      </c>
      <c r="B248" s="9">
        <f>R29/24</f>
        <v>802.45996835477001</v>
      </c>
      <c r="C248" s="2">
        <v>24</v>
      </c>
      <c r="D248" s="2">
        <v>25</v>
      </c>
      <c r="E248" s="9">
        <f>T72</f>
        <v>19.259039240514483</v>
      </c>
      <c r="F248" s="2">
        <v>3.806</v>
      </c>
      <c r="G248" s="2">
        <v>2.5369999999999999</v>
      </c>
      <c r="H248" s="2">
        <v>35.119999999999997</v>
      </c>
      <c r="I248" s="1"/>
      <c r="J248" s="91">
        <v>29500</v>
      </c>
      <c r="K248" s="1"/>
    </row>
  </sheetData>
  <mergeCells count="101">
    <mergeCell ref="U3:AG3"/>
    <mergeCell ref="N5:O5"/>
    <mergeCell ref="V5:X5"/>
    <mergeCell ref="Y5:AA5"/>
    <mergeCell ref="AB5:AD5"/>
    <mergeCell ref="N10:O10"/>
    <mergeCell ref="B34:B35"/>
    <mergeCell ref="X34:Z34"/>
    <mergeCell ref="AB34:AD34"/>
    <mergeCell ref="B36:B37"/>
    <mergeCell ref="B38:B39"/>
    <mergeCell ref="AB38:AD38"/>
    <mergeCell ref="AB11:AD11"/>
    <mergeCell ref="AB16:AD16"/>
    <mergeCell ref="X26:Z26"/>
    <mergeCell ref="AB26:AD26"/>
    <mergeCell ref="B28:B29"/>
    <mergeCell ref="B32:B33"/>
    <mergeCell ref="B48:B49"/>
    <mergeCell ref="AB48:AD48"/>
    <mergeCell ref="AB49:AB50"/>
    <mergeCell ref="X51:Z51"/>
    <mergeCell ref="B52:D52"/>
    <mergeCell ref="AB52:AB54"/>
    <mergeCell ref="B54:E54"/>
    <mergeCell ref="B40:B41"/>
    <mergeCell ref="B42:B43"/>
    <mergeCell ref="X43:Z43"/>
    <mergeCell ref="AB43:AD43"/>
    <mergeCell ref="B44:B45"/>
    <mergeCell ref="B46:B47"/>
    <mergeCell ref="B62:P62"/>
    <mergeCell ref="X62:AD62"/>
    <mergeCell ref="B64:D64"/>
    <mergeCell ref="F64:H64"/>
    <mergeCell ref="J64:L64"/>
    <mergeCell ref="N64:P64"/>
    <mergeCell ref="S64:U64"/>
    <mergeCell ref="X64:X65"/>
    <mergeCell ref="AB64:AD64"/>
    <mergeCell ref="AB65:AB66"/>
    <mergeCell ref="B75:P75"/>
    <mergeCell ref="AB75:AB76"/>
    <mergeCell ref="B77:G77"/>
    <mergeCell ref="I77:P77"/>
    <mergeCell ref="C78:D78"/>
    <mergeCell ref="F78:G78"/>
    <mergeCell ref="K78:L78"/>
    <mergeCell ref="J69:L69"/>
    <mergeCell ref="S69:U69"/>
    <mergeCell ref="F70:H70"/>
    <mergeCell ref="N70:P70"/>
    <mergeCell ref="B72:D72"/>
    <mergeCell ref="AB72:AD72"/>
    <mergeCell ref="B105:C105"/>
    <mergeCell ref="B106:D106"/>
    <mergeCell ref="I106:M106"/>
    <mergeCell ref="B108:D108"/>
    <mergeCell ref="B119:D119"/>
    <mergeCell ref="B121:B122"/>
    <mergeCell ref="X79:AD79"/>
    <mergeCell ref="X81:X82"/>
    <mergeCell ref="AB81:AD81"/>
    <mergeCell ref="AB82:AB83"/>
    <mergeCell ref="AB89:AD89"/>
    <mergeCell ref="AB92:AB93"/>
    <mergeCell ref="U132:W132"/>
    <mergeCell ref="Z132:AA132"/>
    <mergeCell ref="AB132:AC132"/>
    <mergeCell ref="AD132:AE132"/>
    <mergeCell ref="B135:B136"/>
    <mergeCell ref="V135:W135"/>
    <mergeCell ref="R136:S136"/>
    <mergeCell ref="I123:M123"/>
    <mergeCell ref="B124:B125"/>
    <mergeCell ref="B127:B128"/>
    <mergeCell ref="B131:B133"/>
    <mergeCell ref="I132:N132"/>
    <mergeCell ref="Q132:S132"/>
    <mergeCell ref="B174:I174"/>
    <mergeCell ref="K174:R174"/>
    <mergeCell ref="C185:F185"/>
    <mergeCell ref="C186:F186"/>
    <mergeCell ref="C187:F187"/>
    <mergeCell ref="C188:F188"/>
    <mergeCell ref="B138:B139"/>
    <mergeCell ref="B142:B143"/>
    <mergeCell ref="B145:D145"/>
    <mergeCell ref="B156:D156"/>
    <mergeCell ref="I161:L161"/>
    <mergeCell ref="B169:B170"/>
    <mergeCell ref="B233:K233"/>
    <mergeCell ref="B237:K237"/>
    <mergeCell ref="B241:K241"/>
    <mergeCell ref="B245:K245"/>
    <mergeCell ref="C189:F189"/>
    <mergeCell ref="B194:P194"/>
    <mergeCell ref="B209:B210"/>
    <mergeCell ref="B211:B212"/>
    <mergeCell ref="B216:P216"/>
    <mergeCell ref="B218:K218"/>
  </mergeCells>
  <hyperlinks>
    <hyperlink ref="AA22" r:id="rId1" xr:uid="{985500BF-E8FC-486C-BA23-A4412FEC5476}"/>
    <hyperlink ref="R176" r:id="rId2" display="https://blogs.worldbank.org/opendata/fertilizer-prices-expected-remain-higher-longer" xr:uid="{DC028E27-F196-4F27-BE0F-EADBAEBB0A6A}"/>
    <hyperlink ref="H178" r:id="rId3" xr:uid="{9F5D1515-039E-4B8F-9B55-84AF7C0D6A1B}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DE33-ECE2-4FBC-BCE6-7C6DAC60B118}">
  <sheetPr codeName="Hoja9"/>
  <dimension ref="A3:AG248"/>
  <sheetViews>
    <sheetView topLeftCell="A193" zoomScale="60" zoomScaleNormal="60" workbookViewId="0">
      <selection activeCell="J243" sqref="J243"/>
    </sheetView>
  </sheetViews>
  <sheetFormatPr defaultColWidth="11.42578125" defaultRowHeight="15"/>
  <cols>
    <col min="2" max="2" width="25.42578125" customWidth="1"/>
    <col min="3" max="3" width="15.5703125" bestFit="1" customWidth="1"/>
    <col min="4" max="6" width="14.5703125" bestFit="1" customWidth="1"/>
    <col min="7" max="7" width="14.42578125" bestFit="1" customWidth="1"/>
    <col min="8" max="8" width="22.85546875" bestFit="1" customWidth="1"/>
    <col min="9" max="9" width="18.5703125" bestFit="1" customWidth="1"/>
    <col min="10" max="10" width="50.85546875" customWidth="1"/>
    <col min="11" max="11" width="15.42578125" bestFit="1" customWidth="1"/>
    <col min="12" max="12" width="18.5703125" customWidth="1"/>
    <col min="13" max="13" width="16.5703125" bestFit="1" customWidth="1"/>
    <col min="14" max="14" width="18.7109375" bestFit="1" customWidth="1"/>
    <col min="15" max="15" width="18" bestFit="1" customWidth="1"/>
    <col min="16" max="16" width="17" customWidth="1"/>
    <col min="17" max="17" width="15" bestFit="1" customWidth="1"/>
    <col min="18" max="18" width="15" customWidth="1"/>
    <col min="19" max="19" width="16" bestFit="1" customWidth="1"/>
    <col min="20" max="20" width="20.5703125" bestFit="1" customWidth="1"/>
    <col min="21" max="21" width="20.85546875" bestFit="1" customWidth="1"/>
    <col min="22" max="22" width="15.5703125" bestFit="1" customWidth="1"/>
    <col min="24" max="24" width="18.5703125" bestFit="1" customWidth="1"/>
    <col min="29" max="29" width="16.7109375" bestFit="1" customWidth="1"/>
    <col min="30" max="30" width="25.85546875" bestFit="1" customWidth="1"/>
  </cols>
  <sheetData>
    <row r="3" spans="11:33" ht="20.25" thickBot="1">
      <c r="U3" s="317" t="s">
        <v>585</v>
      </c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</row>
    <row r="4" spans="11:33" ht="15.75" thickTop="1"/>
    <row r="5" spans="11:33">
      <c r="N5" s="298" t="s">
        <v>240</v>
      </c>
      <c r="O5" s="298"/>
      <c r="V5" s="314" t="s">
        <v>586</v>
      </c>
      <c r="W5" s="314"/>
      <c r="X5" s="314"/>
      <c r="Y5" s="314" t="s">
        <v>587</v>
      </c>
      <c r="Z5" s="314"/>
      <c r="AA5" s="314"/>
      <c r="AB5" s="314" t="s">
        <v>588</v>
      </c>
      <c r="AC5" s="314"/>
      <c r="AD5" s="314"/>
      <c r="AF5" s="161">
        <f>(Y8/V8)</f>
        <v>0.94078866880974454</v>
      </c>
    </row>
    <row r="6" spans="11:33">
      <c r="K6" s="75"/>
      <c r="N6" s="55" t="s">
        <v>241</v>
      </c>
      <c r="O6" s="2">
        <v>71.7</v>
      </c>
      <c r="V6" s="120" t="s">
        <v>274</v>
      </c>
      <c r="W6" s="120" t="s">
        <v>589</v>
      </c>
      <c r="X6" s="120" t="s">
        <v>590</v>
      </c>
      <c r="Y6" s="120" t="s">
        <v>274</v>
      </c>
      <c r="Z6" s="120" t="s">
        <v>589</v>
      </c>
      <c r="AA6" s="120" t="s">
        <v>591</v>
      </c>
      <c r="AB6" s="120" t="s">
        <v>274</v>
      </c>
      <c r="AC6" s="120" t="s">
        <v>589</v>
      </c>
      <c r="AD6" s="120" t="s">
        <v>592</v>
      </c>
    </row>
    <row r="7" spans="11:33">
      <c r="N7" s="55" t="s">
        <v>242</v>
      </c>
      <c r="O7" s="2">
        <v>42.3</v>
      </c>
      <c r="T7" s="161">
        <f>(Y7/V7)</f>
        <v>0.8070271936985326</v>
      </c>
      <c r="U7" s="119" t="s">
        <v>277</v>
      </c>
      <c r="V7" s="9">
        <f>P30</f>
        <v>1988.5039791318463</v>
      </c>
      <c r="W7" s="9">
        <f>V7/18</f>
        <v>110.47244328510257</v>
      </c>
      <c r="X7" s="9">
        <f>W7/W9</f>
        <v>0.84893784421715179</v>
      </c>
      <c r="Y7" s="9">
        <f>Z7*18</f>
        <v>1604.7767859371393</v>
      </c>
      <c r="Z7" s="9">
        <f>$Z$9*AA7</f>
        <v>89.154265885396626</v>
      </c>
      <c r="AA7" s="9">
        <f>AD7*AD18</f>
        <v>0.82944333510910873</v>
      </c>
      <c r="AB7" s="9">
        <f>AC7*18</f>
        <v>383.72719319470696</v>
      </c>
      <c r="AC7" s="9">
        <f>$AC$9*AD7</f>
        <v>21.318177399705942</v>
      </c>
      <c r="AD7" s="9">
        <f>X7/(1+$Y$17*(AD18-1))</f>
        <v>0.94147743005700135</v>
      </c>
    </row>
    <row r="8" spans="11:33">
      <c r="N8" s="55" t="s">
        <v>243</v>
      </c>
      <c r="O8" s="2">
        <v>33.4</v>
      </c>
      <c r="S8" s="114"/>
      <c r="T8" s="161">
        <f t="shared" ref="T8:T9" si="0">(Y8/V8)</f>
        <v>0.94078866880974454</v>
      </c>
      <c r="U8" s="119" t="s">
        <v>593</v>
      </c>
      <c r="V8" s="9">
        <f>P31</f>
        <v>1142.1151059629065</v>
      </c>
      <c r="W8" s="9">
        <f>V8/58.1</f>
        <v>19.657747090583587</v>
      </c>
      <c r="X8" s="9">
        <f>W8/W9</f>
        <v>0.15106215578284812</v>
      </c>
      <c r="Y8" s="9">
        <f>Z8*58.1</f>
        <v>1074.4889501663431</v>
      </c>
      <c r="Z8" s="9">
        <f>$Z$9*AA8</f>
        <v>18.493785717148761</v>
      </c>
      <c r="AA8" s="9">
        <f>AD8*AD19</f>
        <v>0.17205623479355764</v>
      </c>
      <c r="AB8" s="9">
        <f>AC8*58.1</f>
        <v>67.626155796563552</v>
      </c>
      <c r="AC8" s="9">
        <f>$AC$9*AD8</f>
        <v>1.1639613734348289</v>
      </c>
      <c r="AD8" s="9">
        <f>X8/(1+$Y$17*(AD19-1))</f>
        <v>5.1404176914399642E-2</v>
      </c>
    </row>
    <row r="9" spans="11:33">
      <c r="S9" s="114"/>
      <c r="T9" s="161">
        <f t="shared" si="0"/>
        <v>0.80524099638587421</v>
      </c>
      <c r="U9" s="119" t="s">
        <v>125</v>
      </c>
      <c r="V9" s="9">
        <f>P29</f>
        <v>3327.2843138001003</v>
      </c>
      <c r="W9" s="9">
        <f>W7+W8</f>
        <v>130.13019037568617</v>
      </c>
      <c r="X9" s="9">
        <f>X7+X8</f>
        <v>0.99999999999999989</v>
      </c>
      <c r="Y9" s="9">
        <f>Y7+Y8</f>
        <v>2679.2657361034826</v>
      </c>
      <c r="Z9" s="9">
        <f>W9*Y17</f>
        <v>107.48686753106392</v>
      </c>
      <c r="AA9" s="9">
        <f>SUM(AA7:AA8)</f>
        <v>1.0014995699026663</v>
      </c>
      <c r="AB9" s="9">
        <f>AB7+AB8</f>
        <v>451.35334899127054</v>
      </c>
      <c r="AC9" s="9">
        <f>W9-Z9</f>
        <v>22.643322844622247</v>
      </c>
      <c r="AD9" s="9">
        <f>AD7+AD8</f>
        <v>0.99288160697140104</v>
      </c>
    </row>
    <row r="10" spans="11:33">
      <c r="N10" s="298" t="s">
        <v>594</v>
      </c>
      <c r="O10" s="298"/>
      <c r="S10" s="114"/>
      <c r="T10" s="115"/>
    </row>
    <row r="11" spans="11:33">
      <c r="N11" s="55" t="s">
        <v>241</v>
      </c>
      <c r="O11" s="2">
        <v>50</v>
      </c>
      <c r="Y11" s="8"/>
      <c r="AB11" s="314" t="s">
        <v>595</v>
      </c>
      <c r="AC11" s="314"/>
      <c r="AD11" s="314"/>
      <c r="AG11" s="113" t="s">
        <v>596</v>
      </c>
    </row>
    <row r="12" spans="11:33">
      <c r="N12" s="55" t="s">
        <v>242</v>
      </c>
      <c r="O12" s="2">
        <v>50</v>
      </c>
      <c r="AB12" s="120" t="s">
        <v>597</v>
      </c>
      <c r="AC12" s="120" t="s">
        <v>469</v>
      </c>
      <c r="AD12" s="120" t="s">
        <v>270</v>
      </c>
      <c r="AG12" s="2" t="s">
        <v>598</v>
      </c>
    </row>
    <row r="13" spans="11:33">
      <c r="N13" s="55" t="s">
        <v>243</v>
      </c>
      <c r="O13" s="2">
        <v>50</v>
      </c>
      <c r="AA13" s="121" t="s">
        <v>277</v>
      </c>
      <c r="AB13" s="2">
        <v>8.0713000000000008</v>
      </c>
      <c r="AC13" s="2">
        <v>1730.63</v>
      </c>
      <c r="AD13" s="2">
        <v>233.42599999999999</v>
      </c>
      <c r="AF13" s="121" t="s">
        <v>277</v>
      </c>
      <c r="AG13" s="117">
        <f>X7*(1-AD18)/(1+$Y$17*(AD18-1))</f>
        <v>0.11203409494789264</v>
      </c>
    </row>
    <row r="14" spans="11:33">
      <c r="N14" s="55" t="s">
        <v>599</v>
      </c>
      <c r="O14" s="2">
        <v>10</v>
      </c>
      <c r="P14" s="60" t="s">
        <v>600</v>
      </c>
      <c r="S14" s="8"/>
      <c r="X14" s="122" t="s">
        <v>548</v>
      </c>
      <c r="Y14" s="122" t="s">
        <v>601</v>
      </c>
      <c r="AA14" s="121" t="s">
        <v>593</v>
      </c>
      <c r="AB14" s="2">
        <v>7.1170999999999998</v>
      </c>
      <c r="AC14" s="2">
        <v>1210.595</v>
      </c>
      <c r="AD14" s="2">
        <v>229.66399999999999</v>
      </c>
      <c r="AF14" s="121" t="s">
        <v>593</v>
      </c>
      <c r="AG14" s="117">
        <f>X8*(1-AD19)/(1+$Y$17*(AD19-1))</f>
        <v>-0.120652057879158</v>
      </c>
    </row>
    <row r="15" spans="11:33">
      <c r="X15" s="2">
        <v>96.5</v>
      </c>
      <c r="Y15" s="2">
        <v>1</v>
      </c>
      <c r="AG15" s="118">
        <f>SUM(AG13:AG14)</f>
        <v>-8.6179629312653633E-3</v>
      </c>
    </row>
    <row r="16" spans="11:33">
      <c r="AB16" s="314" t="s">
        <v>602</v>
      </c>
      <c r="AC16" s="314"/>
      <c r="AD16" s="314"/>
    </row>
    <row r="17" spans="2:30">
      <c r="X17" s="73" t="s">
        <v>603</v>
      </c>
      <c r="Y17" s="9">
        <v>0.82599485346750878</v>
      </c>
      <c r="AB17" s="120" t="s">
        <v>604</v>
      </c>
      <c r="AC17" s="120" t="s">
        <v>605</v>
      </c>
      <c r="AD17" s="120" t="s">
        <v>30</v>
      </c>
    </row>
    <row r="18" spans="2:30">
      <c r="AA18" s="121" t="s">
        <v>606</v>
      </c>
      <c r="AB18" s="9">
        <f>10^(AB13-(AC13/($X$15+AD13)))</f>
        <v>669.56138783354231</v>
      </c>
      <c r="AC18" s="116" t="s">
        <v>12</v>
      </c>
      <c r="AD18" s="116">
        <f>AB18/($Y$15*760)</f>
        <v>0.88100182609676625</v>
      </c>
    </row>
    <row r="19" spans="2:30">
      <c r="AA19" s="121" t="s">
        <v>593</v>
      </c>
      <c r="AB19" s="9">
        <f>10^(AB14-(AC14/($X$15+AD14)))</f>
        <v>2543.8154308132453</v>
      </c>
      <c r="AC19" s="116" t="s">
        <v>12</v>
      </c>
      <c r="AD19" s="116">
        <f>AB19/($Y$15*760)</f>
        <v>3.3471255668595332</v>
      </c>
    </row>
    <row r="21" spans="2:30">
      <c r="B21" s="61"/>
      <c r="S21" s="8"/>
    </row>
    <row r="22" spans="2:30">
      <c r="B22" s="61"/>
      <c r="O22" s="9" t="s">
        <v>607</v>
      </c>
      <c r="S22" s="8"/>
      <c r="T22" s="2" t="s">
        <v>67</v>
      </c>
      <c r="AA22" s="111" t="s">
        <v>608</v>
      </c>
    </row>
    <row r="23" spans="2:30">
      <c r="B23" s="61"/>
      <c r="O23" s="199">
        <f>O29/O30</f>
        <v>1.6732600732600733</v>
      </c>
      <c r="P23" s="8"/>
      <c r="Q23" s="8"/>
      <c r="T23" s="228">
        <f>(T38/T29)</f>
        <v>1.1573213427053733E-2</v>
      </c>
      <c r="AA23" t="s">
        <v>609</v>
      </c>
    </row>
    <row r="24" spans="2:30">
      <c r="B24" s="8"/>
      <c r="M24" s="8"/>
      <c r="N24" s="8"/>
      <c r="O24" s="199">
        <f>O29/O31</f>
        <v>2.9132653061224492</v>
      </c>
      <c r="P24" s="8"/>
      <c r="Q24" s="8"/>
      <c r="T24" s="178">
        <f>(T31/T29)</f>
        <v>0.14982974192548085</v>
      </c>
    </row>
    <row r="26" spans="2:30">
      <c r="D26" s="3" t="s">
        <v>245</v>
      </c>
      <c r="E26" s="3" t="s">
        <v>246</v>
      </c>
      <c r="F26" s="3" t="s">
        <v>247</v>
      </c>
      <c r="G26" s="3" t="s">
        <v>248</v>
      </c>
      <c r="H26" s="3" t="s">
        <v>249</v>
      </c>
      <c r="I26" s="3" t="s">
        <v>250</v>
      </c>
      <c r="J26" s="3" t="s">
        <v>251</v>
      </c>
      <c r="K26" s="3" t="s">
        <v>252</v>
      </c>
      <c r="L26" s="3" t="s">
        <v>253</v>
      </c>
      <c r="M26" s="3" t="s">
        <v>254</v>
      </c>
      <c r="N26" s="3" t="s">
        <v>255</v>
      </c>
      <c r="O26" s="3" t="s">
        <v>610</v>
      </c>
      <c r="P26" s="3" t="s">
        <v>586</v>
      </c>
      <c r="Q26" s="3" t="s">
        <v>611</v>
      </c>
      <c r="R26" s="3" t="s">
        <v>612</v>
      </c>
      <c r="S26" s="3" t="s">
        <v>613</v>
      </c>
      <c r="T26" s="3" t="s">
        <v>614</v>
      </c>
      <c r="X26" s="328" t="s">
        <v>256</v>
      </c>
      <c r="Y26" s="329"/>
      <c r="Z26" s="330"/>
      <c r="AB26" s="328" t="s">
        <v>257</v>
      </c>
      <c r="AC26" s="329"/>
      <c r="AD26" s="330"/>
    </row>
    <row r="27" spans="2:30">
      <c r="D27" s="4" t="s">
        <v>258</v>
      </c>
      <c r="E27" s="4" t="s">
        <v>259</v>
      </c>
      <c r="F27" s="4" t="s">
        <v>260</v>
      </c>
      <c r="G27" s="4" t="s">
        <v>261</v>
      </c>
      <c r="H27" s="4" t="s">
        <v>262</v>
      </c>
      <c r="I27" s="4" t="s">
        <v>263</v>
      </c>
      <c r="J27" s="11" t="s">
        <v>264</v>
      </c>
      <c r="K27" s="4" t="s">
        <v>265</v>
      </c>
      <c r="L27" s="4" t="s">
        <v>266</v>
      </c>
      <c r="M27" s="4" t="s">
        <v>267</v>
      </c>
      <c r="N27" s="4" t="s">
        <v>593</v>
      </c>
      <c r="O27" s="11" t="s">
        <v>615</v>
      </c>
      <c r="P27" s="11" t="s">
        <v>61</v>
      </c>
      <c r="Q27" s="11" t="s">
        <v>616</v>
      </c>
      <c r="R27" s="11" t="s">
        <v>63</v>
      </c>
      <c r="S27" s="11" t="s">
        <v>617</v>
      </c>
      <c r="T27" s="11" t="s">
        <v>618</v>
      </c>
      <c r="X27" s="6" t="s">
        <v>268</v>
      </c>
      <c r="Y27" s="5">
        <v>8400</v>
      </c>
      <c r="Z27" s="5" t="s">
        <v>269</v>
      </c>
      <c r="AB27" s="6" t="s">
        <v>270</v>
      </c>
      <c r="AC27" s="5">
        <v>37.86</v>
      </c>
      <c r="AD27" s="5" t="s">
        <v>17</v>
      </c>
    </row>
    <row r="28" spans="2:30" ht="17.25">
      <c r="B28" s="327" t="s">
        <v>271</v>
      </c>
      <c r="C28" s="229" t="s">
        <v>619</v>
      </c>
      <c r="D28" s="18">
        <f>Y32</f>
        <v>37.76931506849315</v>
      </c>
      <c r="E28" s="18">
        <f>G28-(F28+D28)</f>
        <v>221.89472602739724</v>
      </c>
      <c r="F28" s="18">
        <f>I28*(Y36/100)</f>
        <v>118.02910958904108</v>
      </c>
      <c r="G28" s="18">
        <f>D28*Y35</f>
        <v>377.69315068493148</v>
      </c>
      <c r="H28" s="18">
        <f>(AC35*Y39)/1000</f>
        <v>141.63493150684931</v>
      </c>
      <c r="I28" s="18">
        <f>G28-H28</f>
        <v>236.05821917808217</v>
      </c>
      <c r="J28" s="18">
        <f>I28-L28</f>
        <v>231.07476788432265</v>
      </c>
      <c r="K28" s="18">
        <f>J28-F28</f>
        <v>113.04565829528157</v>
      </c>
      <c r="L28" s="18">
        <f>(I28*I33*((Y52)/100))/(Y53*1000)</f>
        <v>4.9834512937595115</v>
      </c>
      <c r="M28" s="18">
        <f>L28</f>
        <v>4.9834512937595115</v>
      </c>
      <c r="N28" s="18">
        <f>AC50</f>
        <v>3.3223008625063413</v>
      </c>
      <c r="O28" s="18">
        <f>O29/1000</f>
        <v>7.5881351699644837</v>
      </c>
      <c r="P28" s="18">
        <f>O28-Q28</f>
        <v>3.3272843138001003</v>
      </c>
      <c r="Q28" s="18">
        <f>(O28*O33*((Y52)/100))/(Y53*1000)</f>
        <v>4.2608508561643834</v>
      </c>
      <c r="R28" s="18">
        <f>R29/1000</f>
        <v>4.3332815337127233</v>
      </c>
      <c r="S28" s="18">
        <f>S29/1000</f>
        <v>2.6792657361034826</v>
      </c>
      <c r="T28" s="18">
        <f>T29/1000</f>
        <v>0.45135334899127055</v>
      </c>
      <c r="X28" s="6" t="s">
        <v>272</v>
      </c>
      <c r="Y28" s="5">
        <v>14260</v>
      </c>
      <c r="Z28" s="5" t="s">
        <v>269</v>
      </c>
      <c r="AB28" s="6" t="s">
        <v>273</v>
      </c>
      <c r="AC28" s="5">
        <v>4.99</v>
      </c>
      <c r="AD28" s="5" t="s">
        <v>17</v>
      </c>
    </row>
    <row r="29" spans="2:30" s="237" customFormat="1">
      <c r="B29" s="327"/>
      <c r="C29" s="235" t="s">
        <v>274</v>
      </c>
      <c r="D29" s="236">
        <f t="shared" ref="D29:M29" si="1">D28*1000</f>
        <v>37769.315068493146</v>
      </c>
      <c r="E29" s="236">
        <f t="shared" si="1"/>
        <v>221894.72602739724</v>
      </c>
      <c r="F29" s="236">
        <f t="shared" si="1"/>
        <v>118029.10958904108</v>
      </c>
      <c r="G29" s="236">
        <f t="shared" si="1"/>
        <v>377693.15068493149</v>
      </c>
      <c r="H29" s="236">
        <f t="shared" si="1"/>
        <v>141634.9315068493</v>
      </c>
      <c r="I29" s="236">
        <f t="shared" si="1"/>
        <v>236058.21917808216</v>
      </c>
      <c r="J29" s="236">
        <f t="shared" si="1"/>
        <v>231074.76788432265</v>
      </c>
      <c r="K29" s="236">
        <f t="shared" si="1"/>
        <v>113045.65829528157</v>
      </c>
      <c r="L29" s="236">
        <f t="shared" si="1"/>
        <v>4983.4512937595118</v>
      </c>
      <c r="M29" s="236">
        <f t="shared" si="1"/>
        <v>4983.4512937595118</v>
      </c>
      <c r="N29" s="236">
        <f>N28*AC55</f>
        <v>2604.6838762049715</v>
      </c>
      <c r="O29" s="236">
        <f>M29+N29</f>
        <v>7588.1351699644838</v>
      </c>
      <c r="P29" s="236">
        <f>P28*1000</f>
        <v>3327.2843138001003</v>
      </c>
      <c r="Q29" s="236">
        <f>Q28*1000</f>
        <v>4260.850856164383</v>
      </c>
      <c r="R29" s="236">
        <f>Q29+O69</f>
        <v>4333.2815337127231</v>
      </c>
      <c r="S29" s="236">
        <f>Y9</f>
        <v>2679.2657361034826</v>
      </c>
      <c r="T29" s="236">
        <f>AB9</f>
        <v>451.35334899127054</v>
      </c>
      <c r="X29" s="238" t="s">
        <v>275</v>
      </c>
      <c r="Y29" s="235">
        <v>5120</v>
      </c>
      <c r="Z29" s="235" t="s">
        <v>269</v>
      </c>
      <c r="AB29" s="238" t="s">
        <v>276</v>
      </c>
      <c r="AC29" s="235">
        <v>1.03</v>
      </c>
      <c r="AD29" s="235" t="s">
        <v>17</v>
      </c>
    </row>
    <row r="30" spans="2:30" s="237" customFormat="1">
      <c r="B30" s="238" t="s">
        <v>277</v>
      </c>
      <c r="C30" s="239" t="s">
        <v>274</v>
      </c>
      <c r="D30" s="240">
        <f>D29-D34</f>
        <v>37452.052821917801</v>
      </c>
      <c r="E30" s="240">
        <f>E29</f>
        <v>221894.72602739724</v>
      </c>
      <c r="F30" s="240">
        <f>F29-F32</f>
        <v>118029.10958904108</v>
      </c>
      <c r="G30" s="240">
        <f>D30+E30+F30</f>
        <v>377375.88843835611</v>
      </c>
      <c r="H30" s="240">
        <f>H29</f>
        <v>141634.9315068493</v>
      </c>
      <c r="I30" s="240">
        <f>I29-I32</f>
        <v>235586.10273972599</v>
      </c>
      <c r="J30" s="240">
        <f>J29-J32</f>
        <v>231074.76788432265</v>
      </c>
      <c r="K30" s="240">
        <f>K29-K32</f>
        <v>113045.65829528157</v>
      </c>
      <c r="L30" s="240">
        <f>L29-L32</f>
        <v>4534.9406773211558</v>
      </c>
      <c r="M30" s="240">
        <f>M29-M32</f>
        <v>4534.9406773211558</v>
      </c>
      <c r="N30" s="240">
        <v>0</v>
      </c>
      <c r="O30" s="240">
        <f>M30+N30</f>
        <v>4534.9406773211558</v>
      </c>
      <c r="P30" s="240">
        <f>P29/O23</f>
        <v>1988.5039791318463</v>
      </c>
      <c r="Q30" s="240">
        <f>O30-P30</f>
        <v>2546.4366981893095</v>
      </c>
      <c r="R30" s="240">
        <f>Q30</f>
        <v>2546.4366981893095</v>
      </c>
      <c r="S30" s="240">
        <f>Y7</f>
        <v>1604.7767859371393</v>
      </c>
      <c r="T30" s="240">
        <f>AB7</f>
        <v>383.72719319470696</v>
      </c>
      <c r="X30" s="238" t="s">
        <v>278</v>
      </c>
      <c r="Y30" s="235">
        <v>3328</v>
      </c>
      <c r="Z30" s="235" t="s">
        <v>269</v>
      </c>
    </row>
    <row r="31" spans="2:30" s="237" customFormat="1">
      <c r="B31" s="238" t="s">
        <v>593</v>
      </c>
      <c r="C31" s="235" t="s">
        <v>274</v>
      </c>
      <c r="D31" s="236">
        <v>0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f>N29</f>
        <v>2604.6838762049715</v>
      </c>
      <c r="O31" s="236">
        <f>N31+M31</f>
        <v>2604.6838762049715</v>
      </c>
      <c r="P31" s="236">
        <f>P29/O24</f>
        <v>1142.1151059629065</v>
      </c>
      <c r="Q31" s="236">
        <f>O31-P31</f>
        <v>1462.5687702420651</v>
      </c>
      <c r="R31" s="236">
        <f>Q31</f>
        <v>1462.5687702420651</v>
      </c>
      <c r="S31" s="236">
        <f>Y8</f>
        <v>1074.4889501663431</v>
      </c>
      <c r="T31" s="236">
        <f>AB8</f>
        <v>67.626155796563552</v>
      </c>
      <c r="V31" s="249" t="s">
        <v>620</v>
      </c>
      <c r="X31" s="238" t="s">
        <v>279</v>
      </c>
      <c r="Y31" s="235">
        <v>76</v>
      </c>
      <c r="Z31" s="235" t="s">
        <v>269</v>
      </c>
      <c r="AB31" s="238" t="s">
        <v>280</v>
      </c>
      <c r="AC31" s="235">
        <v>100</v>
      </c>
      <c r="AD31" s="235" t="s">
        <v>17</v>
      </c>
    </row>
    <row r="32" spans="2:30" ht="17.25">
      <c r="B32" s="327" t="s">
        <v>281</v>
      </c>
      <c r="C32" s="229" t="s">
        <v>274</v>
      </c>
      <c r="D32" s="18">
        <v>0</v>
      </c>
      <c r="E32" s="18">
        <v>0</v>
      </c>
      <c r="F32" s="18">
        <f>(F28*F33)/1000</f>
        <v>0</v>
      </c>
      <c r="G32" s="18">
        <f>((D28*D32)+(F28*F32)+(E28*E32))/G28</f>
        <v>0</v>
      </c>
      <c r="H32" s="18">
        <v>0</v>
      </c>
      <c r="I32" s="18">
        <f>(I28*I33)/1000</f>
        <v>472.11643835616434</v>
      </c>
      <c r="J32" s="18">
        <f>Y41*AC35*(1-(AC31/100))</f>
        <v>0</v>
      </c>
      <c r="K32" s="18">
        <f>(K33*K28)/1000</f>
        <v>0</v>
      </c>
      <c r="L32" s="18">
        <f>(Y41*AC35*((AC31-AC32)/100))/1000</f>
        <v>448.51061643835607</v>
      </c>
      <c r="M32" s="18">
        <f>L32</f>
        <v>448.51061643835607</v>
      </c>
      <c r="N32" s="18">
        <v>0</v>
      </c>
      <c r="O32" s="18">
        <f>M32*(1-(O14/100))</f>
        <v>403.65955479452049</v>
      </c>
      <c r="P32" s="18">
        <f>O32-Q32</f>
        <v>20.182977739726027</v>
      </c>
      <c r="Q32" s="18">
        <f>O32*((AC31-AC32)/100)</f>
        <v>383.47657705479446</v>
      </c>
      <c r="R32" s="18">
        <f>Q32</f>
        <v>383.47657705479446</v>
      </c>
      <c r="S32" s="18">
        <v>0</v>
      </c>
      <c r="T32" s="18">
        <f>P32</f>
        <v>20.182977739726027</v>
      </c>
      <c r="V32" s="247">
        <f>M34*(8/100)</f>
        <v>35.880849315068488</v>
      </c>
      <c r="X32" s="6" t="s">
        <v>271</v>
      </c>
      <c r="Y32" s="103">
        <v>37.76931506849315</v>
      </c>
      <c r="Z32" s="5" t="s">
        <v>23</v>
      </c>
      <c r="AB32" s="6" t="s">
        <v>282</v>
      </c>
      <c r="AC32" s="5">
        <v>5</v>
      </c>
      <c r="AD32" s="5" t="s">
        <v>17</v>
      </c>
    </row>
    <row r="33" spans="2:30">
      <c r="B33" s="327"/>
      <c r="C33" s="230" t="s">
        <v>269</v>
      </c>
      <c r="D33" s="95">
        <v>0</v>
      </c>
      <c r="E33" s="95">
        <v>0</v>
      </c>
      <c r="F33" s="95">
        <f>J33</f>
        <v>0</v>
      </c>
      <c r="G33" s="95">
        <f>(G32/G28)*1000</f>
        <v>0</v>
      </c>
      <c r="H33" s="95">
        <v>0</v>
      </c>
      <c r="I33" s="95">
        <f>Y40*1000</f>
        <v>2000</v>
      </c>
      <c r="J33" s="95">
        <f>(J32/J28)*1000</f>
        <v>0</v>
      </c>
      <c r="K33" s="95">
        <f>J33</f>
        <v>0</v>
      </c>
      <c r="L33" s="95">
        <f>(L32/L28)*1000</f>
        <v>90000.000000000015</v>
      </c>
      <c r="M33" s="95">
        <f>(M32/M28)*1000</f>
        <v>90000.000000000015</v>
      </c>
      <c r="N33" s="95">
        <v>0</v>
      </c>
      <c r="O33" s="95">
        <f>(O32/O28)*1000</f>
        <v>53196.147110332749</v>
      </c>
      <c r="P33" s="95">
        <f>(P32/$P$28)*1000</f>
        <v>6065.9011482775859</v>
      </c>
      <c r="Q33" s="95">
        <f>(Q32/$Q$28)*1000</f>
        <v>89999.999999999985</v>
      </c>
      <c r="R33" s="95">
        <f>(R32/$R$28)*1000</f>
        <v>88495.652560620627</v>
      </c>
      <c r="S33" s="95">
        <f>(S32/$S$28)*1000</f>
        <v>0</v>
      </c>
      <c r="T33" s="95">
        <f>(T32/$T$28)*1000</f>
        <v>44716.579116634355</v>
      </c>
      <c r="V33" s="249" t="s">
        <v>621</v>
      </c>
    </row>
    <row r="34" spans="2:30" s="237" customFormat="1">
      <c r="B34" s="327" t="s">
        <v>268</v>
      </c>
      <c r="C34" s="239" t="s">
        <v>274</v>
      </c>
      <c r="D34" s="240">
        <f>(D28*D35)/1000</f>
        <v>317.26224657534243</v>
      </c>
      <c r="E34" s="240">
        <v>0</v>
      </c>
      <c r="F34" s="240">
        <f>F32</f>
        <v>0</v>
      </c>
      <c r="G34" s="240">
        <f>D34+E34+F34</f>
        <v>317.26224657534243</v>
      </c>
      <c r="H34" s="240">
        <v>0</v>
      </c>
      <c r="I34" s="240">
        <f>I32</f>
        <v>472.11643835616434</v>
      </c>
      <c r="J34" s="240">
        <f>J32</f>
        <v>0</v>
      </c>
      <c r="K34" s="240">
        <f>K32</f>
        <v>0</v>
      </c>
      <c r="L34" s="240">
        <f>L32</f>
        <v>448.51061643835607</v>
      </c>
      <c r="M34" s="240">
        <f>M32</f>
        <v>448.51061643835607</v>
      </c>
      <c r="N34" s="240">
        <v>0</v>
      </c>
      <c r="O34" s="240">
        <f>O32</f>
        <v>403.65955479452049</v>
      </c>
      <c r="P34" s="240">
        <f>P32</f>
        <v>20.182977739726027</v>
      </c>
      <c r="Q34" s="240">
        <f>Q32</f>
        <v>383.47657705479446</v>
      </c>
      <c r="R34" s="240">
        <f>Q34</f>
        <v>383.47657705479446</v>
      </c>
      <c r="S34" s="240">
        <v>0</v>
      </c>
      <c r="T34" s="240">
        <f>P34</f>
        <v>20.182977739726027</v>
      </c>
      <c r="V34" s="247">
        <f>M38-V32</f>
        <v>6.0739328300571103</v>
      </c>
      <c r="X34" s="336" t="s">
        <v>283</v>
      </c>
      <c r="Y34" s="337"/>
      <c r="Z34" s="338"/>
      <c r="AB34" s="336" t="s">
        <v>284</v>
      </c>
      <c r="AC34" s="337"/>
      <c r="AD34" s="338"/>
    </row>
    <row r="35" spans="2:30" ht="17.25">
      <c r="B35" s="327"/>
      <c r="C35" s="230" t="s">
        <v>269</v>
      </c>
      <c r="D35" s="95">
        <f>Y27</f>
        <v>8400</v>
      </c>
      <c r="E35" s="95">
        <v>0</v>
      </c>
      <c r="F35" s="95">
        <f>F33</f>
        <v>0</v>
      </c>
      <c r="G35" s="95">
        <f>(G34/G28)*1000</f>
        <v>840</v>
      </c>
      <c r="H35" s="95">
        <v>0</v>
      </c>
      <c r="I35" s="95">
        <f>(I34/I28)*1000</f>
        <v>2000</v>
      </c>
      <c r="J35" s="95">
        <f>(J34/J28)*1000</f>
        <v>0</v>
      </c>
      <c r="K35" s="95">
        <f>K33</f>
        <v>0</v>
      </c>
      <c r="L35" s="95">
        <f>(L34/L28)*1000</f>
        <v>90000.000000000015</v>
      </c>
      <c r="M35" s="95">
        <f>(M34/M28)*1000</f>
        <v>90000.000000000015</v>
      </c>
      <c r="N35" s="95">
        <v>0</v>
      </c>
      <c r="O35" s="95">
        <f>(O34/O28)*1000</f>
        <v>53196.147110332749</v>
      </c>
      <c r="P35" s="95">
        <f>(P34/$P$28)*1000</f>
        <v>6065.9011482775859</v>
      </c>
      <c r="Q35" s="95">
        <f>(Q34/$Q$28)*1000</f>
        <v>89999.999999999985</v>
      </c>
      <c r="R35" s="95">
        <f>(R34/$R$28)*1000</f>
        <v>88495.652560620627</v>
      </c>
      <c r="S35" s="95">
        <f>(S34/$S$28)*1000</f>
        <v>0</v>
      </c>
      <c r="T35" s="95">
        <f>(T34/$T$28)*1000</f>
        <v>44716.579116634355</v>
      </c>
      <c r="V35" s="249" t="s">
        <v>622</v>
      </c>
      <c r="X35" s="6" t="s">
        <v>285</v>
      </c>
      <c r="Y35" s="5">
        <v>10</v>
      </c>
      <c r="Z35" s="5" t="s">
        <v>17</v>
      </c>
      <c r="AB35" s="6" t="s">
        <v>286</v>
      </c>
      <c r="AC35" s="9">
        <f>AC36/(Y38/100)</f>
        <v>28326.986301369863</v>
      </c>
      <c r="AD35" s="2" t="s">
        <v>287</v>
      </c>
    </row>
    <row r="36" spans="2:30" s="237" customFormat="1" ht="17.25">
      <c r="B36" s="327" t="s">
        <v>272</v>
      </c>
      <c r="C36" s="239" t="s">
        <v>274</v>
      </c>
      <c r="D36" s="240">
        <f>(D28*D37)/1000</f>
        <v>538.59043287671227</v>
      </c>
      <c r="E36" s="240">
        <v>0</v>
      </c>
      <c r="F36" s="240">
        <f>(F37*F28)/1000</f>
        <v>54.064488343376048</v>
      </c>
      <c r="G36" s="240">
        <f>D36+E36+F36</f>
        <v>592.65492122008834</v>
      </c>
      <c r="H36" s="240">
        <f>G36-I36</f>
        <v>254.42118804794524</v>
      </c>
      <c r="I36" s="240">
        <f>J36+L36</f>
        <v>338.2337331721431</v>
      </c>
      <c r="J36" s="240">
        <f>(J28*J37)/1000</f>
        <v>105.84625384558733</v>
      </c>
      <c r="K36" s="240">
        <f>(K32*(Y47/100))+D36*(1-(AC39/100))*(K30/(L30+K30))</f>
        <v>51.781765502211279</v>
      </c>
      <c r="L36" s="240">
        <f>(L32*(Y47/100))+D36*(1-(AC39/100))*(L30/(L30+K30))</f>
        <v>232.38747932655579</v>
      </c>
      <c r="M36" s="240">
        <f>L36</f>
        <v>232.38747932655579</v>
      </c>
      <c r="N36" s="240">
        <f>N31*((3*12)/58.1)</f>
        <v>1613.9177201958516</v>
      </c>
      <c r="O36" s="240">
        <f>M36+((O31*((3*12))/58.1))</f>
        <v>1846.3051995224073</v>
      </c>
      <c r="P36" s="240">
        <f>$P$32*(Y47/100)+(($M$32-$O$32)*(Y47/100))+D36*(1-(AC39/100))*($L$30/($K$30+$L$30))+((P31*((3*12))/58.1))</f>
        <v>743.15115226992805</v>
      </c>
      <c r="Q36" s="240">
        <f>O36-P36</f>
        <v>1103.1540472524794</v>
      </c>
      <c r="R36" s="240">
        <f>Q36</f>
        <v>1103.1540472524794</v>
      </c>
      <c r="S36" s="240">
        <f>S31*((3*12)/58.1)</f>
        <v>665.77628581735542</v>
      </c>
      <c r="T36" s="240">
        <f>T31*((3*12)/58.1)+D36*(1-(AC39/100))*($L$30/($K$30+$L$30))+(($M$32-$O$32)*(Y47/100))+T32*(Y47/100)</f>
        <v>77.374866452572661</v>
      </c>
      <c r="V36" s="248">
        <f>V34/M30</f>
        <v>1.339363238075488E-3</v>
      </c>
      <c r="X36" s="238" t="s">
        <v>260</v>
      </c>
      <c r="Y36" s="242">
        <v>50</v>
      </c>
      <c r="Z36" s="235" t="s">
        <v>17</v>
      </c>
      <c r="AB36" s="238" t="s">
        <v>288</v>
      </c>
      <c r="AC36" s="243">
        <f>G28*Y37</f>
        <v>1133.0794520547945</v>
      </c>
      <c r="AD36" s="244" t="s">
        <v>623</v>
      </c>
    </row>
    <row r="37" spans="2:30">
      <c r="B37" s="327"/>
      <c r="C37" s="230" t="s">
        <v>269</v>
      </c>
      <c r="D37" s="95">
        <f>Y28</f>
        <v>14260</v>
      </c>
      <c r="E37" s="95">
        <v>0</v>
      </c>
      <c r="F37" s="95">
        <f>J37</f>
        <v>458.06063039550281</v>
      </c>
      <c r="G37" s="95">
        <f>(G36/G28)*1000</f>
        <v>1569.1439469985946</v>
      </c>
      <c r="H37" s="95">
        <f>(H36/H28)*1000</f>
        <v>1796.3166666666671</v>
      </c>
      <c r="I37" s="95">
        <f>(I36/I28)*1000</f>
        <v>1432.8403151977514</v>
      </c>
      <c r="J37" s="95">
        <f>K37</f>
        <v>458.06063039550281</v>
      </c>
      <c r="K37" s="95">
        <f t="shared" ref="K37:O37" si="2">(K36/K28)*1000</f>
        <v>458.06063039550281</v>
      </c>
      <c r="L37" s="95">
        <f t="shared" si="2"/>
        <v>46631.835173659914</v>
      </c>
      <c r="M37" s="95">
        <f t="shared" si="2"/>
        <v>46631.835173659914</v>
      </c>
      <c r="N37" s="95">
        <f t="shared" si="2"/>
        <v>485783.13253012049</v>
      </c>
      <c r="O37" s="95">
        <f t="shared" si="2"/>
        <v>243314.74837592395</v>
      </c>
      <c r="P37" s="95">
        <f>(P36/$P$28)*1000</f>
        <v>223350.66143511288</v>
      </c>
      <c r="Q37" s="95">
        <f>(Q36/$Q$28)*1000</f>
        <v>258904.63771021034</v>
      </c>
      <c r="R37" s="95">
        <f>(R36/$R$28)*1000</f>
        <v>254577.05405706822</v>
      </c>
      <c r="S37" s="95">
        <f>(S36/$S$28)*1000</f>
        <v>248492.0688701857</v>
      </c>
      <c r="T37" s="95">
        <f>(T36/$S$28)*1000</f>
        <v>28879.131102949385</v>
      </c>
      <c r="V37" s="249" t="s">
        <v>624</v>
      </c>
      <c r="X37" s="6" t="s">
        <v>65</v>
      </c>
      <c r="Y37" s="69">
        <v>3</v>
      </c>
      <c r="Z37" s="5" t="s">
        <v>26</v>
      </c>
    </row>
    <row r="38" spans="2:30" s="237" customFormat="1">
      <c r="B38" s="327" t="s">
        <v>275</v>
      </c>
      <c r="C38" s="239" t="s">
        <v>274</v>
      </c>
      <c r="D38" s="240">
        <f>(D28*D39)/1000</f>
        <v>193.37889315068492</v>
      </c>
      <c r="E38" s="240">
        <v>0</v>
      </c>
      <c r="F38" s="240">
        <f>(F39*F28)/1000</f>
        <v>77.646614394974875</v>
      </c>
      <c r="G38" s="240">
        <f>D38+E38+F38</f>
        <v>271.02550754565982</v>
      </c>
      <c r="H38" s="240">
        <f>G38-I38</f>
        <v>77.055909218372278</v>
      </c>
      <c r="I38" s="240">
        <f>J38+L38</f>
        <v>193.96959832728754</v>
      </c>
      <c r="J38" s="240">
        <f>(J39*J28)/1000</f>
        <v>152.01481618216195</v>
      </c>
      <c r="K38" s="240">
        <f>(K32*(Y48/100))+D38*(1-(AC40/100))*(K30/(K30+L30))</f>
        <v>74.368201787187061</v>
      </c>
      <c r="L38" s="240">
        <f>(L32*(Y48/100))+D38*(1-(AC40/100))*(L30/(K30+L30))</f>
        <v>41.954782145125598</v>
      </c>
      <c r="M38" s="240">
        <f>L38</f>
        <v>41.954782145125598</v>
      </c>
      <c r="N38" s="240">
        <v>0</v>
      </c>
      <c r="O38" s="240">
        <f>M38</f>
        <v>41.954782145125598</v>
      </c>
      <c r="P38" s="240">
        <f>O38-Q38</f>
        <v>5.2236086388914416</v>
      </c>
      <c r="Q38" s="240">
        <f>Q32*(Y48/100)+V40</f>
        <v>36.731173506234157</v>
      </c>
      <c r="R38" s="240">
        <f>Q38</f>
        <v>36.731173506234157</v>
      </c>
      <c r="S38" s="240">
        <f>P38-T38</f>
        <v>0</v>
      </c>
      <c r="T38" s="240">
        <f>P38</f>
        <v>5.2236086388914416</v>
      </c>
      <c r="V38" s="247">
        <f>V36*P30</f>
        <v>2.6633291284160223</v>
      </c>
      <c r="X38" s="238" t="s">
        <v>70</v>
      </c>
      <c r="Y38" s="242">
        <v>4</v>
      </c>
      <c r="Z38" s="235" t="s">
        <v>34</v>
      </c>
      <c r="AB38" s="336" t="s">
        <v>290</v>
      </c>
      <c r="AC38" s="337"/>
      <c r="AD38" s="338"/>
    </row>
    <row r="39" spans="2:30" ht="17.25">
      <c r="B39" s="327"/>
      <c r="C39" s="230" t="s">
        <v>269</v>
      </c>
      <c r="D39" s="95">
        <f>Y29</f>
        <v>5120</v>
      </c>
      <c r="E39" s="95">
        <v>0</v>
      </c>
      <c r="F39" s="95">
        <f>J39</f>
        <v>657.8598674964868</v>
      </c>
      <c r="G39" s="95">
        <f>(G38/G28)*1000</f>
        <v>717.58120859265216</v>
      </c>
      <c r="H39" s="95">
        <f>(H38/H28)*1000</f>
        <v>544.04593837535015</v>
      </c>
      <c r="I39" s="95">
        <f>(I38/I28)*1000</f>
        <v>821.70237072303348</v>
      </c>
      <c r="J39" s="95">
        <f>K39</f>
        <v>657.8598674964868</v>
      </c>
      <c r="K39" s="95">
        <f>(K38/K28)*1000</f>
        <v>657.8598674964868</v>
      </c>
      <c r="L39" s="95">
        <f>(L38/L28)*1000</f>
        <v>8418.8205466486943</v>
      </c>
      <c r="M39" s="95">
        <f>(M38/M28)*1000</f>
        <v>8418.8205466486943</v>
      </c>
      <c r="N39" s="95">
        <v>0</v>
      </c>
      <c r="O39" s="95">
        <f>(O38/O28)*1000</f>
        <v>5528.9977320372336</v>
      </c>
      <c r="P39" s="95">
        <f>(P38/$P$28)*1000</f>
        <v>1569.9315556612426</v>
      </c>
      <c r="Q39" s="95">
        <f>(Q38/$Q$28)*1000</f>
        <v>8620.6193894567677</v>
      </c>
      <c r="R39" s="95">
        <f>(R38/$R$28)*1000</f>
        <v>8476.5259816301768</v>
      </c>
      <c r="S39" s="95">
        <f>(S38/$S$28)*1000</f>
        <v>0</v>
      </c>
      <c r="T39" s="95">
        <f>(T38/$S$28)*1000</f>
        <v>1949.6418621350547</v>
      </c>
      <c r="V39" s="249" t="s">
        <v>625</v>
      </c>
      <c r="X39" s="6" t="s">
        <v>262</v>
      </c>
      <c r="Y39" s="68">
        <v>5</v>
      </c>
      <c r="Z39" s="5" t="s">
        <v>21</v>
      </c>
      <c r="AB39" s="6" t="s">
        <v>272</v>
      </c>
      <c r="AC39" s="2">
        <v>90</v>
      </c>
      <c r="AD39" s="5" t="s">
        <v>17</v>
      </c>
    </row>
    <row r="40" spans="2:30">
      <c r="B40" s="327" t="s">
        <v>278</v>
      </c>
      <c r="C40" s="229" t="s">
        <v>274</v>
      </c>
      <c r="D40" s="18">
        <f>(D28*D41)/1000</f>
        <v>125.69628054794521</v>
      </c>
      <c r="E40" s="18">
        <v>0</v>
      </c>
      <c r="F40" s="18">
        <f>(F41*F28)/1000</f>
        <v>2.2425530821917805</v>
      </c>
      <c r="G40" s="18">
        <f>D40+E40+F40</f>
        <v>127.93883363013698</v>
      </c>
      <c r="H40" s="18">
        <f>G40*0.1</f>
        <v>12.793883363013698</v>
      </c>
      <c r="I40" s="18">
        <f>G40-H40</f>
        <v>115.14495026712328</v>
      </c>
      <c r="J40" s="18">
        <f>(J41*J28)/1000</f>
        <v>4.3904205898021305</v>
      </c>
      <c r="K40" s="18">
        <f>(K28*K41)/1000</f>
        <v>2.1478675076103499</v>
      </c>
      <c r="L40" s="18">
        <f>I40-J40</f>
        <v>110.75452967732114</v>
      </c>
      <c r="M40" s="18">
        <f>L40</f>
        <v>110.75452967732114</v>
      </c>
      <c r="N40" s="18">
        <v>0</v>
      </c>
      <c r="O40" s="18">
        <f>M40</f>
        <v>110.75452967732114</v>
      </c>
      <c r="P40" s="18" t="s">
        <v>12</v>
      </c>
      <c r="Q40" s="18" t="s">
        <v>12</v>
      </c>
      <c r="R40" s="18" t="s">
        <v>12</v>
      </c>
      <c r="S40" s="18" t="s">
        <v>12</v>
      </c>
      <c r="T40" s="18" t="s">
        <v>12</v>
      </c>
      <c r="V40" s="247">
        <f>V36*Q30</f>
        <v>3.4106037016410879</v>
      </c>
      <c r="X40" s="6" t="s">
        <v>291</v>
      </c>
      <c r="Y40" s="5">
        <v>2</v>
      </c>
      <c r="Z40" s="5" t="s">
        <v>19</v>
      </c>
      <c r="AB40" s="6" t="s">
        <v>273</v>
      </c>
      <c r="AC40" s="2">
        <v>60</v>
      </c>
      <c r="AD40" s="5" t="s">
        <v>17</v>
      </c>
    </row>
    <row r="41" spans="2:30" ht="17.25">
      <c r="B41" s="327"/>
      <c r="C41" s="230" t="s">
        <v>269</v>
      </c>
      <c r="D41" s="95">
        <f>Y30</f>
        <v>3328</v>
      </c>
      <c r="E41" s="95">
        <v>0</v>
      </c>
      <c r="F41" s="95">
        <f>J41</f>
        <v>19</v>
      </c>
      <c r="G41" s="95">
        <f>(G39/G28)*1000</f>
        <v>1899.9052730804019</v>
      </c>
      <c r="H41" s="95">
        <f>(H40/H28)*1000</f>
        <v>90.33</v>
      </c>
      <c r="I41" s="95">
        <f>(I40/I28)*1000</f>
        <v>487.78199999999998</v>
      </c>
      <c r="J41" s="95">
        <v>19</v>
      </c>
      <c r="K41" s="95">
        <v>19</v>
      </c>
      <c r="L41" s="95">
        <f>(L40/L28)*1000</f>
        <v>22224.463157894741</v>
      </c>
      <c r="M41" s="95">
        <f>(M40/M28)*1000</f>
        <v>22224.463157894741</v>
      </c>
      <c r="N41" s="95">
        <v>0</v>
      </c>
      <c r="O41" s="95">
        <f>(O40/O28)*1000</f>
        <v>14595.75076043875</v>
      </c>
      <c r="P41" s="95" t="s">
        <v>12</v>
      </c>
      <c r="Q41" s="95" t="s">
        <v>12</v>
      </c>
      <c r="R41" s="95" t="s">
        <v>12</v>
      </c>
      <c r="S41" s="95" t="s">
        <v>12</v>
      </c>
      <c r="T41" s="95" t="s">
        <v>12</v>
      </c>
      <c r="X41" s="6" t="s">
        <v>292</v>
      </c>
      <c r="Y41" s="7">
        <f>(I32*1000)/AC35</f>
        <v>16.666666666666664</v>
      </c>
      <c r="Z41" s="5" t="s">
        <v>40</v>
      </c>
      <c r="AB41" s="6" t="s">
        <v>276</v>
      </c>
      <c r="AC41" s="2">
        <v>60</v>
      </c>
      <c r="AD41" s="5" t="s">
        <v>17</v>
      </c>
    </row>
    <row r="42" spans="2:30" s="237" customFormat="1">
      <c r="B42" s="327" t="s">
        <v>279</v>
      </c>
      <c r="C42" s="239" t="s">
        <v>274</v>
      </c>
      <c r="D42" s="240">
        <f>(D28*D43)/1000</f>
        <v>2.8704679452054793</v>
      </c>
      <c r="E42" s="240">
        <v>0</v>
      </c>
      <c r="F42" s="240">
        <f>(F43*F28)/1000</f>
        <v>1.1525669324254084</v>
      </c>
      <c r="G42" s="240">
        <f>D42+E42+F42</f>
        <v>4.023034877630888</v>
      </c>
      <c r="H42" s="240">
        <f>G42-I42</f>
        <v>0.37674891780821973</v>
      </c>
      <c r="I42" s="240">
        <f>J42+L42</f>
        <v>3.6462859598226682</v>
      </c>
      <c r="J42" s="240">
        <f>(J43*J28)/1000</f>
        <v>2.2564699277039661</v>
      </c>
      <c r="K42" s="240">
        <f>(K32*(Y49/100))+D42*(1-(AC41/100))*(K30/(K30+L30))</f>
        <v>1.1039029952785577</v>
      </c>
      <c r="L42" s="240">
        <f>(L32*(Y49/100))+D42*(1-(AC41/100))*(L30/(K30+L30))</f>
        <v>1.3898160321187023</v>
      </c>
      <c r="M42" s="240">
        <f>L42</f>
        <v>1.3898160321187023</v>
      </c>
      <c r="N42" s="240">
        <v>0</v>
      </c>
      <c r="O42" s="240">
        <f>M42</f>
        <v>1.3898160321187023</v>
      </c>
      <c r="P42" s="240">
        <f>$P$32*(Y49/100)+(($M$32-$O$32)*(Y49/100))+D42*(1-(AC41/100))*($L$30/($K$30+$L$30))</f>
        <v>0.23938630095431884</v>
      </c>
      <c r="Q42" s="240">
        <f>O42-P42</f>
        <v>1.1504297311643834</v>
      </c>
      <c r="R42" s="240">
        <f>Q42+O69</f>
        <v>73.581107279504693</v>
      </c>
      <c r="S42" s="240">
        <f>P42-T42</f>
        <v>0</v>
      </c>
      <c r="T42" s="240">
        <f>P42</f>
        <v>0.23938630095431884</v>
      </c>
      <c r="V42" s="241">
        <f>P38-V38</f>
        <v>2.5602795104754192</v>
      </c>
    </row>
    <row r="43" spans="2:30" ht="15.75" thickBot="1">
      <c r="B43" s="334"/>
      <c r="C43" s="231" t="s">
        <v>269</v>
      </c>
      <c r="D43" s="232">
        <f>Y31</f>
        <v>76</v>
      </c>
      <c r="E43" s="232">
        <v>0</v>
      </c>
      <c r="F43" s="232">
        <f>J43</f>
        <v>9.7651074081509748</v>
      </c>
      <c r="G43" s="232">
        <f>(G42/G28)*1000</f>
        <v>10.65159606504718</v>
      </c>
      <c r="H43" s="232">
        <f>(H42/H28)*1000</f>
        <v>2.6600000000000041</v>
      </c>
      <c r="I43" s="232">
        <f>(I42/I28)*1000</f>
        <v>15.446553704075487</v>
      </c>
      <c r="J43" s="232">
        <f>K43</f>
        <v>9.7651074081509748</v>
      </c>
      <c r="K43" s="232">
        <f>(K42/K28)*1000</f>
        <v>9.7651074081509748</v>
      </c>
      <c r="L43" s="232">
        <f>(L42/L28)*1000</f>
        <v>278.88624774141738</v>
      </c>
      <c r="M43" s="232">
        <f>(M42/M28)*1000</f>
        <v>278.88624774141738</v>
      </c>
      <c r="N43" s="232">
        <v>0</v>
      </c>
      <c r="O43" s="232">
        <f>(O42/O28)*1000</f>
        <v>183.15646743087831</v>
      </c>
      <c r="P43" s="232">
        <f>(P42/$P$28)*1000</f>
        <v>71.94645193422474</v>
      </c>
      <c r="Q43" s="232">
        <f>(Q42/$Q$28)*1000</f>
        <v>269.99999999999994</v>
      </c>
      <c r="R43" s="232">
        <f>(R42/$R$28)*1000</f>
        <v>16980.458506341485</v>
      </c>
      <c r="S43" s="232">
        <f>(S42/$S$28)*1000</f>
        <v>0</v>
      </c>
      <c r="T43" s="232">
        <f>(T42/$T$28)*1000</f>
        <v>530.37448706057728</v>
      </c>
      <c r="X43" s="328" t="s">
        <v>293</v>
      </c>
      <c r="Y43" s="329"/>
      <c r="Z43" s="330"/>
      <c r="AB43" s="328" t="s">
        <v>280</v>
      </c>
      <c r="AC43" s="329"/>
      <c r="AD43" s="330"/>
    </row>
    <row r="44" spans="2:30" ht="18" thickTop="1">
      <c r="B44" s="335" t="s">
        <v>294</v>
      </c>
      <c r="C44" s="233" t="s">
        <v>274</v>
      </c>
      <c r="D44" s="234">
        <v>0</v>
      </c>
      <c r="E44" s="234">
        <v>0</v>
      </c>
      <c r="F44" s="234">
        <f>(F45*F28)/1000</f>
        <v>0</v>
      </c>
      <c r="G44" s="234">
        <f>D44+E44+F44</f>
        <v>0</v>
      </c>
      <c r="H44" s="234">
        <v>0</v>
      </c>
      <c r="I44" s="234">
        <f>J44+L44</f>
        <v>231.87998869863009</v>
      </c>
      <c r="J44" s="234">
        <f>J32*(Y44/100)</f>
        <v>0</v>
      </c>
      <c r="K44" s="234">
        <f>K32*(Y44/100)</f>
        <v>0</v>
      </c>
      <c r="L44" s="234">
        <f>L32*(Y44/100)</f>
        <v>231.87998869863009</v>
      </c>
      <c r="M44" s="234">
        <f>L44</f>
        <v>231.87998869863009</v>
      </c>
      <c r="N44" s="234">
        <v>0</v>
      </c>
      <c r="O44" s="234">
        <f>M44</f>
        <v>231.87998869863009</v>
      </c>
      <c r="P44" s="234">
        <f>O44-Q44</f>
        <v>33.622598361301357</v>
      </c>
      <c r="Q44" s="234">
        <f>Q32*(Y44/100)</f>
        <v>198.25739033732873</v>
      </c>
      <c r="R44" s="234">
        <f>Q44</f>
        <v>198.25739033732873</v>
      </c>
      <c r="S44" s="234" t="s">
        <v>12</v>
      </c>
      <c r="T44" s="234" t="s">
        <v>12</v>
      </c>
      <c r="X44" s="6" t="s">
        <v>294</v>
      </c>
      <c r="Y44" s="2">
        <v>51.7</v>
      </c>
      <c r="Z44" s="5" t="s">
        <v>17</v>
      </c>
      <c r="AB44" s="6" t="s">
        <v>295</v>
      </c>
      <c r="AC44" s="2">
        <v>40</v>
      </c>
      <c r="AD44" s="5" t="s">
        <v>296</v>
      </c>
    </row>
    <row r="45" spans="2:30">
      <c r="B45" s="327"/>
      <c r="C45" s="230" t="s">
        <v>269</v>
      </c>
      <c r="D45" s="95">
        <v>0</v>
      </c>
      <c r="E45" s="95">
        <v>0</v>
      </c>
      <c r="F45" s="95">
        <f>J45</f>
        <v>0</v>
      </c>
      <c r="G45" s="95">
        <f>(G44/G28)*1000</f>
        <v>0</v>
      </c>
      <c r="H45" s="95">
        <v>0</v>
      </c>
      <c r="I45" s="95">
        <f>(I44/I28)*1000</f>
        <v>982.29999999999984</v>
      </c>
      <c r="J45" s="95">
        <f>(J44/J28)*1000</f>
        <v>0</v>
      </c>
      <c r="K45" s="95">
        <f>(K44/K28)*1000</f>
        <v>0</v>
      </c>
      <c r="L45" s="95">
        <f>(L44/L28)*1000</f>
        <v>46530</v>
      </c>
      <c r="M45" s="95">
        <f>(M44/M28)*1000</f>
        <v>46530</v>
      </c>
      <c r="N45" s="95">
        <v>0</v>
      </c>
      <c r="O45" s="95">
        <f>(O44/O28)*1000</f>
        <v>30558.231173380034</v>
      </c>
      <c r="P45" s="95">
        <f>(P44/$P$28)*1000</f>
        <v>10105.117324013978</v>
      </c>
      <c r="Q45" s="95">
        <f>(Q44/$Q$28)*1000</f>
        <v>46529.999999999993</v>
      </c>
      <c r="R45" s="95">
        <f>(R44/$R$28)*1000</f>
        <v>45752.252373840871</v>
      </c>
      <c r="S45" s="95" t="s">
        <v>12</v>
      </c>
      <c r="T45" s="95" t="s">
        <v>12</v>
      </c>
      <c r="X45" s="6" t="s">
        <v>297</v>
      </c>
      <c r="Y45" s="2">
        <v>22.3</v>
      </c>
      <c r="Z45" s="5" t="s">
        <v>17</v>
      </c>
      <c r="AB45" s="12" t="s">
        <v>298</v>
      </c>
      <c r="AC45" s="2">
        <v>20</v>
      </c>
      <c r="AD45" s="2" t="s">
        <v>19</v>
      </c>
    </row>
    <row r="46" spans="2:30">
      <c r="B46" s="327" t="s">
        <v>297</v>
      </c>
      <c r="C46" s="229" t="s">
        <v>274</v>
      </c>
      <c r="D46" s="18">
        <v>0</v>
      </c>
      <c r="E46" s="18">
        <v>0</v>
      </c>
      <c r="F46" s="18">
        <f>(F47*F28)/1000</f>
        <v>0</v>
      </c>
      <c r="G46" s="18">
        <f>D46+E46+F46</f>
        <v>0</v>
      </c>
      <c r="H46" s="18">
        <v>0</v>
      </c>
      <c r="I46" s="18">
        <f>J46+L46</f>
        <v>100.0178674657534</v>
      </c>
      <c r="J46" s="18">
        <f>J32*(Y45/100)</f>
        <v>0</v>
      </c>
      <c r="K46" s="18">
        <f>K32*(Y45/100)</f>
        <v>0</v>
      </c>
      <c r="L46" s="18">
        <f>L32*(Y45/100)</f>
        <v>100.0178674657534</v>
      </c>
      <c r="M46" s="18">
        <f>L46</f>
        <v>100.0178674657534</v>
      </c>
      <c r="N46" s="18">
        <v>0</v>
      </c>
      <c r="O46" s="18">
        <f>M46</f>
        <v>100.0178674657534</v>
      </c>
      <c r="P46" s="18">
        <f>O46-Q46</f>
        <v>14.502590782534227</v>
      </c>
      <c r="Q46" s="18">
        <f>Q32*(Y45/100)</f>
        <v>85.51527668321917</v>
      </c>
      <c r="R46" s="18">
        <f>Q46</f>
        <v>85.51527668321917</v>
      </c>
      <c r="S46" s="18" t="s">
        <v>12</v>
      </c>
      <c r="T46" s="18" t="s">
        <v>12</v>
      </c>
      <c r="X46" s="6" t="s">
        <v>299</v>
      </c>
      <c r="Y46" s="2">
        <v>13.4</v>
      </c>
      <c r="Z46" s="5" t="s">
        <v>17</v>
      </c>
      <c r="AB46" s="12" t="s">
        <v>300</v>
      </c>
      <c r="AC46" s="63">
        <f>AC45/Y40</f>
        <v>10</v>
      </c>
      <c r="AD46" s="64"/>
    </row>
    <row r="47" spans="2:30">
      <c r="B47" s="327"/>
      <c r="C47" s="230" t="s">
        <v>269</v>
      </c>
      <c r="D47" s="95">
        <v>0</v>
      </c>
      <c r="E47" s="95">
        <v>0</v>
      </c>
      <c r="F47" s="95">
        <f>J47</f>
        <v>0</v>
      </c>
      <c r="G47" s="95">
        <f>(G46/G28)*1000</f>
        <v>0</v>
      </c>
      <c r="H47" s="95">
        <v>0</v>
      </c>
      <c r="I47" s="95">
        <f>(I46/I28)*1000</f>
        <v>423.69999999999993</v>
      </c>
      <c r="J47" s="95">
        <f>(J46*J28)/1000</f>
        <v>0</v>
      </c>
      <c r="K47" s="95">
        <f>(K46/K28)*1000</f>
        <v>0</v>
      </c>
      <c r="L47" s="95">
        <f>(L46/L28)*1000</f>
        <v>20070</v>
      </c>
      <c r="M47" s="95">
        <f>(M46/M28)*1000</f>
        <v>20070</v>
      </c>
      <c r="N47" s="95">
        <v>0</v>
      </c>
      <c r="O47" s="95">
        <f>(O46/O28)*1000</f>
        <v>13180.823117338003</v>
      </c>
      <c r="P47" s="95">
        <f>(P46/$P$28)*1000</f>
        <v>4358.6869695456771</v>
      </c>
      <c r="Q47" s="95">
        <f>(Q46/$Q$28)*1000</f>
        <v>20070</v>
      </c>
      <c r="R47" s="95">
        <f>(R46/$R$28)*1000</f>
        <v>19734.530521018401</v>
      </c>
      <c r="S47" s="95" t="s">
        <v>12</v>
      </c>
      <c r="T47" s="95" t="s">
        <v>12</v>
      </c>
      <c r="X47" s="6" t="s">
        <v>270</v>
      </c>
      <c r="Y47" s="2">
        <v>51.35</v>
      </c>
      <c r="Z47" s="5" t="s">
        <v>17</v>
      </c>
    </row>
    <row r="48" spans="2:30">
      <c r="B48" s="327" t="s">
        <v>299</v>
      </c>
      <c r="C48" s="229" t="s">
        <v>274</v>
      </c>
      <c r="D48" s="18">
        <v>0</v>
      </c>
      <c r="E48" s="18">
        <v>0</v>
      </c>
      <c r="F48" s="18">
        <f>(F49*F28)/1000</f>
        <v>0</v>
      </c>
      <c r="G48" s="18">
        <f>D48+E48+F48</f>
        <v>0</v>
      </c>
      <c r="H48" s="18">
        <v>0</v>
      </c>
      <c r="I48" s="18">
        <f>J48+L48</f>
        <v>60.100422602739719</v>
      </c>
      <c r="J48" s="18">
        <f>J32*(Y46/100)</f>
        <v>0</v>
      </c>
      <c r="K48" s="18">
        <f>K32*(Y46/100)</f>
        <v>0</v>
      </c>
      <c r="L48" s="18">
        <f>L32*(Y46/100)</f>
        <v>60.100422602739719</v>
      </c>
      <c r="M48" s="18">
        <f>L48</f>
        <v>60.100422602739719</v>
      </c>
      <c r="N48" s="18">
        <v>0</v>
      </c>
      <c r="O48" s="18">
        <f>M48</f>
        <v>60.100422602739719</v>
      </c>
      <c r="P48" s="18">
        <f>O48-Q48</f>
        <v>8.7145612773972587</v>
      </c>
      <c r="Q48" s="18">
        <f>Q32*(Y46/100)</f>
        <v>51.385861325342461</v>
      </c>
      <c r="R48" s="18">
        <f>Q48</f>
        <v>51.385861325342461</v>
      </c>
      <c r="S48" s="18" t="s">
        <v>12</v>
      </c>
      <c r="T48" s="18" t="s">
        <v>12</v>
      </c>
      <c r="X48" s="6" t="s">
        <v>273</v>
      </c>
      <c r="Y48" s="9">
        <f>Y44/5.95</f>
        <v>8.6890756302521019</v>
      </c>
      <c r="Z48" s="5" t="s">
        <v>17</v>
      </c>
      <c r="AB48" s="328" t="s">
        <v>626</v>
      </c>
      <c r="AC48" s="329"/>
      <c r="AD48" s="330"/>
    </row>
    <row r="49" spans="2:30">
      <c r="B49" s="327"/>
      <c r="C49" s="230" t="s">
        <v>269</v>
      </c>
      <c r="D49" s="95">
        <v>0</v>
      </c>
      <c r="E49" s="95">
        <v>0</v>
      </c>
      <c r="F49" s="95">
        <f>J49</f>
        <v>0</v>
      </c>
      <c r="G49" s="95">
        <f>(G48/G28)*1000</f>
        <v>0</v>
      </c>
      <c r="H49" s="95">
        <v>0</v>
      </c>
      <c r="I49" s="95">
        <f>(I48/I28)*1000</f>
        <v>254.6</v>
      </c>
      <c r="J49" s="95">
        <f>(J48*J28)/1000</f>
        <v>0</v>
      </c>
      <c r="K49" s="95">
        <f>(K48/K28)*1000</f>
        <v>0</v>
      </c>
      <c r="L49" s="95">
        <f>(L48/L28)*1000</f>
        <v>12060.000000000002</v>
      </c>
      <c r="M49" s="95">
        <f>(M48/M28)*1000</f>
        <v>12060.000000000002</v>
      </c>
      <c r="N49" s="95">
        <v>0</v>
      </c>
      <c r="O49" s="95">
        <f>(O48/O28)*1000</f>
        <v>7920.315236427321</v>
      </c>
      <c r="P49" s="95">
        <f>(P48/$P$28)*1000</f>
        <v>2619.1213180229661</v>
      </c>
      <c r="Q49" s="95">
        <f>(Q48/$Q$28)*1000</f>
        <v>12059.999999999998</v>
      </c>
      <c r="R49" s="95">
        <f>(R48/$R$28)*1000</f>
        <v>11858.417443123166</v>
      </c>
      <c r="S49" s="95" t="s">
        <v>12</v>
      </c>
      <c r="T49" s="95" t="s">
        <v>12</v>
      </c>
      <c r="X49" s="6" t="s">
        <v>276</v>
      </c>
      <c r="Y49" s="2">
        <v>0.3</v>
      </c>
      <c r="Z49" s="5" t="s">
        <v>17</v>
      </c>
      <c r="AB49" s="331" t="s">
        <v>627</v>
      </c>
      <c r="AC49" s="2">
        <v>40</v>
      </c>
      <c r="AD49" s="2" t="s">
        <v>17</v>
      </c>
    </row>
    <row r="50" spans="2:30" ht="17.25">
      <c r="J50" s="67"/>
      <c r="K50" s="67"/>
      <c r="AB50" s="332"/>
      <c r="AC50" s="9">
        <f>(M28*(AC49/100))/(1-(AC49/100))</f>
        <v>3.3223008625063413</v>
      </c>
      <c r="AD50" s="5" t="s">
        <v>23</v>
      </c>
    </row>
    <row r="51" spans="2:30">
      <c r="R51">
        <f>(R34/R29)*100</f>
        <v>8.8495652560620641</v>
      </c>
      <c r="X51" s="328" t="s">
        <v>565</v>
      </c>
      <c r="Y51" s="329"/>
      <c r="Z51" s="330"/>
      <c r="AB51" s="12" t="s">
        <v>566</v>
      </c>
      <c r="AC51" s="2">
        <v>95</v>
      </c>
      <c r="AD51" s="2" t="s">
        <v>17</v>
      </c>
    </row>
    <row r="52" spans="2:30" ht="15" customHeight="1">
      <c r="B52" s="292" t="s">
        <v>301</v>
      </c>
      <c r="C52" s="292"/>
      <c r="D52" s="292"/>
      <c r="E52" s="9">
        <f>(((G40-H40)-I40)/(G40-H40))*100</f>
        <v>0</v>
      </c>
      <c r="F52" s="75" t="s">
        <v>302</v>
      </c>
      <c r="X52" s="6" t="s">
        <v>628</v>
      </c>
      <c r="Y52" s="2">
        <v>95</v>
      </c>
      <c r="Z52" s="5" t="s">
        <v>17</v>
      </c>
      <c r="AB52" s="331" t="s">
        <v>629</v>
      </c>
      <c r="AC52" s="2">
        <v>9</v>
      </c>
      <c r="AD52" s="2" t="s">
        <v>17</v>
      </c>
    </row>
    <row r="53" spans="2:30">
      <c r="R53" s="8"/>
      <c r="X53" s="6" t="s">
        <v>630</v>
      </c>
      <c r="Y53" s="2">
        <f>AC53</f>
        <v>90</v>
      </c>
      <c r="Z53" s="5" t="s">
        <v>19</v>
      </c>
      <c r="AB53" s="333"/>
      <c r="AC53" s="2">
        <f>AC52*10</f>
        <v>90</v>
      </c>
      <c r="AD53" s="2" t="s">
        <v>631</v>
      </c>
    </row>
    <row r="54" spans="2:30">
      <c r="B54" s="292" t="s">
        <v>303</v>
      </c>
      <c r="C54" s="292"/>
      <c r="D54" s="292"/>
      <c r="E54" s="292"/>
      <c r="H54" s="8"/>
      <c r="AB54" s="332"/>
      <c r="AC54" s="2">
        <f>AC53*1000</f>
        <v>90000</v>
      </c>
      <c r="AD54" s="2" t="s">
        <v>269</v>
      </c>
    </row>
    <row r="55" spans="2:30">
      <c r="B55" s="2"/>
      <c r="C55" s="14" t="s">
        <v>304</v>
      </c>
      <c r="D55" s="14" t="s">
        <v>305</v>
      </c>
      <c r="E55" s="14" t="s">
        <v>306</v>
      </c>
      <c r="X55" s="6" t="s">
        <v>632</v>
      </c>
      <c r="Y55" s="191">
        <v>20</v>
      </c>
      <c r="Z55" s="2" t="s">
        <v>19</v>
      </c>
      <c r="AB55" s="12" t="s">
        <v>633</v>
      </c>
      <c r="AC55" s="2">
        <v>784</v>
      </c>
      <c r="AD55" s="2" t="s">
        <v>634</v>
      </c>
    </row>
    <row r="56" spans="2:30">
      <c r="B56" s="14" t="s">
        <v>275</v>
      </c>
      <c r="C56" s="9">
        <f>D38</f>
        <v>193.37889315068492</v>
      </c>
      <c r="D56" s="9">
        <f>H38+K38+O38</f>
        <v>193.37889315068492</v>
      </c>
      <c r="E56" s="9">
        <f>O32*(Y48/100)</f>
        <v>35.074284004834809</v>
      </c>
    </row>
    <row r="57" spans="2:30">
      <c r="B57" s="14" t="s">
        <v>279</v>
      </c>
      <c r="C57" s="9">
        <f>D42</f>
        <v>2.8704679452054793</v>
      </c>
      <c r="D57" s="9">
        <f>H42+K42+O42</f>
        <v>2.8704679452054798</v>
      </c>
      <c r="E57" s="9">
        <f>O32*(Y49/100)</f>
        <v>1.2109786643835614</v>
      </c>
    </row>
    <row r="58" spans="2:30">
      <c r="B58" s="14" t="s">
        <v>278</v>
      </c>
      <c r="C58" s="9">
        <f>D40</f>
        <v>125.69628054794521</v>
      </c>
      <c r="D58" s="9">
        <f>H40+K40+O40</f>
        <v>125.69628054794519</v>
      </c>
      <c r="E58" s="9">
        <f>D40*(E52/100)</f>
        <v>0</v>
      </c>
      <c r="F58" s="72"/>
    </row>
    <row r="59" spans="2:30">
      <c r="B59" s="14" t="s">
        <v>271</v>
      </c>
      <c r="C59" s="9">
        <f>D28+E28</f>
        <v>259.66404109589041</v>
      </c>
      <c r="D59" s="9">
        <f>H28+O28+K28</f>
        <v>262.26872497209536</v>
      </c>
      <c r="E59" s="9" t="s">
        <v>12</v>
      </c>
    </row>
    <row r="62" spans="2:30" ht="20.25" thickBot="1">
      <c r="B62" s="291" t="s">
        <v>307</v>
      </c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X62" s="317" t="s">
        <v>635</v>
      </c>
      <c r="Y62" s="317"/>
      <c r="Z62" s="317"/>
      <c r="AA62" s="317"/>
      <c r="AB62" s="317"/>
      <c r="AC62" s="317"/>
      <c r="AD62" s="317"/>
    </row>
    <row r="63" spans="2:30" ht="15.75" thickTop="1"/>
    <row r="64" spans="2:30" ht="17.25">
      <c r="B64" s="314" t="s">
        <v>308</v>
      </c>
      <c r="C64" s="314"/>
      <c r="D64" s="314"/>
      <c r="F64" s="314" t="s">
        <v>280</v>
      </c>
      <c r="G64" s="314"/>
      <c r="H64" s="314"/>
      <c r="J64" s="314" t="s">
        <v>309</v>
      </c>
      <c r="K64" s="314"/>
      <c r="L64" s="314"/>
      <c r="N64" s="314" t="s">
        <v>636</v>
      </c>
      <c r="O64" s="314"/>
      <c r="P64" s="314"/>
      <c r="S64" s="314" t="s">
        <v>637</v>
      </c>
      <c r="T64" s="314"/>
      <c r="U64" s="314"/>
      <c r="X64" s="285" t="s">
        <v>335</v>
      </c>
      <c r="Y64" s="7">
        <f>P28</f>
        <v>3.3272843138001003</v>
      </c>
      <c r="Z64" s="5" t="s">
        <v>23</v>
      </c>
      <c r="AB64" s="285" t="s">
        <v>336</v>
      </c>
      <c r="AC64" s="285"/>
      <c r="AD64" s="285"/>
    </row>
    <row r="65" spans="2:30" ht="17.25">
      <c r="B65" s="16" t="s">
        <v>286</v>
      </c>
      <c r="C65" s="9">
        <f>AC35</f>
        <v>28326.986301369863</v>
      </c>
      <c r="D65" s="2" t="s">
        <v>287</v>
      </c>
      <c r="F65" s="17" t="s">
        <v>286</v>
      </c>
      <c r="G65" s="7">
        <f>(I28*1000)/(AC44*G66)</f>
        <v>245.89397831050226</v>
      </c>
      <c r="H65" s="5" t="s">
        <v>287</v>
      </c>
      <c r="J65" s="17" t="s">
        <v>312</v>
      </c>
      <c r="K65" s="5">
        <v>400</v>
      </c>
      <c r="L65" s="5" t="s">
        <v>313</v>
      </c>
      <c r="N65" s="17" t="s">
        <v>314</v>
      </c>
      <c r="O65" s="5">
        <v>2</v>
      </c>
      <c r="P65" s="5" t="s">
        <v>17</v>
      </c>
      <c r="S65" s="17" t="s">
        <v>315</v>
      </c>
      <c r="T65" s="9">
        <f>T28</f>
        <v>0.45135334899127055</v>
      </c>
      <c r="U65" s="2" t="s">
        <v>23</v>
      </c>
      <c r="X65" s="285"/>
      <c r="Y65" s="9">
        <f>P29</f>
        <v>3327.2843138001003</v>
      </c>
      <c r="Z65" s="2" t="s">
        <v>274</v>
      </c>
      <c r="AB65" s="309" t="s">
        <v>271</v>
      </c>
      <c r="AC65" s="2">
        <f>AC67*AC68*(AC69-AC70)/1000</f>
        <v>924885.22070701385</v>
      </c>
      <c r="AD65" s="2" t="s">
        <v>344</v>
      </c>
    </row>
    <row r="66" spans="2:30" ht="17.25">
      <c r="B66" s="16" t="s">
        <v>288</v>
      </c>
      <c r="C66" s="9">
        <f>AC36</f>
        <v>1133.0794520547945</v>
      </c>
      <c r="D66" s="2" t="s">
        <v>289</v>
      </c>
      <c r="F66" s="17" t="s">
        <v>316</v>
      </c>
      <c r="G66" s="5">
        <v>24</v>
      </c>
      <c r="H66" s="5" t="s">
        <v>317</v>
      </c>
      <c r="J66" s="17" t="s">
        <v>316</v>
      </c>
      <c r="K66" s="97">
        <f>10/60</f>
        <v>0.16666666666666666</v>
      </c>
      <c r="L66" s="5" t="s">
        <v>317</v>
      </c>
      <c r="N66" s="17" t="s">
        <v>318</v>
      </c>
      <c r="O66" s="7">
        <f>(O65/100)*Q32</f>
        <v>7.6695315410958891</v>
      </c>
      <c r="P66" s="5" t="s">
        <v>274</v>
      </c>
      <c r="S66" s="17" t="s">
        <v>65</v>
      </c>
      <c r="T66" s="2">
        <v>24</v>
      </c>
      <c r="U66" s="2" t="s">
        <v>317</v>
      </c>
      <c r="X66" s="132" t="s">
        <v>347</v>
      </c>
      <c r="Y66" s="5">
        <v>30</v>
      </c>
      <c r="Z66" s="5" t="s">
        <v>348</v>
      </c>
      <c r="AB66" s="309"/>
      <c r="AC66" s="9">
        <f>AC65/(24*60*60)</f>
        <v>10.704690054479327</v>
      </c>
      <c r="AD66" s="2" t="s">
        <v>349</v>
      </c>
    </row>
    <row r="67" spans="2:30" ht="17.25">
      <c r="B67" s="16" t="s">
        <v>70</v>
      </c>
      <c r="C67" s="2">
        <f>Y38/100</f>
        <v>0.04</v>
      </c>
      <c r="D67" s="2" t="s">
        <v>319</v>
      </c>
      <c r="F67" s="17" t="s">
        <v>320</v>
      </c>
      <c r="G67" s="2">
        <v>43.5</v>
      </c>
      <c r="H67" s="5" t="s">
        <v>287</v>
      </c>
      <c r="J67" s="17" t="s">
        <v>321</v>
      </c>
      <c r="K67" s="5">
        <v>50</v>
      </c>
      <c r="L67" s="5" t="s">
        <v>322</v>
      </c>
      <c r="N67" s="17" t="s">
        <v>65</v>
      </c>
      <c r="O67" s="2">
        <v>4</v>
      </c>
      <c r="P67" s="5" t="s">
        <v>317</v>
      </c>
      <c r="S67" s="17" t="s">
        <v>288</v>
      </c>
      <c r="T67" s="9">
        <f>T65*(T66/24)</f>
        <v>0.45135334899127055</v>
      </c>
      <c r="U67" s="2" t="s">
        <v>289</v>
      </c>
      <c r="X67" s="132" t="s">
        <v>351</v>
      </c>
      <c r="Y67" s="5">
        <f>X15</f>
        <v>96.5</v>
      </c>
      <c r="Z67" s="5" t="s">
        <v>348</v>
      </c>
      <c r="AB67" s="29" t="s">
        <v>335</v>
      </c>
      <c r="AC67" s="9">
        <f>Y65</f>
        <v>3327.2843138001003</v>
      </c>
      <c r="AD67" s="2" t="s">
        <v>274</v>
      </c>
    </row>
    <row r="68" spans="2:30" ht="17.25">
      <c r="B68" s="16" t="s">
        <v>323</v>
      </c>
      <c r="C68" s="5">
        <v>50</v>
      </c>
      <c r="D68" s="2" t="s">
        <v>33</v>
      </c>
      <c r="F68" s="17" t="s">
        <v>567</v>
      </c>
      <c r="G68" s="71">
        <f>ROUND(G65/G67,0)</f>
        <v>6</v>
      </c>
      <c r="H68" s="2"/>
      <c r="J68" s="76" t="s">
        <v>326</v>
      </c>
      <c r="K68" s="7">
        <f>K67*M32</f>
        <v>22425.530821917804</v>
      </c>
      <c r="L68" s="5" t="s">
        <v>322</v>
      </c>
      <c r="N68" s="17" t="s">
        <v>288</v>
      </c>
      <c r="O68" s="7">
        <f>(R28/24)*O67</f>
        <v>0.72221358895212051</v>
      </c>
      <c r="P68" s="2" t="s">
        <v>289</v>
      </c>
      <c r="AB68" s="29" t="s">
        <v>354</v>
      </c>
      <c r="AC68" s="2">
        <v>4180</v>
      </c>
      <c r="AD68" s="2" t="s">
        <v>355</v>
      </c>
    </row>
    <row r="69" spans="2:30" ht="17.25">
      <c r="B69" s="16" t="s">
        <v>328</v>
      </c>
      <c r="C69" s="9">
        <f>C66*C68</f>
        <v>56653.972602739726</v>
      </c>
      <c r="D69" s="2" t="s">
        <v>228</v>
      </c>
      <c r="J69" s="314" t="s">
        <v>638</v>
      </c>
      <c r="K69" s="314"/>
      <c r="L69" s="314"/>
      <c r="N69" s="17" t="s">
        <v>331</v>
      </c>
      <c r="O69" s="9">
        <v>72.430677548340313</v>
      </c>
      <c r="P69" s="5" t="s">
        <v>274</v>
      </c>
      <c r="S69" s="314" t="s">
        <v>639</v>
      </c>
      <c r="T69" s="314"/>
      <c r="U69" s="314"/>
      <c r="X69" s="132" t="s">
        <v>286</v>
      </c>
      <c r="Y69" s="9">
        <f>0.575168003325301/5</f>
        <v>0.11503360066506021</v>
      </c>
      <c r="Z69" s="5" t="s">
        <v>287</v>
      </c>
      <c r="AB69" s="29" t="s">
        <v>356</v>
      </c>
      <c r="AC69" s="2">
        <f>Y67</f>
        <v>96.5</v>
      </c>
      <c r="AD69" s="2" t="s">
        <v>348</v>
      </c>
    </row>
    <row r="70" spans="2:30" ht="17.25">
      <c r="B70" s="16" t="s">
        <v>65</v>
      </c>
      <c r="C70" s="2">
        <v>24</v>
      </c>
      <c r="D70" s="2" t="s">
        <v>317</v>
      </c>
      <c r="F70" s="314" t="s">
        <v>640</v>
      </c>
      <c r="G70" s="314"/>
      <c r="H70" s="314"/>
      <c r="J70" s="17" t="s">
        <v>65</v>
      </c>
      <c r="K70" s="2">
        <v>15</v>
      </c>
      <c r="L70" s="5" t="s">
        <v>641</v>
      </c>
      <c r="N70" s="314" t="s">
        <v>642</v>
      </c>
      <c r="O70" s="314"/>
      <c r="P70" s="314"/>
      <c r="S70" s="17" t="s">
        <v>315</v>
      </c>
      <c r="T70" s="9">
        <f>R28</f>
        <v>4.3332815337127233</v>
      </c>
      <c r="U70" s="2" t="s">
        <v>23</v>
      </c>
      <c r="AB70" s="29" t="s">
        <v>358</v>
      </c>
      <c r="AC70" s="2">
        <f>Y66</f>
        <v>30</v>
      </c>
      <c r="AD70" s="2" t="s">
        <v>348</v>
      </c>
    </row>
    <row r="71" spans="2:30" ht="17.25">
      <c r="F71" s="17" t="s">
        <v>286</v>
      </c>
      <c r="G71" s="9">
        <f>Y69</f>
        <v>0.11503360066506021</v>
      </c>
      <c r="H71" s="5" t="s">
        <v>287</v>
      </c>
      <c r="J71" s="17" t="s">
        <v>288</v>
      </c>
      <c r="K71" s="9">
        <f>(P28*K70)/(24*60)</f>
        <v>3.4659211602084378E-2</v>
      </c>
      <c r="L71" s="2" t="s">
        <v>289</v>
      </c>
      <c r="N71" s="17" t="s">
        <v>593</v>
      </c>
      <c r="O71" s="2">
        <v>40</v>
      </c>
      <c r="P71" s="5" t="s">
        <v>17</v>
      </c>
      <c r="S71" s="17" t="s">
        <v>65</v>
      </c>
      <c r="T71" s="2">
        <v>24</v>
      </c>
      <c r="U71" s="2" t="s">
        <v>317</v>
      </c>
    </row>
    <row r="72" spans="2:30" ht="17.25">
      <c r="N72" s="76" t="s">
        <v>65</v>
      </c>
      <c r="O72" s="2">
        <v>1</v>
      </c>
      <c r="P72" s="5" t="s">
        <v>317</v>
      </c>
      <c r="S72" s="17" t="s">
        <v>288</v>
      </c>
      <c r="T72" s="9">
        <f>T70*(T71/24)</f>
        <v>4.3332815337127233</v>
      </c>
      <c r="U72" s="2" t="s">
        <v>289</v>
      </c>
      <c r="AB72" s="256" t="s">
        <v>361</v>
      </c>
      <c r="AC72" s="256"/>
      <c r="AD72" s="256"/>
    </row>
    <row r="73" spans="2:30" ht="17.25">
      <c r="N73" s="76" t="s">
        <v>288</v>
      </c>
      <c r="O73" s="9">
        <f>O28*(O72/24)</f>
        <v>0.31617229874852015</v>
      </c>
      <c r="P73" s="2" t="s">
        <v>289</v>
      </c>
      <c r="AB73" s="29" t="s">
        <v>271</v>
      </c>
      <c r="AC73" s="127">
        <f>AC66</f>
        <v>10.704690054479327</v>
      </c>
      <c r="AD73" s="2" t="s">
        <v>349</v>
      </c>
    </row>
    <row r="74" spans="2:30">
      <c r="AB74" s="29" t="s">
        <v>364</v>
      </c>
      <c r="AC74" s="2">
        <v>2200.6999999999998</v>
      </c>
      <c r="AD74" s="2" t="s">
        <v>365</v>
      </c>
    </row>
    <row r="75" spans="2:30" ht="20.25" thickBot="1">
      <c r="B75" s="291" t="s">
        <v>332</v>
      </c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AB75" s="309" t="s">
        <v>367</v>
      </c>
      <c r="AC75" s="9">
        <f>AC73/AC74</f>
        <v>4.8642205000587668E-3</v>
      </c>
      <c r="AD75" s="2" t="s">
        <v>368</v>
      </c>
    </row>
    <row r="76" spans="2:30" ht="15.75" thickTop="1">
      <c r="AB76" s="309"/>
      <c r="AC76" s="9">
        <f>AC75*24*60*60</f>
        <v>420.26865120507745</v>
      </c>
      <c r="AD76" s="2" t="s">
        <v>370</v>
      </c>
    </row>
    <row r="77" spans="2:30">
      <c r="B77" s="303" t="s">
        <v>334</v>
      </c>
      <c r="C77" s="303"/>
      <c r="D77" s="303"/>
      <c r="E77" s="303"/>
      <c r="F77" s="303"/>
      <c r="G77" s="303"/>
      <c r="I77" s="303" t="s">
        <v>334</v>
      </c>
      <c r="J77" s="303"/>
      <c r="K77" s="303"/>
      <c r="L77" s="303"/>
      <c r="M77" s="303"/>
      <c r="N77" s="303"/>
      <c r="O77" s="303"/>
      <c r="P77" s="303"/>
      <c r="AB77" s="29" t="s">
        <v>227</v>
      </c>
      <c r="AC77" s="2">
        <v>120</v>
      </c>
      <c r="AD77" s="2" t="s">
        <v>348</v>
      </c>
    </row>
    <row r="78" spans="2:30">
      <c r="B78" s="31" t="s">
        <v>337</v>
      </c>
      <c r="C78" s="308" t="s">
        <v>338</v>
      </c>
      <c r="D78" s="308"/>
      <c r="E78" s="31" t="s">
        <v>339</v>
      </c>
      <c r="F78" s="308" t="s">
        <v>340</v>
      </c>
      <c r="G78" s="308"/>
      <c r="I78" s="31" t="s">
        <v>341</v>
      </c>
      <c r="J78" s="31" t="s">
        <v>342</v>
      </c>
      <c r="K78" s="308" t="s">
        <v>340</v>
      </c>
      <c r="L78" s="308"/>
      <c r="M78" s="31" t="s">
        <v>339</v>
      </c>
      <c r="N78" s="31" t="s">
        <v>343</v>
      </c>
      <c r="O78" s="31" t="s">
        <v>214</v>
      </c>
      <c r="P78" s="31" t="s">
        <v>17</v>
      </c>
    </row>
    <row r="79" spans="2:30" ht="20.25" thickBot="1">
      <c r="B79" s="2">
        <v>1</v>
      </c>
      <c r="C79" s="2">
        <v>4</v>
      </c>
      <c r="D79" s="2" t="s">
        <v>345</v>
      </c>
      <c r="E79" s="20">
        <f>'Escenario 1'!E69</f>
        <v>6774</v>
      </c>
      <c r="F79" s="9">
        <f>(C148*C147)/C146</f>
        <v>15.737214611872146</v>
      </c>
      <c r="G79" s="2" t="s">
        <v>345</v>
      </c>
      <c r="I79" s="1">
        <v>1</v>
      </c>
      <c r="J79" s="1" t="s">
        <v>346</v>
      </c>
      <c r="K79" s="9">
        <f>+IF(F79/C79&lt;1,C79,IF(F79/C79&lt;10,F79,F79/(1+INT(F79/(C79*10)))))</f>
        <v>15.737214611872146</v>
      </c>
      <c r="L79" s="2" t="s">
        <v>345</v>
      </c>
      <c r="M79" s="20">
        <f t="shared" ref="M79:M103" si="3">E79*(K79/C79)^$D$105</f>
        <v>21701.156903190953</v>
      </c>
      <c r="N79" s="2">
        <f>+IF(B79=1,ROUNDUP(F79/K79,0),0)</f>
        <v>1</v>
      </c>
      <c r="O79" s="20">
        <f>M79*N79</f>
        <v>21701.156903190953</v>
      </c>
      <c r="P79" s="35">
        <f t="shared" ref="P79:P103" si="4">(O79/$O$104)</f>
        <v>2.5464505746276799E-2</v>
      </c>
      <c r="X79" s="317" t="s">
        <v>644</v>
      </c>
      <c r="Y79" s="317"/>
      <c r="Z79" s="317"/>
      <c r="AA79" s="317"/>
      <c r="AB79" s="317"/>
      <c r="AC79" s="317"/>
      <c r="AD79" s="317"/>
    </row>
    <row r="80" spans="2:30" ht="18" thickTop="1">
      <c r="B80" s="2">
        <v>1</v>
      </c>
      <c r="C80" s="2">
        <v>200</v>
      </c>
      <c r="D80" s="2" t="s">
        <v>345</v>
      </c>
      <c r="E80" s="20">
        <f>'Escenario 1'!E70</f>
        <v>2822.5</v>
      </c>
      <c r="F80" s="9">
        <f>C149*C148*60</f>
        <v>679.84767123287668</v>
      </c>
      <c r="G80" s="2" t="s">
        <v>345</v>
      </c>
      <c r="I80" s="1">
        <v>2</v>
      </c>
      <c r="J80" s="1" t="s">
        <v>350</v>
      </c>
      <c r="K80" s="9">
        <f>+IF(F80/C80&lt;1,C80,IF(F80/C80&lt;10,F80,F80/(1+INT(F80/(C80*10)))))</f>
        <v>679.84767123287668</v>
      </c>
      <c r="L80" s="2" t="s">
        <v>345</v>
      </c>
      <c r="M80" s="20">
        <f t="shared" si="3"/>
        <v>7985.6142295367554</v>
      </c>
      <c r="N80" s="2">
        <f>+IF(B80=1,ROUNDUP(F80/K80,0),0)</f>
        <v>1</v>
      </c>
      <c r="O80" s="20">
        <f>M80*N80</f>
        <v>7985.6142295367554</v>
      </c>
      <c r="P80" s="35">
        <f t="shared" si="4"/>
        <v>9.3704552408304005E-3</v>
      </c>
    </row>
    <row r="81" spans="2:30" ht="18">
      <c r="B81" s="2">
        <v>1</v>
      </c>
      <c r="C81" s="2">
        <v>4</v>
      </c>
      <c r="D81" s="2" t="s">
        <v>352</v>
      </c>
      <c r="E81" s="20">
        <f>'Escenario 1'!E71</f>
        <v>564.5</v>
      </c>
      <c r="F81" s="9">
        <f>(C151*C148*C150)/C146</f>
        <v>29.507277397260271</v>
      </c>
      <c r="G81" s="2" t="s">
        <v>352</v>
      </c>
      <c r="I81" s="1">
        <v>3</v>
      </c>
      <c r="J81" s="1" t="s">
        <v>353</v>
      </c>
      <c r="K81" s="9">
        <f t="shared" ref="K81:K103" si="5">+IF(F81/C81&lt;1,C81,IF(F81/C81&lt;10,F81,F81/(1+INT(F81/(C81*10)))))</f>
        <v>29.507277397260271</v>
      </c>
      <c r="L81" s="2" t="s">
        <v>352</v>
      </c>
      <c r="M81" s="20">
        <f t="shared" si="3"/>
        <v>3085.6930490457175</v>
      </c>
      <c r="N81" s="2">
        <f t="shared" ref="N81:N103" si="6">+IF(B81=1,ROUNDUP(F81/K81,0),0)</f>
        <v>1</v>
      </c>
      <c r="O81" s="20">
        <f t="shared" ref="O81:O103" si="7">M81*N81</f>
        <v>3085.6930490457175</v>
      </c>
      <c r="P81" s="35">
        <f t="shared" si="4"/>
        <v>3.6208045833315567E-3</v>
      </c>
      <c r="X81" s="285" t="s">
        <v>335</v>
      </c>
      <c r="Y81" s="7">
        <f>R28</f>
        <v>4.3332815337127233</v>
      </c>
      <c r="Z81" s="5" t="s">
        <v>23</v>
      </c>
      <c r="AB81" s="285" t="s">
        <v>336</v>
      </c>
      <c r="AC81" s="285"/>
      <c r="AD81" s="285"/>
    </row>
    <row r="82" spans="2:30" ht="17.25">
      <c r="B82" s="2">
        <v>1</v>
      </c>
      <c r="C82" s="2">
        <v>200</v>
      </c>
      <c r="D82" s="2" t="s">
        <v>289</v>
      </c>
      <c r="E82" s="20">
        <f>'Escenario 1'!E72</f>
        <v>10000</v>
      </c>
      <c r="F82" s="9">
        <f>C148</f>
        <v>1133.0794520547945</v>
      </c>
      <c r="G82" s="2" t="s">
        <v>289</v>
      </c>
      <c r="I82" s="1">
        <v>4</v>
      </c>
      <c r="J82" s="1" t="s">
        <v>308</v>
      </c>
      <c r="K82" s="9">
        <f t="shared" si="5"/>
        <v>1133.0794520547945</v>
      </c>
      <c r="L82" s="2" t="s">
        <v>289</v>
      </c>
      <c r="M82" s="20">
        <f t="shared" si="3"/>
        <v>43676.297243828398</v>
      </c>
      <c r="N82" s="2">
        <f t="shared" si="6"/>
        <v>1</v>
      </c>
      <c r="O82" s="20">
        <f t="shared" si="7"/>
        <v>43676.297243828398</v>
      </c>
      <c r="P82" s="35">
        <f t="shared" si="4"/>
        <v>5.1250508307141167E-2</v>
      </c>
      <c r="X82" s="285"/>
      <c r="Y82" s="7">
        <f>R29</f>
        <v>4333.2815337127231</v>
      </c>
      <c r="Z82" s="2" t="s">
        <v>274</v>
      </c>
      <c r="AB82" s="309" t="s">
        <v>271</v>
      </c>
      <c r="AC82" s="2">
        <f>AC84*AC85*(AC86-AC87)/1000</f>
        <v>362262.33621838369</v>
      </c>
      <c r="AD82" s="2" t="s">
        <v>344</v>
      </c>
    </row>
    <row r="83" spans="2:30" ht="17.25">
      <c r="B83" s="2">
        <v>1</v>
      </c>
      <c r="C83" s="2">
        <v>1</v>
      </c>
      <c r="D83" s="2" t="s">
        <v>289</v>
      </c>
      <c r="E83" s="20">
        <f>'Escenario 1'!E73</f>
        <v>564.5</v>
      </c>
      <c r="F83" s="9">
        <f>F79</f>
        <v>15.737214611872146</v>
      </c>
      <c r="G83" s="2" t="s">
        <v>289</v>
      </c>
      <c r="I83" s="1">
        <v>5</v>
      </c>
      <c r="J83" s="1" t="s">
        <v>568</v>
      </c>
      <c r="K83" s="9">
        <f t="shared" si="5"/>
        <v>7.8686073059360728</v>
      </c>
      <c r="L83" s="2" t="s">
        <v>289</v>
      </c>
      <c r="M83" s="20">
        <f t="shared" si="3"/>
        <v>3259.6962830318425</v>
      </c>
      <c r="N83" s="2">
        <f t="shared" si="6"/>
        <v>2</v>
      </c>
      <c r="O83" s="20">
        <f t="shared" si="7"/>
        <v>6519.3925660636851</v>
      </c>
      <c r="P83" s="35">
        <f t="shared" si="4"/>
        <v>7.6499658613293688E-3</v>
      </c>
      <c r="X83" s="132" t="s">
        <v>347</v>
      </c>
      <c r="Y83" s="5">
        <v>30</v>
      </c>
      <c r="Z83" s="5" t="s">
        <v>348</v>
      </c>
      <c r="AB83" s="309"/>
      <c r="AC83" s="9">
        <f>AC82/(24*60*60)</f>
        <v>4.1928511136387003</v>
      </c>
      <c r="AD83" s="2" t="s">
        <v>349</v>
      </c>
    </row>
    <row r="84" spans="2:30" ht="17.25">
      <c r="B84" s="2">
        <v>1</v>
      </c>
      <c r="C84" s="9">
        <v>9.8357591324200904</v>
      </c>
      <c r="D84" s="2" t="s">
        <v>345</v>
      </c>
      <c r="E84" s="20">
        <v>274000</v>
      </c>
      <c r="F84" s="9">
        <f>I28/24</f>
        <v>9.8357591324200904</v>
      </c>
      <c r="G84" s="2" t="s">
        <v>345</v>
      </c>
      <c r="I84" s="1">
        <v>6</v>
      </c>
      <c r="J84" s="157" t="s">
        <v>566</v>
      </c>
      <c r="K84" s="9">
        <f t="shared" si="5"/>
        <v>9.8357591324200904</v>
      </c>
      <c r="L84" s="2" t="s">
        <v>345</v>
      </c>
      <c r="M84" s="20">
        <f t="shared" si="3"/>
        <v>274000</v>
      </c>
      <c r="N84" s="2">
        <f t="shared" si="6"/>
        <v>1</v>
      </c>
      <c r="O84" s="20">
        <f t="shared" si="7"/>
        <v>274000</v>
      </c>
      <c r="P84" s="35">
        <f t="shared" si="4"/>
        <v>0.32151624936889422</v>
      </c>
      <c r="X84" s="132" t="s">
        <v>351</v>
      </c>
      <c r="Y84" s="5">
        <v>50</v>
      </c>
      <c r="Z84" s="5" t="s">
        <v>348</v>
      </c>
      <c r="AB84" s="29" t="s">
        <v>335</v>
      </c>
      <c r="AC84" s="9">
        <f>Y82</f>
        <v>4333.2815337127231</v>
      </c>
      <c r="AD84" s="2" t="s">
        <v>274</v>
      </c>
    </row>
    <row r="85" spans="2:30" ht="17.25">
      <c r="B85" s="2">
        <v>1</v>
      </c>
      <c r="C85" s="9">
        <f>C86</f>
        <v>0.31617229874852015</v>
      </c>
      <c r="D85" s="2" t="s">
        <v>289</v>
      </c>
      <c r="E85" s="20">
        <f>E87*0.25</f>
        <v>11600</v>
      </c>
      <c r="F85" s="9">
        <f>O73</f>
        <v>0.31617229874852015</v>
      </c>
      <c r="G85" s="2" t="s">
        <v>289</v>
      </c>
      <c r="I85" s="1">
        <v>7</v>
      </c>
      <c r="J85" s="157" t="s">
        <v>360</v>
      </c>
      <c r="K85" s="9">
        <f t="shared" si="5"/>
        <v>0.31617229874852015</v>
      </c>
      <c r="L85" s="2" t="s">
        <v>289</v>
      </c>
      <c r="M85" s="20">
        <f t="shared" si="3"/>
        <v>11600</v>
      </c>
      <c r="N85" s="2">
        <f t="shared" si="6"/>
        <v>1</v>
      </c>
      <c r="O85" s="20">
        <v>16050</v>
      </c>
      <c r="P85" s="35">
        <f t="shared" si="4"/>
        <v>1.8833342344418805E-2</v>
      </c>
      <c r="AB85" s="29" t="s">
        <v>354</v>
      </c>
      <c r="AC85" s="2">
        <v>4180</v>
      </c>
      <c r="AD85" s="2" t="s">
        <v>355</v>
      </c>
    </row>
    <row r="86" spans="2:30" ht="17.25">
      <c r="B86" s="2">
        <v>1</v>
      </c>
      <c r="C86" s="9">
        <f>E235</f>
        <v>0.31617229874852015</v>
      </c>
      <c r="D86" s="2" t="s">
        <v>289</v>
      </c>
      <c r="E86" s="20">
        <v>40500</v>
      </c>
      <c r="F86" s="9">
        <f>O73</f>
        <v>0.31617229874852015</v>
      </c>
      <c r="G86" s="2" t="s">
        <v>289</v>
      </c>
      <c r="I86" s="1">
        <v>8</v>
      </c>
      <c r="J86" s="157" t="s">
        <v>645</v>
      </c>
      <c r="K86" s="9">
        <f t="shared" si="5"/>
        <v>0.31617229874852015</v>
      </c>
      <c r="L86" s="2" t="s">
        <v>289</v>
      </c>
      <c r="M86" s="20">
        <f t="shared" si="3"/>
        <v>40500</v>
      </c>
      <c r="N86" s="2">
        <f>+IF(B86=1,ROUNDUP(F86/K86,0),0)</f>
        <v>1</v>
      </c>
      <c r="O86" s="20">
        <f>M86*N86</f>
        <v>40500</v>
      </c>
      <c r="P86" s="35">
        <f t="shared" si="4"/>
        <v>4.7523387224234367E-2</v>
      </c>
      <c r="AB86" s="29" t="s">
        <v>356</v>
      </c>
      <c r="AC86" s="2">
        <f>Y84</f>
        <v>50</v>
      </c>
      <c r="AD86" s="2" t="s">
        <v>348</v>
      </c>
    </row>
    <row r="87" spans="2:30" ht="17.25">
      <c r="B87" s="2">
        <v>1</v>
      </c>
      <c r="C87" s="9">
        <f>E239</f>
        <v>0.72221358895212051</v>
      </c>
      <c r="D87" s="2" t="s">
        <v>289</v>
      </c>
      <c r="E87" s="20">
        <v>46400</v>
      </c>
      <c r="F87" s="9">
        <f>O68</f>
        <v>0.72221358895212051</v>
      </c>
      <c r="G87" s="2" t="s">
        <v>289</v>
      </c>
      <c r="I87" s="1">
        <v>9</v>
      </c>
      <c r="J87" s="157" t="s">
        <v>646</v>
      </c>
      <c r="K87" s="9">
        <f t="shared" si="5"/>
        <v>0.72221358895212051</v>
      </c>
      <c r="L87" s="2" t="s">
        <v>289</v>
      </c>
      <c r="M87" s="20">
        <f t="shared" si="3"/>
        <v>46400</v>
      </c>
      <c r="N87" s="2">
        <f t="shared" si="6"/>
        <v>1</v>
      </c>
      <c r="O87" s="213">
        <f t="shared" si="7"/>
        <v>46400</v>
      </c>
      <c r="P87" s="35">
        <f t="shared" si="4"/>
        <v>5.4446547338382091E-2</v>
      </c>
      <c r="AB87" s="29" t="s">
        <v>358</v>
      </c>
      <c r="AC87" s="2">
        <f>Y83</f>
        <v>30</v>
      </c>
      <c r="AD87" s="2" t="s">
        <v>348</v>
      </c>
    </row>
    <row r="88" spans="2:30" ht="17.25">
      <c r="B88" s="2">
        <v>1</v>
      </c>
      <c r="C88" s="9">
        <f>E247</f>
        <v>0.45135334899127055</v>
      </c>
      <c r="D88" s="2" t="s">
        <v>289</v>
      </c>
      <c r="E88" s="20">
        <v>10000</v>
      </c>
      <c r="F88" s="9">
        <f>T65</f>
        <v>0.45135334899127055</v>
      </c>
      <c r="G88" s="2" t="s">
        <v>289</v>
      </c>
      <c r="I88" s="1">
        <v>10</v>
      </c>
      <c r="J88" s="157" t="s">
        <v>647</v>
      </c>
      <c r="K88" s="9">
        <f t="shared" si="5"/>
        <v>0.45135334899127055</v>
      </c>
      <c r="L88" s="2" t="s">
        <v>289</v>
      </c>
      <c r="M88" s="20">
        <f t="shared" si="3"/>
        <v>10000</v>
      </c>
      <c r="N88" s="2">
        <f t="shared" si="6"/>
        <v>1</v>
      </c>
      <c r="O88" s="32">
        <f t="shared" si="7"/>
        <v>10000</v>
      </c>
      <c r="P88" s="35">
        <f t="shared" si="4"/>
        <v>1.1734169684996141E-2</v>
      </c>
    </row>
    <row r="89" spans="2:30" ht="17.25">
      <c r="B89" s="2">
        <v>1</v>
      </c>
      <c r="C89" s="9">
        <v>2.16</v>
      </c>
      <c r="D89" s="2" t="s">
        <v>289</v>
      </c>
      <c r="E89" s="20">
        <v>14400</v>
      </c>
      <c r="F89" s="9">
        <f>T72</f>
        <v>4.3332815337127233</v>
      </c>
      <c r="G89" s="2" t="s">
        <v>289</v>
      </c>
      <c r="I89" s="1">
        <v>11</v>
      </c>
      <c r="J89" s="157" t="s">
        <v>648</v>
      </c>
      <c r="K89" s="9">
        <f t="shared" si="5"/>
        <v>4.3332815337127233</v>
      </c>
      <c r="L89" s="2" t="s">
        <v>289</v>
      </c>
      <c r="M89" s="20">
        <f t="shared" si="3"/>
        <v>26023.827635502272</v>
      </c>
      <c r="N89" s="2">
        <f>+IF(B89=1,ROUNDUP(F89/K89,0),0)</f>
        <v>1</v>
      </c>
      <c r="O89" s="32">
        <f>M89*N89</f>
        <v>26023.827635502272</v>
      </c>
      <c r="P89" s="35">
        <f t="shared" si="4"/>
        <v>3.0536800932807556E-2</v>
      </c>
      <c r="AB89" s="256" t="s">
        <v>361</v>
      </c>
      <c r="AC89" s="256"/>
      <c r="AD89" s="256"/>
    </row>
    <row r="90" spans="2:30" ht="17.25">
      <c r="B90" s="2">
        <v>1</v>
      </c>
      <c r="C90" s="9">
        <f>C220/1000</f>
        <v>1.5737214611872143</v>
      </c>
      <c r="D90" s="2" t="s">
        <v>345</v>
      </c>
      <c r="E90" s="20">
        <f>J220</f>
        <v>4780</v>
      </c>
      <c r="F90" s="9">
        <f>D28/24</f>
        <v>1.5737214611872146</v>
      </c>
      <c r="G90" s="2" t="s">
        <v>345</v>
      </c>
      <c r="I90" s="1">
        <v>12</v>
      </c>
      <c r="J90" s="157" t="s">
        <v>366</v>
      </c>
      <c r="K90" s="9">
        <f t="shared" si="5"/>
        <v>1.5737214611872146</v>
      </c>
      <c r="L90" s="2" t="s">
        <v>345</v>
      </c>
      <c r="M90" s="20">
        <f t="shared" si="3"/>
        <v>4780.0000000000009</v>
      </c>
      <c r="N90" s="2">
        <f t="shared" si="6"/>
        <v>1</v>
      </c>
      <c r="O90" s="32">
        <f t="shared" si="7"/>
        <v>4780.0000000000009</v>
      </c>
      <c r="P90" s="35">
        <f t="shared" si="4"/>
        <v>5.6089331094281566E-3</v>
      </c>
      <c r="AB90" s="29" t="s">
        <v>271</v>
      </c>
      <c r="AC90" s="127">
        <f>AC83</f>
        <v>4.1928511136387003</v>
      </c>
      <c r="AD90" s="2" t="s">
        <v>349</v>
      </c>
    </row>
    <row r="91" spans="2:30" ht="17.25">
      <c r="B91" s="2">
        <v>1</v>
      </c>
      <c r="C91" s="9">
        <f t="shared" ref="C91:C95" si="8">C221/1000</f>
        <v>9.245613584474885</v>
      </c>
      <c r="D91" s="2" t="s">
        <v>345</v>
      </c>
      <c r="E91" s="20">
        <f t="shared" ref="E91:E97" si="9">J221</f>
        <v>5230</v>
      </c>
      <c r="F91" s="9">
        <f>E28/24</f>
        <v>9.245613584474885</v>
      </c>
      <c r="G91" s="2" t="s">
        <v>345</v>
      </c>
      <c r="I91" s="1">
        <v>13</v>
      </c>
      <c r="J91" s="157" t="s">
        <v>369</v>
      </c>
      <c r="K91" s="9">
        <f t="shared" si="5"/>
        <v>9.245613584474885</v>
      </c>
      <c r="L91" s="2" t="s">
        <v>345</v>
      </c>
      <c r="M91" s="20">
        <f t="shared" si="3"/>
        <v>5230</v>
      </c>
      <c r="N91" s="2">
        <f>+IF(B91=1,ROUNDUP(F91/K91,0),0)</f>
        <v>1</v>
      </c>
      <c r="O91" s="32">
        <f>M91*N91</f>
        <v>5230</v>
      </c>
      <c r="P91" s="35">
        <f t="shared" si="4"/>
        <v>6.1369707452529811E-3</v>
      </c>
      <c r="AB91" s="29" t="s">
        <v>364</v>
      </c>
      <c r="AC91" s="2">
        <v>2200.6999999999998</v>
      </c>
      <c r="AD91" s="2" t="s">
        <v>365</v>
      </c>
    </row>
    <row r="92" spans="2:30" ht="17.25">
      <c r="B92" s="2">
        <v>1</v>
      </c>
      <c r="C92" s="9">
        <f t="shared" si="8"/>
        <v>4.9178795662100443</v>
      </c>
      <c r="D92" s="2" t="s">
        <v>345</v>
      </c>
      <c r="E92" s="20">
        <f t="shared" si="9"/>
        <v>5000</v>
      </c>
      <c r="F92" s="9">
        <f>F28/24</f>
        <v>4.9178795662100452</v>
      </c>
      <c r="G92" s="2" t="s">
        <v>345</v>
      </c>
      <c r="I92" s="1">
        <v>14</v>
      </c>
      <c r="J92" s="157" t="s">
        <v>371</v>
      </c>
      <c r="K92" s="9">
        <f t="shared" si="5"/>
        <v>4.9178795662100452</v>
      </c>
      <c r="L92" s="2" t="s">
        <v>345</v>
      </c>
      <c r="M92" s="20">
        <f t="shared" si="3"/>
        <v>5000.0000000000009</v>
      </c>
      <c r="N92" s="2">
        <f t="shared" si="6"/>
        <v>1</v>
      </c>
      <c r="O92" s="32">
        <f t="shared" si="7"/>
        <v>5000.0000000000009</v>
      </c>
      <c r="P92" s="35">
        <f t="shared" si="4"/>
        <v>5.8670848424980711E-3</v>
      </c>
      <c r="AB92" s="309" t="s">
        <v>367</v>
      </c>
      <c r="AC92" s="9">
        <f>AC90/AC91</f>
        <v>1.9052352040890175E-3</v>
      </c>
      <c r="AD92" s="2" t="s">
        <v>368</v>
      </c>
    </row>
    <row r="93" spans="2:30" ht="17.25">
      <c r="B93" s="2">
        <v>1</v>
      </c>
      <c r="C93" s="9">
        <f t="shared" si="8"/>
        <v>9.8357591324200886</v>
      </c>
      <c r="D93" s="2" t="s">
        <v>345</v>
      </c>
      <c r="E93" s="20">
        <f t="shared" si="9"/>
        <v>5340</v>
      </c>
      <c r="F93" s="9">
        <f>I28/24</f>
        <v>9.8357591324200904</v>
      </c>
      <c r="G93" s="2" t="s">
        <v>345</v>
      </c>
      <c r="I93" s="1">
        <v>15</v>
      </c>
      <c r="J93" s="157" t="s">
        <v>372</v>
      </c>
      <c r="K93" s="9">
        <f t="shared" si="5"/>
        <v>9.8357591324200904</v>
      </c>
      <c r="L93" s="2" t="s">
        <v>345</v>
      </c>
      <c r="M93" s="20">
        <f t="shared" si="3"/>
        <v>5340.0000000000009</v>
      </c>
      <c r="N93" s="2">
        <f t="shared" si="6"/>
        <v>1</v>
      </c>
      <c r="O93" s="32">
        <f t="shared" si="7"/>
        <v>5340.0000000000009</v>
      </c>
      <c r="P93" s="35">
        <f t="shared" si="4"/>
        <v>6.2660466117879397E-3</v>
      </c>
      <c r="AB93" s="309"/>
      <c r="AC93" s="9">
        <f>AC92*24*60*60</f>
        <v>164.61232163329112</v>
      </c>
      <c r="AD93" s="2" t="s">
        <v>370</v>
      </c>
    </row>
    <row r="94" spans="2:30" ht="17.25">
      <c r="B94" s="2">
        <v>1</v>
      </c>
      <c r="C94" s="9">
        <f t="shared" si="8"/>
        <v>0.20764380390664633</v>
      </c>
      <c r="D94" s="2" t="s">
        <v>345</v>
      </c>
      <c r="E94" s="20">
        <f t="shared" si="9"/>
        <v>4560</v>
      </c>
      <c r="F94" s="9">
        <f>L28/24</f>
        <v>0.2076438039066463</v>
      </c>
      <c r="G94" s="2" t="s">
        <v>345</v>
      </c>
      <c r="I94" s="1">
        <v>16</v>
      </c>
      <c r="J94" s="157" t="s">
        <v>373</v>
      </c>
      <c r="K94" s="9">
        <f t="shared" si="5"/>
        <v>0.2076438039066463</v>
      </c>
      <c r="L94" s="2" t="s">
        <v>345</v>
      </c>
      <c r="M94" s="20">
        <f t="shared" si="3"/>
        <v>4559.9999999999991</v>
      </c>
      <c r="N94" s="2">
        <f t="shared" si="6"/>
        <v>1</v>
      </c>
      <c r="O94" s="32">
        <f t="shared" si="7"/>
        <v>4559.9999999999991</v>
      </c>
      <c r="P94" s="35">
        <f t="shared" si="4"/>
        <v>5.3507813763582386E-3</v>
      </c>
      <c r="AB94" s="29" t="s">
        <v>227</v>
      </c>
      <c r="AC94" s="2">
        <v>120</v>
      </c>
      <c r="AD94" s="2" t="s">
        <v>348</v>
      </c>
    </row>
    <row r="95" spans="2:30" ht="17.25">
      <c r="B95" s="2">
        <v>1</v>
      </c>
      <c r="C95" s="9">
        <f t="shared" si="8"/>
        <v>0.20764380390664633</v>
      </c>
      <c r="D95" s="2" t="s">
        <v>345</v>
      </c>
      <c r="E95" s="20">
        <v>4560</v>
      </c>
      <c r="F95" s="9">
        <f>M28/24</f>
        <v>0.2076438039066463</v>
      </c>
      <c r="G95" s="2" t="s">
        <v>345</v>
      </c>
      <c r="I95" s="1">
        <v>17</v>
      </c>
      <c r="J95" s="157" t="s">
        <v>374</v>
      </c>
      <c r="K95" s="9">
        <f t="shared" si="5"/>
        <v>0.2076438039066463</v>
      </c>
      <c r="L95" s="2" t="s">
        <v>345</v>
      </c>
      <c r="M95" s="20">
        <f t="shared" si="3"/>
        <v>4559.9999999999991</v>
      </c>
      <c r="N95" s="2">
        <f t="shared" si="6"/>
        <v>1</v>
      </c>
      <c r="O95" s="32">
        <f t="shared" si="7"/>
        <v>4559.9999999999991</v>
      </c>
      <c r="P95" s="35">
        <f t="shared" si="4"/>
        <v>5.3507813763582386E-3</v>
      </c>
    </row>
    <row r="96" spans="2:30" ht="17.25">
      <c r="B96" s="2">
        <v>1</v>
      </c>
      <c r="C96" s="9">
        <v>1.6937801718670722</v>
      </c>
      <c r="D96" s="2" t="s">
        <v>345</v>
      </c>
      <c r="E96" s="20">
        <v>4560</v>
      </c>
      <c r="F96" s="9">
        <f>O28/24</f>
        <v>0.31617229874852015</v>
      </c>
      <c r="G96" s="2" t="s">
        <v>345</v>
      </c>
      <c r="I96" s="1">
        <v>18</v>
      </c>
      <c r="J96" s="157" t="s">
        <v>649</v>
      </c>
      <c r="K96" s="9">
        <f t="shared" si="5"/>
        <v>1.6937801718670722</v>
      </c>
      <c r="L96" s="2" t="s">
        <v>345</v>
      </c>
      <c r="M96" s="20">
        <f t="shared" si="3"/>
        <v>4560</v>
      </c>
      <c r="N96" s="2">
        <f t="shared" si="6"/>
        <v>1</v>
      </c>
      <c r="O96" s="32">
        <f t="shared" si="7"/>
        <v>4560</v>
      </c>
      <c r="P96" s="35">
        <f t="shared" si="4"/>
        <v>5.3507813763582403E-3</v>
      </c>
    </row>
    <row r="97" spans="2:16" ht="17.25">
      <c r="B97" s="2">
        <v>1</v>
      </c>
      <c r="C97" s="9">
        <v>1.5162447195268898</v>
      </c>
      <c r="D97" s="2" t="s">
        <v>345</v>
      </c>
      <c r="E97" s="20">
        <f t="shared" si="9"/>
        <v>4560</v>
      </c>
      <c r="F97" s="9">
        <f>P28/24</f>
        <v>0.13863684640833751</v>
      </c>
      <c r="G97" s="2" t="s">
        <v>345</v>
      </c>
      <c r="I97" s="1">
        <v>19</v>
      </c>
      <c r="J97" s="157" t="s">
        <v>650</v>
      </c>
      <c r="K97" s="9">
        <f t="shared" si="5"/>
        <v>1.5162447195268898</v>
      </c>
      <c r="L97" s="2" t="s">
        <v>345</v>
      </c>
      <c r="M97" s="20">
        <f t="shared" si="3"/>
        <v>4560</v>
      </c>
      <c r="N97" s="2">
        <f t="shared" si="6"/>
        <v>1</v>
      </c>
      <c r="O97" s="32">
        <f t="shared" si="7"/>
        <v>4560</v>
      </c>
      <c r="P97" s="35">
        <f t="shared" si="4"/>
        <v>5.3507813763582403E-3</v>
      </c>
    </row>
    <row r="98" spans="2:16" ht="17.25">
      <c r="B98" s="2">
        <v>1</v>
      </c>
      <c r="C98" s="9">
        <f>C229/1000</f>
        <v>0.18055339723803013</v>
      </c>
      <c r="D98" s="2" t="s">
        <v>345</v>
      </c>
      <c r="E98" s="20">
        <v>4560</v>
      </c>
      <c r="F98" s="9">
        <f>R28/24</f>
        <v>0.18055339723803013</v>
      </c>
      <c r="G98" s="2" t="s">
        <v>345</v>
      </c>
      <c r="I98" s="1">
        <v>20</v>
      </c>
      <c r="J98" s="157" t="s">
        <v>651</v>
      </c>
      <c r="K98" s="9">
        <f t="shared" si="5"/>
        <v>0.18055339723803013</v>
      </c>
      <c r="L98" s="2" t="s">
        <v>345</v>
      </c>
      <c r="M98" s="20">
        <f t="shared" si="3"/>
        <v>4560</v>
      </c>
      <c r="N98" s="2">
        <f t="shared" si="6"/>
        <v>1</v>
      </c>
      <c r="O98" s="32">
        <f t="shared" si="7"/>
        <v>4560</v>
      </c>
      <c r="P98" s="35">
        <f t="shared" si="4"/>
        <v>5.3507813763582403E-3</v>
      </c>
    </row>
    <row r="99" spans="2:16" ht="17.25">
      <c r="B99" s="2">
        <v>1</v>
      </c>
      <c r="C99" s="9">
        <f>C230/1000</f>
        <v>0.17753545234018261</v>
      </c>
      <c r="D99" s="2" t="s">
        <v>345</v>
      </c>
      <c r="E99" s="20">
        <v>4560</v>
      </c>
      <c r="F99" s="9">
        <f>S28/24</f>
        <v>0.11163607233764511</v>
      </c>
      <c r="G99" s="2" t="s">
        <v>345</v>
      </c>
      <c r="I99" s="1">
        <v>21</v>
      </c>
      <c r="J99" s="157" t="s">
        <v>652</v>
      </c>
      <c r="K99" s="9">
        <f t="shared" si="5"/>
        <v>0.17753545234018261</v>
      </c>
      <c r="L99" s="2" t="s">
        <v>345</v>
      </c>
      <c r="M99" s="20">
        <f t="shared" si="3"/>
        <v>4560</v>
      </c>
      <c r="N99" s="2">
        <f t="shared" si="6"/>
        <v>1</v>
      </c>
      <c r="O99" s="32">
        <f t="shared" si="7"/>
        <v>4560</v>
      </c>
      <c r="P99" s="35">
        <f t="shared" si="4"/>
        <v>5.3507813763582403E-3</v>
      </c>
    </row>
    <row r="100" spans="2:16" ht="17.25">
      <c r="B100" s="2">
        <v>1</v>
      </c>
      <c r="C100" s="9">
        <f>C231/1000</f>
        <v>1.8806389541302936E-2</v>
      </c>
      <c r="D100" s="2" t="s">
        <v>345</v>
      </c>
      <c r="E100" s="20">
        <v>4560</v>
      </c>
      <c r="F100" s="9">
        <f>T28/24</f>
        <v>1.880638954130294E-2</v>
      </c>
      <c r="G100" s="2" t="s">
        <v>345</v>
      </c>
      <c r="I100" s="1">
        <v>22</v>
      </c>
      <c r="J100" s="158" t="s">
        <v>653</v>
      </c>
      <c r="K100" s="9">
        <f t="shared" si="5"/>
        <v>1.880638954130294E-2</v>
      </c>
      <c r="L100" s="2" t="s">
        <v>345</v>
      </c>
      <c r="M100" s="20">
        <f t="shared" si="3"/>
        <v>4560.0000000000009</v>
      </c>
      <c r="N100" s="2">
        <f t="shared" si="6"/>
        <v>1</v>
      </c>
      <c r="O100" s="32">
        <f t="shared" si="7"/>
        <v>4560.0000000000009</v>
      </c>
      <c r="P100" s="35">
        <f t="shared" si="4"/>
        <v>5.3507813763582412E-3</v>
      </c>
    </row>
    <row r="101" spans="2:16" ht="17.25">
      <c r="B101" s="2">
        <v>1</v>
      </c>
      <c r="C101" s="9">
        <v>1.4227753443683409</v>
      </c>
      <c r="D101" s="2" t="s">
        <v>345</v>
      </c>
      <c r="E101" s="20">
        <f>E84</f>
        <v>274000</v>
      </c>
      <c r="F101" s="9">
        <f>O28/24</f>
        <v>0.31617229874852015</v>
      </c>
      <c r="G101" s="2" t="s">
        <v>345</v>
      </c>
      <c r="I101" s="1">
        <v>23</v>
      </c>
      <c r="J101" s="157" t="s">
        <v>566</v>
      </c>
      <c r="K101" s="123">
        <f t="shared" si="5"/>
        <v>1.4227753443683409</v>
      </c>
      <c r="L101" s="2" t="s">
        <v>345</v>
      </c>
      <c r="M101" s="32">
        <f t="shared" si="3"/>
        <v>274000</v>
      </c>
      <c r="N101" s="124">
        <f t="shared" si="6"/>
        <v>1</v>
      </c>
      <c r="O101" s="32">
        <f t="shared" si="7"/>
        <v>274000</v>
      </c>
      <c r="P101" s="36">
        <f t="shared" si="4"/>
        <v>0.32151624936889422</v>
      </c>
    </row>
    <row r="102" spans="2:16" ht="17.25">
      <c r="B102" s="2">
        <v>1</v>
      </c>
      <c r="C102" s="9">
        <v>0.2</v>
      </c>
      <c r="D102" s="2" t="s">
        <v>287</v>
      </c>
      <c r="E102" s="20">
        <v>20000</v>
      </c>
      <c r="F102" s="9">
        <f>Y69</f>
        <v>0.11503360066506021</v>
      </c>
      <c r="G102" s="2" t="s">
        <v>287</v>
      </c>
      <c r="I102" s="1">
        <v>24</v>
      </c>
      <c r="J102" s="1" t="s">
        <v>654</v>
      </c>
      <c r="K102" s="9">
        <f t="shared" si="5"/>
        <v>0.2</v>
      </c>
      <c r="L102" s="2" t="s">
        <v>287</v>
      </c>
      <c r="M102" s="20">
        <f t="shared" si="3"/>
        <v>20000</v>
      </c>
      <c r="N102" s="2">
        <f t="shared" si="6"/>
        <v>1</v>
      </c>
      <c r="O102" s="32">
        <f t="shared" si="7"/>
        <v>20000</v>
      </c>
      <c r="P102" s="36">
        <f t="shared" si="4"/>
        <v>2.3468339369992281E-2</v>
      </c>
    </row>
    <row r="103" spans="2:16" ht="18" thickBot="1">
      <c r="B103" s="2">
        <v>1</v>
      </c>
      <c r="C103" s="9">
        <v>0.05</v>
      </c>
      <c r="D103" s="2" t="s">
        <v>289</v>
      </c>
      <c r="E103" s="20">
        <v>10000</v>
      </c>
      <c r="F103" s="9">
        <f>K71</f>
        <v>3.4659211602084378E-2</v>
      </c>
      <c r="G103" s="2" t="s">
        <v>289</v>
      </c>
      <c r="I103" s="1">
        <v>25</v>
      </c>
      <c r="J103" s="1" t="s">
        <v>638</v>
      </c>
      <c r="K103" s="9">
        <f t="shared" si="5"/>
        <v>0.05</v>
      </c>
      <c r="L103" s="2" t="s">
        <v>289</v>
      </c>
      <c r="M103" s="20">
        <f t="shared" si="3"/>
        <v>10000</v>
      </c>
      <c r="N103" s="2">
        <f t="shared" si="6"/>
        <v>1</v>
      </c>
      <c r="O103" s="32">
        <f t="shared" si="7"/>
        <v>10000</v>
      </c>
      <c r="P103" s="36">
        <f t="shared" si="4"/>
        <v>1.1734169684996141E-2</v>
      </c>
    </row>
    <row r="104" spans="2:16" ht="15.75" thickBot="1">
      <c r="O104" s="33">
        <f>SUM(O79:O103)</f>
        <v>852211.98162716778</v>
      </c>
      <c r="P104" s="34">
        <f>SUM(P79:P101)</f>
        <v>0.96479749094501166</v>
      </c>
    </row>
    <row r="105" spans="2:16">
      <c r="B105" s="310" t="s">
        <v>376</v>
      </c>
      <c r="C105" s="310"/>
      <c r="D105" s="1">
        <v>0.85</v>
      </c>
      <c r="E105" s="1"/>
    </row>
    <row r="106" spans="2:16">
      <c r="B106" s="252" t="s">
        <v>377</v>
      </c>
      <c r="C106" s="252"/>
      <c r="D106" s="252"/>
      <c r="E106" s="1">
        <f>0.73+2.07+2.11+1.91+2.29+1.36</f>
        <v>10.469999999999999</v>
      </c>
      <c r="I106" s="303" t="s">
        <v>378</v>
      </c>
      <c r="J106" s="303"/>
      <c r="K106" s="303"/>
      <c r="L106" s="303"/>
      <c r="M106" s="303"/>
    </row>
    <row r="107" spans="2:16">
      <c r="I107" s="31" t="s">
        <v>341</v>
      </c>
      <c r="J107" s="31" t="s">
        <v>342</v>
      </c>
      <c r="K107" s="31" t="s">
        <v>380</v>
      </c>
      <c r="L107" s="31" t="s">
        <v>381</v>
      </c>
      <c r="M107" s="31" t="s">
        <v>17</v>
      </c>
    </row>
    <row r="108" spans="2:16">
      <c r="B108" s="310" t="s">
        <v>383</v>
      </c>
      <c r="C108" s="310"/>
      <c r="D108" s="310"/>
      <c r="I108" s="1">
        <v>1</v>
      </c>
      <c r="J108" s="1" t="s">
        <v>382</v>
      </c>
      <c r="K108" s="1">
        <v>1</v>
      </c>
      <c r="L108" s="21">
        <f>O104</f>
        <v>852211.98162716778</v>
      </c>
      <c r="M108" s="35">
        <f>(L108/$L$121)</f>
        <v>0.24390243902439024</v>
      </c>
    </row>
    <row r="109" spans="2:16" ht="17.25">
      <c r="B109" s="52" t="s">
        <v>308</v>
      </c>
      <c r="C109" s="5">
        <f>'Escenario 2'!C90</f>
        <v>50</v>
      </c>
      <c r="D109" s="2" t="s">
        <v>33</v>
      </c>
      <c r="I109" s="1">
        <v>2</v>
      </c>
      <c r="J109" s="1" t="s">
        <v>386</v>
      </c>
      <c r="K109" s="1">
        <v>0.38</v>
      </c>
      <c r="L109" s="21">
        <f>K109*$L$108</f>
        <v>323840.55301832379</v>
      </c>
      <c r="M109" s="35">
        <f t="shared" ref="M109:M120" si="10">(L109/$L$121)</f>
        <v>9.2682926829268306E-2</v>
      </c>
    </row>
    <row r="110" spans="2:16" ht="17.25">
      <c r="B110" s="52" t="s">
        <v>277</v>
      </c>
      <c r="C110" s="5">
        <f>'Escenario 2'!C91</f>
        <v>0.05</v>
      </c>
      <c r="D110" s="2" t="s">
        <v>33</v>
      </c>
      <c r="I110" s="1">
        <v>3</v>
      </c>
      <c r="J110" s="1" t="s">
        <v>387</v>
      </c>
      <c r="K110" s="1">
        <v>0.12</v>
      </c>
      <c r="L110" s="21">
        <f>K110*$L$108</f>
        <v>102265.43779526014</v>
      </c>
      <c r="M110" s="35">
        <f t="shared" si="10"/>
        <v>2.9268292682926831E-2</v>
      </c>
    </row>
    <row r="111" spans="2:16" ht="18">
      <c r="B111" s="53" t="s">
        <v>143</v>
      </c>
      <c r="C111" s="5">
        <f>'Escenario 2'!C92</f>
        <v>0.1</v>
      </c>
      <c r="D111" s="2" t="s">
        <v>324</v>
      </c>
      <c r="I111" s="1">
        <v>4</v>
      </c>
      <c r="J111" s="1" t="s">
        <v>388</v>
      </c>
      <c r="K111" s="1">
        <v>0.31</v>
      </c>
      <c r="L111" s="21">
        <f>K111*$L$108</f>
        <v>264185.71430442203</v>
      </c>
      <c r="M111" s="35">
        <f t="shared" si="10"/>
        <v>7.5609756097560973E-2</v>
      </c>
    </row>
    <row r="112" spans="2:16">
      <c r="B112" s="52" t="s">
        <v>390</v>
      </c>
      <c r="C112" s="5">
        <f>'Escenario 2'!C93</f>
        <v>0.3</v>
      </c>
      <c r="D112" s="2" t="s">
        <v>324</v>
      </c>
      <c r="I112" s="1">
        <v>5</v>
      </c>
      <c r="J112" s="1" t="s">
        <v>389</v>
      </c>
      <c r="K112" s="1">
        <v>0.1</v>
      </c>
      <c r="L112" s="21">
        <f t="shared" ref="L112:L120" si="11">K112*$L$108</f>
        <v>85221.198162716784</v>
      </c>
      <c r="M112" s="35">
        <f t="shared" si="10"/>
        <v>2.4390243902439025E-2</v>
      </c>
    </row>
    <row r="113" spans="2:13">
      <c r="B113" s="52" t="s">
        <v>321</v>
      </c>
      <c r="C113" s="5">
        <f>'Escenario 2'!C94</f>
        <v>0.25</v>
      </c>
      <c r="D113" s="2" t="s">
        <v>9</v>
      </c>
      <c r="I113" s="1">
        <v>6</v>
      </c>
      <c r="J113" s="1" t="s">
        <v>391</v>
      </c>
      <c r="K113" s="1">
        <v>0.28999999999999998</v>
      </c>
      <c r="L113" s="21">
        <f t="shared" si="11"/>
        <v>247141.47467187865</v>
      </c>
      <c r="M113" s="35">
        <f t="shared" si="10"/>
        <v>7.0731707317073164E-2</v>
      </c>
    </row>
    <row r="114" spans="2:13">
      <c r="B114" s="52" t="s">
        <v>393</v>
      </c>
      <c r="C114" s="5">
        <f>'Escenario 2'!C95</f>
        <v>10</v>
      </c>
      <c r="D114" s="2" t="s">
        <v>324</v>
      </c>
      <c r="I114" s="1">
        <v>7</v>
      </c>
      <c r="J114" s="1" t="s">
        <v>392</v>
      </c>
      <c r="K114" s="1">
        <v>0.1</v>
      </c>
      <c r="L114" s="21">
        <f t="shared" si="11"/>
        <v>85221.198162716784</v>
      </c>
      <c r="M114" s="35">
        <f t="shared" si="10"/>
        <v>2.4390243902439025E-2</v>
      </c>
    </row>
    <row r="115" spans="2:13" ht="17.25">
      <c r="B115" s="52" t="s">
        <v>395</v>
      </c>
      <c r="C115" s="5">
        <f>'Escenario 2'!C96</f>
        <v>0.05</v>
      </c>
      <c r="D115" s="2" t="s">
        <v>33</v>
      </c>
      <c r="I115" s="1">
        <v>8</v>
      </c>
      <c r="J115" s="1" t="s">
        <v>394</v>
      </c>
      <c r="K115" s="1">
        <v>0.54</v>
      </c>
      <c r="L115" s="21">
        <f t="shared" si="11"/>
        <v>460194.47007867065</v>
      </c>
      <c r="M115" s="35">
        <f t="shared" si="10"/>
        <v>0.13170731707317074</v>
      </c>
    </row>
    <row r="116" spans="2:13">
      <c r="B116" s="52" t="s">
        <v>331</v>
      </c>
      <c r="C116" s="5">
        <f>'Escenario 2'!C97</f>
        <v>0.5</v>
      </c>
      <c r="D116" s="2" t="s">
        <v>324</v>
      </c>
      <c r="I116" s="1">
        <v>9</v>
      </c>
      <c r="J116" s="1" t="s">
        <v>396</v>
      </c>
      <c r="K116" s="1">
        <v>0.06</v>
      </c>
      <c r="L116" s="21">
        <f t="shared" si="11"/>
        <v>51132.718897630068</v>
      </c>
      <c r="M116" s="35">
        <f t="shared" si="10"/>
        <v>1.4634146341463415E-2</v>
      </c>
    </row>
    <row r="117" spans="2:13" ht="17.25">
      <c r="B117" s="52" t="s">
        <v>593</v>
      </c>
      <c r="C117" s="2">
        <v>0.6</v>
      </c>
      <c r="D117" s="2" t="s">
        <v>33</v>
      </c>
      <c r="E117" s="60"/>
      <c r="F117" s="62" t="s">
        <v>384</v>
      </c>
      <c r="G117" s="62" t="s">
        <v>385</v>
      </c>
      <c r="I117" s="1">
        <v>10</v>
      </c>
      <c r="J117" s="1" t="s">
        <v>397</v>
      </c>
      <c r="K117" s="1">
        <v>0.32</v>
      </c>
      <c r="L117" s="21">
        <f t="shared" si="11"/>
        <v>272707.83412069367</v>
      </c>
      <c r="M117" s="35">
        <f t="shared" si="10"/>
        <v>7.8048780487804878E-2</v>
      </c>
    </row>
    <row r="118" spans="2:13">
      <c r="B118" s="70" t="s">
        <v>655</v>
      </c>
      <c r="C118" s="65">
        <v>0.14000000000000001</v>
      </c>
      <c r="D118" s="65" t="s">
        <v>324</v>
      </c>
      <c r="F118" s="2">
        <v>24</v>
      </c>
      <c r="G118" s="2">
        <v>365</v>
      </c>
      <c r="I118" s="1">
        <v>11</v>
      </c>
      <c r="J118" s="1" t="s">
        <v>399</v>
      </c>
      <c r="K118" s="1">
        <v>0.34</v>
      </c>
      <c r="L118" s="21">
        <f t="shared" si="11"/>
        <v>289752.07375323708</v>
      </c>
      <c r="M118" s="35">
        <f t="shared" si="10"/>
        <v>8.2926829268292687E-2</v>
      </c>
    </row>
    <row r="119" spans="2:13">
      <c r="B119" s="310" t="s">
        <v>400</v>
      </c>
      <c r="C119" s="310"/>
      <c r="D119" s="310"/>
      <c r="E119" s="60"/>
      <c r="I119" s="1">
        <v>12</v>
      </c>
      <c r="J119" s="1" t="s">
        <v>401</v>
      </c>
      <c r="K119" s="1">
        <v>0.18</v>
      </c>
      <c r="L119" s="21">
        <f t="shared" si="11"/>
        <v>153398.15669289019</v>
      </c>
      <c r="M119" s="35">
        <f t="shared" si="10"/>
        <v>4.3902439024390241E-2</v>
      </c>
    </row>
    <row r="120" spans="2:13" ht="18" thickBot="1">
      <c r="B120" s="54" t="s">
        <v>402</v>
      </c>
      <c r="C120" s="2">
        <v>19</v>
      </c>
      <c r="D120" s="2" t="s">
        <v>403</v>
      </c>
      <c r="I120" s="1">
        <v>13</v>
      </c>
      <c r="J120" s="1" t="s">
        <v>404</v>
      </c>
      <c r="K120" s="1">
        <v>0.36</v>
      </c>
      <c r="L120" s="24">
        <f t="shared" si="11"/>
        <v>306796.31338578038</v>
      </c>
      <c r="M120" s="36">
        <f t="shared" si="10"/>
        <v>8.7804878048780483E-2</v>
      </c>
    </row>
    <row r="121" spans="2:13" ht="15.75" thickBot="1">
      <c r="B121" s="304" t="s">
        <v>405</v>
      </c>
      <c r="C121" s="9">
        <f>(C120*C148)/1000</f>
        <v>21.528509589041096</v>
      </c>
      <c r="D121" s="2" t="s">
        <v>349</v>
      </c>
      <c r="E121" s="75"/>
      <c r="L121" s="33">
        <f>SUM(L108:L120)</f>
        <v>3494069.124671388</v>
      </c>
      <c r="M121" s="37">
        <f>SUM(M108:M120)</f>
        <v>1</v>
      </c>
    </row>
    <row r="122" spans="2:13">
      <c r="B122" s="305"/>
      <c r="C122" s="9">
        <f>(C121*F118)</f>
        <v>516.68423013698634</v>
      </c>
      <c r="D122" s="2" t="s">
        <v>406</v>
      </c>
    </row>
    <row r="123" spans="2:13" ht="17.25">
      <c r="B123" s="54" t="s">
        <v>656</v>
      </c>
      <c r="C123" s="2">
        <v>1</v>
      </c>
      <c r="D123" s="2" t="s">
        <v>446</v>
      </c>
      <c r="I123" s="303" t="s">
        <v>409</v>
      </c>
      <c r="J123" s="303"/>
      <c r="K123" s="303"/>
      <c r="L123" s="303"/>
      <c r="M123" s="303"/>
    </row>
    <row r="124" spans="2:13">
      <c r="B124" s="304" t="s">
        <v>657</v>
      </c>
      <c r="C124" s="9">
        <f>C123*O73</f>
        <v>0.31617229874852015</v>
      </c>
      <c r="D124" s="2" t="s">
        <v>411</v>
      </c>
      <c r="I124" s="38" t="s">
        <v>341</v>
      </c>
      <c r="J124" s="38" t="s">
        <v>342</v>
      </c>
      <c r="K124" s="38" t="s">
        <v>380</v>
      </c>
      <c r="L124" s="38" t="s">
        <v>381</v>
      </c>
      <c r="M124" s="39" t="s">
        <v>17</v>
      </c>
    </row>
    <row r="125" spans="2:13">
      <c r="B125" s="305"/>
      <c r="C125" s="9">
        <f>C124*F118</f>
        <v>7.5881351699644837</v>
      </c>
      <c r="D125" s="2" t="s">
        <v>406</v>
      </c>
      <c r="I125" s="1">
        <v>1</v>
      </c>
      <c r="J125" s="1" t="s">
        <v>412</v>
      </c>
      <c r="K125" s="1">
        <v>10</v>
      </c>
      <c r="L125" s="1"/>
      <c r="M125" s="1"/>
    </row>
    <row r="126" spans="2:13" ht="17.25">
      <c r="B126" s="54" t="s">
        <v>658</v>
      </c>
      <c r="C126" s="2">
        <v>1</v>
      </c>
      <c r="D126" s="2" t="s">
        <v>446</v>
      </c>
      <c r="I126" s="1">
        <v>2</v>
      </c>
      <c r="J126" s="1" t="s">
        <v>414</v>
      </c>
      <c r="K126" s="1"/>
      <c r="L126" s="21">
        <f>(L121-L114)/K125</f>
        <v>340884.79265086714</v>
      </c>
      <c r="M126" s="35">
        <f>(L126/$L$130)</f>
        <v>0.82484431063636732</v>
      </c>
    </row>
    <row r="127" spans="2:13">
      <c r="B127" s="304" t="s">
        <v>659</v>
      </c>
      <c r="C127" s="9">
        <f>C126*O68</f>
        <v>0.72221358895212051</v>
      </c>
      <c r="D127" s="2" t="s">
        <v>411</v>
      </c>
      <c r="I127" s="1">
        <v>3</v>
      </c>
      <c r="J127" s="1" t="s">
        <v>416</v>
      </c>
      <c r="K127" s="1">
        <v>0.01</v>
      </c>
      <c r="L127" s="21">
        <f>K127*$L$126</f>
        <v>3408.8479265086717</v>
      </c>
      <c r="M127" s="35">
        <f>(L127/$L$130)</f>
        <v>8.2484431063636742E-3</v>
      </c>
    </row>
    <row r="128" spans="2:13">
      <c r="B128" s="305"/>
      <c r="C128" s="9">
        <f>C127*F118</f>
        <v>17.333126134850893</v>
      </c>
      <c r="D128" s="2" t="s">
        <v>406</v>
      </c>
      <c r="I128" s="1">
        <v>4</v>
      </c>
      <c r="J128" s="1" t="s">
        <v>418</v>
      </c>
      <c r="K128" s="1">
        <v>6.0000000000000001E-3</v>
      </c>
      <c r="L128" s="21">
        <f>K128*$L$126</f>
        <v>2045.3087559052028</v>
      </c>
      <c r="M128" s="35">
        <f>(L128/$L$130)</f>
        <v>4.9490658638182044E-3</v>
      </c>
    </row>
    <row r="129" spans="2:31" ht="15.75" thickBot="1">
      <c r="B129" s="54" t="s">
        <v>413</v>
      </c>
      <c r="C129" s="9">
        <f>C125+C122+C128</f>
        <v>541.60549144180175</v>
      </c>
      <c r="D129" s="2" t="s">
        <v>406</v>
      </c>
      <c r="I129" s="1">
        <v>5</v>
      </c>
      <c r="J129" s="1" t="s">
        <v>419</v>
      </c>
      <c r="K129" s="1">
        <v>0.21</v>
      </c>
      <c r="L129" s="24">
        <f>K129*SUM(L108:L119)/K125</f>
        <v>66932.729036997756</v>
      </c>
      <c r="M129" s="36">
        <f>(L129/$L$130)</f>
        <v>0.16195818039345072</v>
      </c>
    </row>
    <row r="130" spans="2:31" ht="17.100000000000001" customHeight="1" thickBot="1">
      <c r="B130" s="54" t="s">
        <v>415</v>
      </c>
      <c r="C130" s="2" t="s">
        <v>12</v>
      </c>
      <c r="D130" s="2" t="s">
        <v>403</v>
      </c>
      <c r="L130" s="33">
        <f>SUM(L126:L129)</f>
        <v>413271.67837027879</v>
      </c>
      <c r="M130" s="37">
        <f>SUM(M126:M129)</f>
        <v>0.99999999999999978</v>
      </c>
    </row>
    <row r="131" spans="2:31">
      <c r="B131" s="304" t="s">
        <v>417</v>
      </c>
      <c r="C131" s="7" t="s">
        <v>12</v>
      </c>
      <c r="D131" s="2" t="s">
        <v>349</v>
      </c>
    </row>
    <row r="132" spans="2:31">
      <c r="B132" s="306"/>
      <c r="C132" s="9">
        <f>(C133/3600)*8</f>
        <v>49.834512937595122</v>
      </c>
      <c r="D132" s="2" t="s">
        <v>406</v>
      </c>
      <c r="I132" s="292" t="s">
        <v>424</v>
      </c>
      <c r="J132" s="292"/>
      <c r="K132" s="292"/>
      <c r="L132" s="292"/>
      <c r="M132" s="292"/>
      <c r="N132" s="292"/>
      <c r="Q132" s="300" t="s">
        <v>425</v>
      </c>
      <c r="R132" s="301"/>
      <c r="S132" s="302"/>
      <c r="U132" s="256" t="s">
        <v>426</v>
      </c>
      <c r="V132" s="256"/>
      <c r="W132" s="256"/>
      <c r="Z132" s="298" t="s">
        <v>135</v>
      </c>
      <c r="AA132" s="298"/>
      <c r="AB132" s="298" t="s">
        <v>427</v>
      </c>
      <c r="AC132" s="298"/>
      <c r="AD132" s="298" t="s">
        <v>428</v>
      </c>
      <c r="AE132" s="298"/>
    </row>
    <row r="133" spans="2:31" ht="16.5" customHeight="1" thickBot="1">
      <c r="B133" s="307"/>
      <c r="C133" s="109">
        <f>K68</f>
        <v>22425.530821917804</v>
      </c>
      <c r="D133" s="107" t="s">
        <v>420</v>
      </c>
      <c r="I133" s="31" t="s">
        <v>341</v>
      </c>
      <c r="J133" s="31" t="s">
        <v>429</v>
      </c>
      <c r="K133" s="31" t="s">
        <v>430</v>
      </c>
      <c r="L133" s="31" t="s">
        <v>431</v>
      </c>
      <c r="M133" s="31" t="s">
        <v>381</v>
      </c>
      <c r="N133" s="31" t="s">
        <v>17</v>
      </c>
      <c r="Q133" s="129" t="s">
        <v>135</v>
      </c>
      <c r="R133" s="86">
        <f>M141</f>
        <v>71837.926416460992</v>
      </c>
      <c r="S133" s="128">
        <f>(R133/$R$136)</f>
        <v>0.16724087953648539</v>
      </c>
      <c r="U133" s="29" t="s">
        <v>4</v>
      </c>
      <c r="V133" s="20">
        <f>C176</f>
        <v>3566456.0103907995</v>
      </c>
      <c r="W133" s="35">
        <f>V133/$V$135</f>
        <v>0.89250569205665164</v>
      </c>
      <c r="X133" s="60" t="s">
        <v>432</v>
      </c>
      <c r="Z133" s="55" t="s">
        <v>433</v>
      </c>
      <c r="AA133" s="130">
        <f>N134</f>
        <v>0.21588909610350676</v>
      </c>
      <c r="AB133" s="55" t="s">
        <v>434</v>
      </c>
      <c r="AC133" s="130">
        <f>N143+N144+N145+N146</f>
        <v>0.71905548796772878</v>
      </c>
      <c r="AD133" s="55" t="s">
        <v>428</v>
      </c>
      <c r="AE133" s="130">
        <f>N150</f>
        <v>0.2387320488145746</v>
      </c>
    </row>
    <row r="134" spans="2:31" ht="16.5" customHeight="1">
      <c r="B134" s="104" t="s">
        <v>421</v>
      </c>
      <c r="C134" s="105">
        <f>AC83</f>
        <v>4.1928511136387003</v>
      </c>
      <c r="D134" s="106" t="s">
        <v>349</v>
      </c>
      <c r="E134" s="60" t="s">
        <v>422</v>
      </c>
      <c r="I134" s="1">
        <v>1</v>
      </c>
      <c r="J134" s="1" t="s">
        <v>390</v>
      </c>
      <c r="K134" s="1">
        <f>I32*C152*G118</f>
        <v>51696.749999999985</v>
      </c>
      <c r="L134" s="1">
        <f>C112</f>
        <v>0.3</v>
      </c>
      <c r="M134" s="21">
        <f t="shared" ref="M134:M140" si="12">K134*L134</f>
        <v>15509.024999999994</v>
      </c>
      <c r="N134" s="35">
        <f t="shared" ref="N134:N140" si="13">(M134/$M$141)</f>
        <v>0.21588909610350676</v>
      </c>
      <c r="Q134" s="29" t="s">
        <v>427</v>
      </c>
      <c r="R134" s="20">
        <f>M148</f>
        <v>106381.92394591986</v>
      </c>
      <c r="S134" s="128">
        <f>(R134/$R$136)</f>
        <v>0.24766035734882236</v>
      </c>
      <c r="U134" s="29" t="s">
        <v>5</v>
      </c>
      <c r="V134" s="20">
        <f>C177</f>
        <v>429547.64777345466</v>
      </c>
      <c r="W134" s="35">
        <f>V134/$V$135</f>
        <v>0.1074943079433483</v>
      </c>
      <c r="X134" s="60" t="s">
        <v>437</v>
      </c>
      <c r="Z134" s="55" t="s">
        <v>127</v>
      </c>
      <c r="AA134" s="130">
        <f>N135</f>
        <v>5.6371041760360119E-2</v>
      </c>
      <c r="AB134" s="55" t="s">
        <v>660</v>
      </c>
      <c r="AC134" s="130">
        <f>N147</f>
        <v>0.28094451203227117</v>
      </c>
      <c r="AD134" s="55" t="s">
        <v>439</v>
      </c>
      <c r="AE134" s="130">
        <f t="shared" ref="AE134:AE141" si="14">N151</f>
        <v>4.7746409762914922E-2</v>
      </c>
    </row>
    <row r="135" spans="2:31" ht="17.25" customHeight="1">
      <c r="B135" s="293" t="s">
        <v>423</v>
      </c>
      <c r="C135" s="7">
        <f>AC93</f>
        <v>164.61232163329112</v>
      </c>
      <c r="D135" s="5" t="s">
        <v>274</v>
      </c>
      <c r="E135" s="60"/>
      <c r="I135" s="1">
        <v>2</v>
      </c>
      <c r="J135" s="1" t="s">
        <v>277</v>
      </c>
      <c r="K135" s="19">
        <f>(E28)*G118</f>
        <v>80991.574999999997</v>
      </c>
      <c r="L135" s="1">
        <f>C110</f>
        <v>0.05</v>
      </c>
      <c r="M135" s="21">
        <f t="shared" si="12"/>
        <v>4049.5787500000001</v>
      </c>
      <c r="N135" s="35">
        <f>(M135/$M$141)</f>
        <v>5.6371041760360119E-2</v>
      </c>
      <c r="Q135" s="29" t="s">
        <v>428</v>
      </c>
      <c r="R135" s="20">
        <f>M159</f>
        <v>251327.79741107384</v>
      </c>
      <c r="S135" s="128">
        <f>(R135/$R$136)</f>
        <v>0.58509876311469233</v>
      </c>
      <c r="U135" s="29" t="s">
        <v>125</v>
      </c>
      <c r="V135" s="299">
        <f>SUM(V133:V134)</f>
        <v>3996003.6581642544</v>
      </c>
      <c r="W135" s="299"/>
      <c r="Z135" s="56" t="s">
        <v>143</v>
      </c>
      <c r="AA135" s="130">
        <f>N136</f>
        <v>0.35981516017251142</v>
      </c>
      <c r="AD135" s="55" t="s">
        <v>443</v>
      </c>
      <c r="AE135" s="130">
        <f t="shared" si="14"/>
        <v>7.1619614644372387E-2</v>
      </c>
    </row>
    <row r="136" spans="2:31" ht="18">
      <c r="B136" s="294"/>
      <c r="C136" s="7">
        <f>C135/24</f>
        <v>6.8588467347204629</v>
      </c>
      <c r="D136" s="5" t="s">
        <v>352</v>
      </c>
      <c r="I136" s="1">
        <v>3</v>
      </c>
      <c r="J136" s="23" t="s">
        <v>143</v>
      </c>
      <c r="K136" s="1">
        <f>I32*C150*G118</f>
        <v>258483.74999999997</v>
      </c>
      <c r="L136" s="1">
        <f>C111</f>
        <v>0.1</v>
      </c>
      <c r="M136" s="21">
        <f t="shared" si="12"/>
        <v>25848.375</v>
      </c>
      <c r="N136" s="35">
        <f t="shared" si="13"/>
        <v>0.35981516017251142</v>
      </c>
      <c r="Q136" s="29" t="s">
        <v>125</v>
      </c>
      <c r="R136" s="299">
        <f>SUM(R133:R135)</f>
        <v>429547.64777345466</v>
      </c>
      <c r="S136" s="299"/>
      <c r="Z136" s="55" t="s">
        <v>48</v>
      </c>
      <c r="AA136" s="130">
        <f>N137</f>
        <v>0.38967981846682981</v>
      </c>
      <c r="AD136" s="55" t="s">
        <v>445</v>
      </c>
      <c r="AE136" s="130">
        <f t="shared" si="14"/>
        <v>0.13563354159878824</v>
      </c>
    </row>
    <row r="137" spans="2:31" ht="17.25" customHeight="1">
      <c r="B137" s="57" t="s">
        <v>435</v>
      </c>
      <c r="C137" s="7" t="str">
        <f>C131</f>
        <v>-</v>
      </c>
      <c r="D137" s="5" t="s">
        <v>349</v>
      </c>
      <c r="I137" s="1">
        <v>4</v>
      </c>
      <c r="J137" s="1" t="s">
        <v>393</v>
      </c>
      <c r="K137" s="19">
        <f>O66*G118</f>
        <v>2799.3790124999996</v>
      </c>
      <c r="L137" s="1">
        <f>C114</f>
        <v>10</v>
      </c>
      <c r="M137" s="21">
        <f t="shared" si="12"/>
        <v>27993.790124999996</v>
      </c>
      <c r="N137" s="35">
        <f t="shared" si="13"/>
        <v>0.38967981846682981</v>
      </c>
      <c r="Z137" s="55" t="s">
        <v>47</v>
      </c>
      <c r="AA137" s="130">
        <f>N139</f>
        <v>0.18400584916581317</v>
      </c>
      <c r="AD137" s="55" t="s">
        <v>448</v>
      </c>
      <c r="AE137" s="130">
        <f t="shared" si="14"/>
        <v>1.1433343570661589E-3</v>
      </c>
    </row>
    <row r="138" spans="2:31" ht="17.25">
      <c r="B138" s="293" t="s">
        <v>440</v>
      </c>
      <c r="C138" s="7">
        <f>(C134*0.86)/(200-25)</f>
        <v>2.060486832988161E-2</v>
      </c>
      <c r="D138" s="5" t="s">
        <v>345</v>
      </c>
      <c r="E138" s="60" t="s">
        <v>570</v>
      </c>
      <c r="I138" s="1">
        <v>5</v>
      </c>
      <c r="J138" s="1" t="s">
        <v>449</v>
      </c>
      <c r="K138" s="125">
        <v>0</v>
      </c>
      <c r="L138" s="1">
        <v>0</v>
      </c>
      <c r="M138" s="21">
        <f t="shared" si="12"/>
        <v>0</v>
      </c>
      <c r="N138" s="35">
        <f t="shared" si="13"/>
        <v>0</v>
      </c>
      <c r="Z138" s="55" t="s">
        <v>152</v>
      </c>
      <c r="AA138" s="130">
        <f>N140</f>
        <v>1.0128130434485504E-2</v>
      </c>
      <c r="AD138" s="55" t="s">
        <v>450</v>
      </c>
      <c r="AE138" s="130">
        <f t="shared" si="14"/>
        <v>0.23216160009695277</v>
      </c>
    </row>
    <row r="139" spans="2:31" ht="17.25">
      <c r="B139" s="294"/>
      <c r="C139" s="9">
        <f>C138*F118</f>
        <v>0.49451683991715867</v>
      </c>
      <c r="D139" s="2" t="s">
        <v>23</v>
      </c>
      <c r="I139" s="22">
        <v>6</v>
      </c>
      <c r="J139" s="22" t="s">
        <v>331</v>
      </c>
      <c r="K139" s="19">
        <f>O69*G118</f>
        <v>26437.197305144215</v>
      </c>
      <c r="L139" s="22">
        <f>C116</f>
        <v>0.5</v>
      </c>
      <c r="M139" s="24">
        <f t="shared" si="12"/>
        <v>13218.598652572107</v>
      </c>
      <c r="N139" s="36">
        <f t="shared" si="13"/>
        <v>0.18400584916581317</v>
      </c>
      <c r="AD139" s="55" t="s">
        <v>452</v>
      </c>
      <c r="AE139" s="130">
        <f t="shared" si="14"/>
        <v>0.17763690900826271</v>
      </c>
    </row>
    <row r="140" spans="2:31" ht="15.75" thickBot="1">
      <c r="B140" s="57" t="s">
        <v>661</v>
      </c>
      <c r="C140" s="9">
        <f>AC66</f>
        <v>10.704690054479327</v>
      </c>
      <c r="D140" s="5" t="s">
        <v>349</v>
      </c>
      <c r="E140" s="60" t="s">
        <v>662</v>
      </c>
      <c r="I140" s="1">
        <v>7</v>
      </c>
      <c r="J140" s="1" t="s">
        <v>593</v>
      </c>
      <c r="K140" s="19">
        <f>C154*G118</f>
        <v>1212.6398148148146</v>
      </c>
      <c r="L140" s="22">
        <f>C117</f>
        <v>0.6</v>
      </c>
      <c r="M140" s="24">
        <f t="shared" si="12"/>
        <v>727.58388888888874</v>
      </c>
      <c r="N140" s="36">
        <f t="shared" si="13"/>
        <v>1.0128130434485504E-2</v>
      </c>
      <c r="AD140" s="55" t="s">
        <v>455</v>
      </c>
      <c r="AE140" s="130">
        <f t="shared" si="14"/>
        <v>3.5455658347031745E-2</v>
      </c>
    </row>
    <row r="141" spans="2:31" ht="15.75" thickBot="1">
      <c r="B141" s="57" t="s">
        <v>663</v>
      </c>
      <c r="C141" s="9">
        <f>AC76</f>
        <v>420.26865120507745</v>
      </c>
      <c r="D141" s="5" t="s">
        <v>274</v>
      </c>
      <c r="L141" s="40" t="s">
        <v>454</v>
      </c>
      <c r="M141" s="41">
        <f>SUM(M135:M140)</f>
        <v>71837.926416460992</v>
      </c>
      <c r="N141" s="37">
        <f>SUM(N135:N140)</f>
        <v>1</v>
      </c>
      <c r="AD141" s="55" t="s">
        <v>457</v>
      </c>
      <c r="AE141" s="130">
        <f t="shared" si="14"/>
        <v>5.9870883370036466E-2</v>
      </c>
    </row>
    <row r="142" spans="2:31" ht="17.25">
      <c r="B142" s="293" t="s">
        <v>687</v>
      </c>
      <c r="C142" s="5">
        <v>1</v>
      </c>
      <c r="D142" s="5" t="s">
        <v>446</v>
      </c>
      <c r="I142" s="31" t="s">
        <v>341</v>
      </c>
      <c r="J142" s="31" t="s">
        <v>427</v>
      </c>
      <c r="K142" s="31" t="s">
        <v>430</v>
      </c>
      <c r="L142" s="42" t="s">
        <v>431</v>
      </c>
      <c r="M142" s="42" t="s">
        <v>381</v>
      </c>
      <c r="N142" s="42" t="s">
        <v>17</v>
      </c>
      <c r="O142" s="93">
        <f>M143+M144+M145+M146</f>
        <v>76494.50623387922</v>
      </c>
    </row>
    <row r="143" spans="2:31">
      <c r="B143" s="294"/>
      <c r="C143" s="7">
        <f>(I28+O28)*C142</f>
        <v>243.64635434804666</v>
      </c>
      <c r="D143" s="5" t="s">
        <v>406</v>
      </c>
      <c r="I143" s="1">
        <v>1</v>
      </c>
      <c r="J143" s="1" t="s">
        <v>571</v>
      </c>
      <c r="K143" s="19">
        <f>C129*G118</f>
        <v>197686.00437625762</v>
      </c>
      <c r="L143" s="1">
        <f>C113</f>
        <v>0.25</v>
      </c>
      <c r="M143" s="21">
        <f>K143*L143</f>
        <v>49421.501094064406</v>
      </c>
      <c r="N143" s="35">
        <f>(M143/M148)</f>
        <v>0.46456671642062275</v>
      </c>
      <c r="O143" s="93"/>
    </row>
    <row r="144" spans="2:31">
      <c r="I144" s="1">
        <v>2</v>
      </c>
      <c r="J144" s="1" t="s">
        <v>572</v>
      </c>
      <c r="K144" s="19">
        <f>C132*G118</f>
        <v>18189.597222222219</v>
      </c>
      <c r="L144" s="1">
        <f>L143</f>
        <v>0.25</v>
      </c>
      <c r="M144" s="21">
        <f>K144*L144</f>
        <v>4547.3993055555547</v>
      </c>
      <c r="N144" s="35">
        <f>(M144/M148)</f>
        <v>4.2745977294669564E-2</v>
      </c>
    </row>
    <row r="145" spans="2:16">
      <c r="B145" s="322" t="s">
        <v>664</v>
      </c>
      <c r="C145" s="323"/>
      <c r="D145" s="324"/>
      <c r="I145" s="1">
        <v>3</v>
      </c>
      <c r="J145" s="1" t="s">
        <v>665</v>
      </c>
      <c r="K145" s="19">
        <f>(C170)*G118</f>
        <v>1171.5039999999999</v>
      </c>
      <c r="L145" s="1">
        <f>L143</f>
        <v>0.25</v>
      </c>
      <c r="M145" s="21">
        <f>K145*L145</f>
        <v>292.87599999999998</v>
      </c>
      <c r="N145" s="35">
        <f>(M145/M148)</f>
        <v>2.7530616963544101E-3</v>
      </c>
      <c r="O145" s="131">
        <f>(C170)*G118*L145</f>
        <v>292.87599999999998</v>
      </c>
      <c r="P145" t="s">
        <v>469</v>
      </c>
    </row>
    <row r="146" spans="2:16">
      <c r="B146" s="55" t="s">
        <v>456</v>
      </c>
      <c r="C146" s="2">
        <v>24</v>
      </c>
      <c r="D146" s="2" t="s">
        <v>317</v>
      </c>
      <c r="I146" s="1">
        <v>4</v>
      </c>
      <c r="J146" s="1" t="s">
        <v>688</v>
      </c>
      <c r="K146" s="19">
        <f>C143*G118</f>
        <v>88930.919337037034</v>
      </c>
      <c r="L146" s="1">
        <f>C113</f>
        <v>0.25</v>
      </c>
      <c r="M146" s="21">
        <f>K146*L146</f>
        <v>22232.729834259258</v>
      </c>
      <c r="N146" s="35">
        <f>(M146/M148)</f>
        <v>0.20898973255608211</v>
      </c>
      <c r="O146" s="131">
        <f>('Escenario 1'!C119)*G118*L145</f>
        <v>4308.0624999999936</v>
      </c>
      <c r="P146" t="s">
        <v>465</v>
      </c>
    </row>
    <row r="147" spans="2:16" ht="15.75" thickBot="1">
      <c r="B147" s="55" t="s">
        <v>458</v>
      </c>
      <c r="C147" s="9">
        <f>1/Y37</f>
        <v>0.33333333333333331</v>
      </c>
      <c r="D147" s="2" t="s">
        <v>459</v>
      </c>
      <c r="I147" s="1">
        <v>5</v>
      </c>
      <c r="J147" s="1" t="s">
        <v>398</v>
      </c>
      <c r="K147" s="19">
        <f>(C135+C141)*G118</f>
        <v>213481.55508600452</v>
      </c>
      <c r="L147" s="22">
        <f>C118</f>
        <v>0.14000000000000001</v>
      </c>
      <c r="M147" s="24">
        <f>K147*L147</f>
        <v>29887.417712040635</v>
      </c>
      <c r="N147" s="36">
        <f>(M147/M148)</f>
        <v>0.28094451203227117</v>
      </c>
    </row>
    <row r="148" spans="2:16" ht="18" thickBot="1">
      <c r="B148" s="55" t="s">
        <v>288</v>
      </c>
      <c r="C148" s="9">
        <f>C66</f>
        <v>1133.0794520547945</v>
      </c>
      <c r="D148" s="2" t="s">
        <v>289</v>
      </c>
      <c r="L148" s="40" t="s">
        <v>454</v>
      </c>
      <c r="M148" s="41">
        <f>SUM(M143:M147)</f>
        <v>106381.92394591986</v>
      </c>
      <c r="N148" s="37">
        <f>SUM(N143:N147)</f>
        <v>1</v>
      </c>
    </row>
    <row r="149" spans="2:16">
      <c r="B149" s="55" t="s">
        <v>462</v>
      </c>
      <c r="C149" s="2">
        <v>0.01</v>
      </c>
      <c r="D149" s="2" t="s">
        <v>463</v>
      </c>
      <c r="I149" s="31" t="s">
        <v>341</v>
      </c>
      <c r="J149" s="31" t="s">
        <v>472</v>
      </c>
      <c r="K149" s="31" t="s">
        <v>430</v>
      </c>
      <c r="L149" s="42" t="s">
        <v>431</v>
      </c>
      <c r="M149" s="42" t="s">
        <v>381</v>
      </c>
      <c r="N149" s="42" t="s">
        <v>17</v>
      </c>
    </row>
    <row r="150" spans="2:16" ht="18">
      <c r="B150" s="56" t="s">
        <v>466</v>
      </c>
      <c r="C150" s="2">
        <v>1.5</v>
      </c>
      <c r="D150" s="2" t="s">
        <v>467</v>
      </c>
      <c r="I150" s="1">
        <v>1</v>
      </c>
      <c r="J150" s="1" t="s">
        <v>473</v>
      </c>
      <c r="K150" s="1">
        <v>2</v>
      </c>
      <c r="L150" s="21">
        <v>30000</v>
      </c>
      <c r="M150" s="20">
        <f t="shared" ref="M150:M158" si="15">K150*L150</f>
        <v>60000</v>
      </c>
      <c r="N150" s="35">
        <f>(M150/$M$159)</f>
        <v>0.2387320488145746</v>
      </c>
    </row>
    <row r="151" spans="2:16">
      <c r="B151" s="55" t="s">
        <v>292</v>
      </c>
      <c r="C151" s="9">
        <f>I32/AC36</f>
        <v>0.41666666666666663</v>
      </c>
      <c r="D151" s="2" t="s">
        <v>470</v>
      </c>
      <c r="I151" s="1">
        <v>2</v>
      </c>
      <c r="J151" s="1" t="s">
        <v>475</v>
      </c>
      <c r="K151" s="1">
        <v>0.2</v>
      </c>
      <c r="L151" s="21">
        <f>M150</f>
        <v>60000</v>
      </c>
      <c r="M151" s="20">
        <f t="shared" si="15"/>
        <v>12000</v>
      </c>
      <c r="N151" s="35">
        <f t="shared" ref="N151:N158" si="16">(M151/$M$159)</f>
        <v>4.7746409762914922E-2</v>
      </c>
    </row>
    <row r="152" spans="2:16">
      <c r="B152" s="55" t="s">
        <v>390</v>
      </c>
      <c r="C152" s="2">
        <v>0.3</v>
      </c>
      <c r="D152" s="2" t="s">
        <v>467</v>
      </c>
      <c r="I152" s="1">
        <v>3</v>
      </c>
      <c r="J152" s="1" t="s">
        <v>477</v>
      </c>
      <c r="K152" s="1">
        <v>0.25</v>
      </c>
      <c r="L152" s="21">
        <f>M150+M151</f>
        <v>72000</v>
      </c>
      <c r="M152" s="20">
        <f t="shared" si="15"/>
        <v>18000</v>
      </c>
      <c r="N152" s="35">
        <f t="shared" si="16"/>
        <v>7.1619614644372387E-2</v>
      </c>
    </row>
    <row r="153" spans="2:16">
      <c r="B153" s="55" t="s">
        <v>471</v>
      </c>
      <c r="C153" s="2">
        <v>2</v>
      </c>
      <c r="D153" s="2" t="s">
        <v>17</v>
      </c>
      <c r="I153" s="1">
        <v>4</v>
      </c>
      <c r="J153" s="1" t="s">
        <v>479</v>
      </c>
      <c r="K153" s="1">
        <v>0.04</v>
      </c>
      <c r="L153" s="21">
        <f>O104</f>
        <v>852211.98162716778</v>
      </c>
      <c r="M153" s="20">
        <f t="shared" si="15"/>
        <v>34088.479265086709</v>
      </c>
      <c r="N153" s="35">
        <f t="shared" si="16"/>
        <v>0.13563354159878824</v>
      </c>
    </row>
    <row r="154" spans="2:16" ht="17.25">
      <c r="B154" s="55" t="s">
        <v>667</v>
      </c>
      <c r="C154" s="9">
        <f>AC50</f>
        <v>3.3223008625063413</v>
      </c>
      <c r="D154" s="2" t="s">
        <v>23</v>
      </c>
      <c r="I154" s="1">
        <v>5</v>
      </c>
      <c r="J154" s="1" t="s">
        <v>481</v>
      </c>
      <c r="K154" s="1">
        <v>4.0000000000000001E-3</v>
      </c>
      <c r="L154" s="21">
        <f>M141</f>
        <v>71837.926416460992</v>
      </c>
      <c r="M154" s="20">
        <f t="shared" si="15"/>
        <v>287.35170566584395</v>
      </c>
      <c r="N154" s="35">
        <f t="shared" si="16"/>
        <v>1.1433343570661589E-3</v>
      </c>
    </row>
    <row r="155" spans="2:16">
      <c r="I155" s="1">
        <v>6</v>
      </c>
      <c r="J155" s="1" t="s">
        <v>483</v>
      </c>
      <c r="K155" s="1">
        <v>0.55000000000000004</v>
      </c>
      <c r="L155" s="21">
        <f>M150+M151+M153</f>
        <v>106088.4792650867</v>
      </c>
      <c r="M155" s="20">
        <f t="shared" si="15"/>
        <v>58348.663595797691</v>
      </c>
      <c r="N155" s="35">
        <f t="shared" si="16"/>
        <v>0.23216160009695277</v>
      </c>
    </row>
    <row r="156" spans="2:16">
      <c r="B156" s="295" t="s">
        <v>574</v>
      </c>
      <c r="C156" s="296"/>
      <c r="D156" s="297"/>
      <c r="I156" s="1">
        <v>7</v>
      </c>
      <c r="J156" s="1" t="s">
        <v>485</v>
      </c>
      <c r="K156" s="1">
        <f>0.21</f>
        <v>0.21</v>
      </c>
      <c r="L156" s="21">
        <f>M141+M148+M153+M154</f>
        <v>212595.6813331334</v>
      </c>
      <c r="M156" s="20">
        <f t="shared" si="15"/>
        <v>44645.093079958009</v>
      </c>
      <c r="N156" s="35">
        <f t="shared" si="16"/>
        <v>0.17763690900826271</v>
      </c>
    </row>
    <row r="157" spans="2:16">
      <c r="B157" s="55" t="s">
        <v>476</v>
      </c>
      <c r="C157" s="9">
        <f>K220</f>
        <v>36.5</v>
      </c>
      <c r="D157" s="2" t="s">
        <v>313</v>
      </c>
      <c r="E157" s="60"/>
      <c r="I157" s="1">
        <v>8</v>
      </c>
      <c r="J157" s="1" t="s">
        <v>487</v>
      </c>
      <c r="K157" s="1">
        <v>0.05</v>
      </c>
      <c r="L157" s="21">
        <f>M141+M148</f>
        <v>178219.85036238085</v>
      </c>
      <c r="M157" s="20">
        <f t="shared" si="15"/>
        <v>8910.9925181190429</v>
      </c>
      <c r="N157" s="35">
        <f t="shared" si="16"/>
        <v>3.5455658347031745E-2</v>
      </c>
    </row>
    <row r="158" spans="2:16" ht="15.75" thickBot="1">
      <c r="B158" s="55" t="s">
        <v>478</v>
      </c>
      <c r="C158" s="9">
        <f t="shared" ref="C158:C164" si="17">K221</f>
        <v>36.5</v>
      </c>
      <c r="D158" s="2" t="s">
        <v>313</v>
      </c>
      <c r="E158" s="60"/>
      <c r="I158" s="1">
        <v>9</v>
      </c>
      <c r="J158" s="1" t="s">
        <v>489</v>
      </c>
      <c r="K158" s="1">
        <v>0.05</v>
      </c>
      <c r="L158" s="24">
        <f>M141+M148+M151+M152+M153+M154+M155</f>
        <v>300944.3449289311</v>
      </c>
      <c r="M158" s="32">
        <f t="shared" si="15"/>
        <v>15047.217246446555</v>
      </c>
      <c r="N158" s="36">
        <f t="shared" si="16"/>
        <v>5.9870883370036466E-2</v>
      </c>
    </row>
    <row r="159" spans="2:16" ht="15.75" thickBot="1">
      <c r="B159" s="56" t="s">
        <v>480</v>
      </c>
      <c r="C159" s="9">
        <f t="shared" si="17"/>
        <v>36.57</v>
      </c>
      <c r="D159" s="2" t="s">
        <v>313</v>
      </c>
      <c r="E159" s="60"/>
      <c r="L159" s="40" t="s">
        <v>454</v>
      </c>
      <c r="M159" s="43">
        <f>SUM(M150:M158)</f>
        <v>251327.79741107384</v>
      </c>
      <c r="N159" s="37">
        <f>SUM(N150:N158)</f>
        <v>1</v>
      </c>
    </row>
    <row r="160" spans="2:16">
      <c r="B160" s="56" t="s">
        <v>482</v>
      </c>
      <c r="C160" s="9">
        <f t="shared" si="17"/>
        <v>36.57</v>
      </c>
      <c r="D160" s="2" t="s">
        <v>313</v>
      </c>
      <c r="E160" s="60"/>
    </row>
    <row r="161" spans="1:18">
      <c r="B161" s="56" t="s">
        <v>484</v>
      </c>
      <c r="C161" s="9">
        <f t="shared" si="17"/>
        <v>36.51</v>
      </c>
      <c r="D161" s="2" t="s">
        <v>313</v>
      </c>
      <c r="E161" s="60"/>
      <c r="I161" s="292" t="s">
        <v>492</v>
      </c>
      <c r="J161" s="292"/>
      <c r="K161" s="292"/>
      <c r="L161" s="292"/>
    </row>
    <row r="162" spans="1:18">
      <c r="B162" s="56" t="s">
        <v>486</v>
      </c>
      <c r="C162" s="9">
        <f t="shared" si="17"/>
        <v>36.51</v>
      </c>
      <c r="D162" s="2" t="s">
        <v>313</v>
      </c>
      <c r="E162" s="60"/>
      <c r="I162" s="31" t="s">
        <v>341</v>
      </c>
      <c r="J162" s="31" t="s">
        <v>342</v>
      </c>
      <c r="K162" s="31" t="s">
        <v>381</v>
      </c>
      <c r="L162" s="31" t="s">
        <v>17</v>
      </c>
    </row>
    <row r="163" spans="1:18">
      <c r="B163" s="56" t="s">
        <v>668</v>
      </c>
      <c r="C163" s="9">
        <f t="shared" si="17"/>
        <v>36.51</v>
      </c>
      <c r="D163" s="2" t="s">
        <v>313</v>
      </c>
      <c r="E163" s="60"/>
      <c r="I163" s="1">
        <v>1</v>
      </c>
      <c r="J163" s="1" t="s">
        <v>493</v>
      </c>
      <c r="K163" s="21">
        <f>L130</f>
        <v>413271.67837027879</v>
      </c>
      <c r="L163" s="35">
        <f>(K163/$K$167)</f>
        <v>0.49034433068968319</v>
      </c>
    </row>
    <row r="164" spans="1:18">
      <c r="B164" s="56" t="s">
        <v>669</v>
      </c>
      <c r="C164" s="9">
        <f t="shared" si="17"/>
        <v>36</v>
      </c>
      <c r="D164" s="65" t="s">
        <v>313</v>
      </c>
      <c r="E164" s="60"/>
      <c r="I164" s="1">
        <v>2</v>
      </c>
      <c r="J164" s="1" t="s">
        <v>429</v>
      </c>
      <c r="K164" s="21">
        <f>M141</f>
        <v>71837.926416460992</v>
      </c>
      <c r="L164" s="35">
        <f>(K164/$K$167)</f>
        <v>8.5235262396213526E-2</v>
      </c>
    </row>
    <row r="165" spans="1:18">
      <c r="B165" s="56" t="s">
        <v>670</v>
      </c>
      <c r="C165" s="9">
        <f>K229</f>
        <v>36.51</v>
      </c>
      <c r="D165" s="2" t="s">
        <v>313</v>
      </c>
      <c r="E165" s="60"/>
      <c r="I165" s="1">
        <v>3</v>
      </c>
      <c r="J165" s="1" t="s">
        <v>427</v>
      </c>
      <c r="K165" s="21">
        <f>M148</f>
        <v>106381.92394591986</v>
      </c>
      <c r="L165" s="35">
        <f>(K165/$K$167)</f>
        <v>0.12622150518624628</v>
      </c>
    </row>
    <row r="166" spans="1:18" ht="15.75" thickBot="1">
      <c r="B166" s="56" t="s">
        <v>671</v>
      </c>
      <c r="C166" s="9">
        <f t="shared" ref="C166:C167" si="18">K230</f>
        <v>36.51</v>
      </c>
      <c r="D166" s="2" t="s">
        <v>313</v>
      </c>
      <c r="I166" s="1">
        <v>4</v>
      </c>
      <c r="J166" s="1" t="s">
        <v>472</v>
      </c>
      <c r="K166" s="24">
        <f>M159</f>
        <v>251327.79741107384</v>
      </c>
      <c r="L166" s="36">
        <f>(K166/$K$167)</f>
        <v>0.29819890172785701</v>
      </c>
    </row>
    <row r="167" spans="1:18" ht="15.75" thickBot="1">
      <c r="B167" s="56" t="s">
        <v>672</v>
      </c>
      <c r="C167" s="9">
        <f t="shared" si="18"/>
        <v>36.51</v>
      </c>
      <c r="D167" s="2" t="s">
        <v>313</v>
      </c>
      <c r="K167" s="96">
        <f>SUM(K163:K166)</f>
        <v>842819.32614373346</v>
      </c>
      <c r="L167" s="37">
        <f>SUM(L163:L166)</f>
        <v>1</v>
      </c>
    </row>
    <row r="168" spans="1:18" ht="15.75" thickBot="1"/>
    <row r="169" spans="1:18">
      <c r="B169" s="325" t="s">
        <v>125</v>
      </c>
      <c r="C169" s="7">
        <f>SUM(C157:C167)</f>
        <v>401.19999999999993</v>
      </c>
      <c r="D169" s="2" t="s">
        <v>313</v>
      </c>
      <c r="J169" s="44" t="s">
        <v>494</v>
      </c>
      <c r="K169" s="45">
        <f>K167</f>
        <v>842819.32614373346</v>
      </c>
    </row>
    <row r="170" spans="1:18" ht="17.25">
      <c r="B170" s="326"/>
      <c r="C170" s="7">
        <f>(C169/1000)*8</f>
        <v>3.2095999999999996</v>
      </c>
      <c r="D170" s="5" t="s">
        <v>406</v>
      </c>
      <c r="J170" s="79" t="s">
        <v>495</v>
      </c>
      <c r="K170" s="80">
        <f>K169/(R28*G118)</f>
        <v>532.8742262104978</v>
      </c>
    </row>
    <row r="171" spans="1:18" ht="17.25">
      <c r="B171" s="75" t="s">
        <v>491</v>
      </c>
      <c r="J171" s="79" t="s">
        <v>673</v>
      </c>
      <c r="K171" s="80">
        <f>K169/(T28*G118)</f>
        <v>5115.9342218020538</v>
      </c>
    </row>
    <row r="172" spans="1:18" ht="18" thickBot="1">
      <c r="J172" s="77" t="s">
        <v>496</v>
      </c>
      <c r="K172" s="78">
        <f>(C176+C177)/(D28*G118)</f>
        <v>289.8637480715123</v>
      </c>
    </row>
    <row r="174" spans="1:18" ht="20.25" thickBot="1">
      <c r="B174" s="291" t="s">
        <v>497</v>
      </c>
      <c r="C174" s="291"/>
      <c r="D174" s="291"/>
      <c r="E174" s="291"/>
      <c r="F174" s="291"/>
      <c r="G174" s="291"/>
      <c r="H174" s="291"/>
      <c r="I174" s="291"/>
      <c r="J174" s="28"/>
      <c r="K174" s="291" t="s">
        <v>498</v>
      </c>
      <c r="L174" s="291"/>
      <c r="M174" s="291"/>
      <c r="N174" s="291"/>
      <c r="O174" s="291"/>
      <c r="P174" s="291"/>
      <c r="Q174" s="291"/>
      <c r="R174" s="291"/>
    </row>
    <row r="175" spans="1:18" ht="16.5" thickTop="1" thickBot="1"/>
    <row r="176" spans="1:18" ht="15.75" thickBot="1">
      <c r="A176" s="27" t="s">
        <v>499</v>
      </c>
      <c r="B176" s="25" t="s">
        <v>30</v>
      </c>
      <c r="C176" s="21">
        <f>L121+L127+L128+L129</f>
        <v>3566456.0103907995</v>
      </c>
      <c r="H176" s="25" t="s">
        <v>674</v>
      </c>
      <c r="I176" s="20">
        <f>C183*C192</f>
        <v>541811.32425405819</v>
      </c>
      <c r="K176" s="99"/>
      <c r="L176" s="133" t="s">
        <v>63</v>
      </c>
      <c r="M176" s="134" t="s">
        <v>501</v>
      </c>
      <c r="N176" s="133" t="s">
        <v>63</v>
      </c>
      <c r="O176" s="134" t="s">
        <v>502</v>
      </c>
      <c r="P176" s="133" t="s">
        <v>63</v>
      </c>
      <c r="Q176" s="134" t="s">
        <v>578</v>
      </c>
      <c r="R176" s="111" t="s">
        <v>579</v>
      </c>
    </row>
    <row r="177" spans="1:17">
      <c r="A177" s="27" t="s">
        <v>504</v>
      </c>
      <c r="B177" s="25" t="s">
        <v>505</v>
      </c>
      <c r="C177" s="21">
        <f>M141+M148+M159</f>
        <v>429547.64777345466</v>
      </c>
      <c r="H177" s="25" t="s">
        <v>675</v>
      </c>
      <c r="I177" s="20">
        <f>C181-I176</f>
        <v>349608.69327805541</v>
      </c>
      <c r="K177" s="146" t="s">
        <v>105</v>
      </c>
      <c r="L177" s="135">
        <f>(R36/R29)*100</f>
        <v>25.457705405706822</v>
      </c>
      <c r="M177" s="136">
        <v>30.8</v>
      </c>
      <c r="N177" s="143">
        <f>L177</f>
        <v>25.457705405706822</v>
      </c>
      <c r="O177" s="136" t="s">
        <v>12</v>
      </c>
      <c r="P177" s="143">
        <f>N177</f>
        <v>25.457705405706822</v>
      </c>
      <c r="Q177" s="136">
        <v>4</v>
      </c>
    </row>
    <row r="178" spans="1:17">
      <c r="B178" s="25" t="s">
        <v>16</v>
      </c>
      <c r="C178" s="2">
        <v>0.05</v>
      </c>
      <c r="H178" s="111" t="s">
        <v>676</v>
      </c>
      <c r="K178" s="147" t="s">
        <v>106</v>
      </c>
      <c r="L178" s="135">
        <f>(R38/R29)*100</f>
        <v>0.84765259816301763</v>
      </c>
      <c r="M178" s="136">
        <v>3.5</v>
      </c>
      <c r="N178" s="143">
        <f>L178</f>
        <v>0.84765259816301763</v>
      </c>
      <c r="O178" s="136">
        <v>12</v>
      </c>
      <c r="P178" s="143">
        <f>N178</f>
        <v>0.84765259816301763</v>
      </c>
      <c r="Q178" s="136">
        <v>12</v>
      </c>
    </row>
    <row r="179" spans="1:17">
      <c r="B179" s="25" t="s">
        <v>506</v>
      </c>
      <c r="C179" s="2">
        <f>K125</f>
        <v>10</v>
      </c>
      <c r="H179" t="s">
        <v>677</v>
      </c>
      <c r="K179" s="147" t="s">
        <v>107</v>
      </c>
      <c r="L179" s="135">
        <f>(R42/R29)*100</f>
        <v>1.6980458506341487</v>
      </c>
      <c r="M179" s="136" t="s">
        <v>12</v>
      </c>
      <c r="N179" s="143">
        <f>L179</f>
        <v>1.6980458506341487</v>
      </c>
      <c r="O179" s="136">
        <v>24</v>
      </c>
      <c r="P179" s="143">
        <f>N179</f>
        <v>1.6980458506341487</v>
      </c>
      <c r="Q179" s="136">
        <v>4</v>
      </c>
    </row>
    <row r="180" spans="1:17" ht="15.75" thickBot="1">
      <c r="K180" s="147" t="s">
        <v>678</v>
      </c>
      <c r="L180" s="137">
        <v>3124.9385726859573</v>
      </c>
      <c r="M180" s="138">
        <v>120</v>
      </c>
      <c r="N180" s="137">
        <v>848.03366349275166</v>
      </c>
      <c r="O180" s="138">
        <f>5*12</f>
        <v>60</v>
      </c>
      <c r="P180" s="137">
        <v>2935.4959705136998</v>
      </c>
      <c r="Q180" s="138">
        <f>5*12</f>
        <v>60</v>
      </c>
    </row>
    <row r="181" spans="1:17">
      <c r="B181" s="82" t="s">
        <v>7</v>
      </c>
      <c r="C181" s="47">
        <f>((C178*(1+C178)^C179)/((1+C178)^C179-1))*C176+C177</f>
        <v>891420.01753211359</v>
      </c>
      <c r="D181" s="48" t="s">
        <v>508</v>
      </c>
      <c r="K181" s="147" t="s">
        <v>509</v>
      </c>
      <c r="L181" s="135">
        <f>C183/1000</f>
        <v>0.34256130727919365</v>
      </c>
      <c r="M181" s="149">
        <f>'Escenario 1'!M160</f>
        <v>1.028125</v>
      </c>
      <c r="N181" s="143">
        <f>L181</f>
        <v>0.34256130727919365</v>
      </c>
      <c r="O181" s="144">
        <f>'Escenario 1'!O160</f>
        <v>6.3849999999999998</v>
      </c>
      <c r="P181" s="143">
        <f>N181</f>
        <v>0.34256130727919365</v>
      </c>
      <c r="Q181" s="151">
        <f>'Escenario 1'!Q160</f>
        <v>6.3849999999999998</v>
      </c>
    </row>
    <row r="182" spans="1:17" ht="17.25">
      <c r="B182" s="83" t="s">
        <v>679</v>
      </c>
      <c r="C182" s="81">
        <f>(C181-(C183*C192))/C191</f>
        <v>2122.1334427204151</v>
      </c>
      <c r="D182" s="84" t="s">
        <v>510</v>
      </c>
      <c r="K182" s="147" t="s">
        <v>511</v>
      </c>
      <c r="L182" s="139">
        <f>L$180*1*(L177/100)</f>
        <v>795.53765594369054</v>
      </c>
      <c r="M182" s="140">
        <f>M$180*1*(M177/100)</f>
        <v>36.96</v>
      </c>
      <c r="N182" s="139">
        <f>N$180*1*(N177/100)</f>
        <v>215.88991179320783</v>
      </c>
      <c r="O182" s="140" t="s">
        <v>12</v>
      </c>
      <c r="P182" s="139">
        <f t="shared" ref="P182:Q184" si="19">P$180*1*(P177/100)</f>
        <v>747.30991636977205</v>
      </c>
      <c r="Q182" s="140">
        <f t="shared" si="19"/>
        <v>2.4</v>
      </c>
    </row>
    <row r="183" spans="1:17" ht="18" thickBot="1">
      <c r="B183" s="49" t="s">
        <v>680</v>
      </c>
      <c r="C183" s="50">
        <f>'Escenario 2'!C161</f>
        <v>342.56130727919367</v>
      </c>
      <c r="D183" s="51" t="s">
        <v>510</v>
      </c>
      <c r="E183" s="60" t="s">
        <v>681</v>
      </c>
      <c r="K183" s="147" t="s">
        <v>512</v>
      </c>
      <c r="L183" s="139">
        <f t="shared" ref="L183:M184" si="20">L$180*1*(L178/100)</f>
        <v>26.488623002370836</v>
      </c>
      <c r="M183" s="140">
        <f t="shared" si="20"/>
        <v>4.2</v>
      </c>
      <c r="N183" s="139">
        <f>N$180*1*(N178/100)</f>
        <v>7.1883793818933315</v>
      </c>
      <c r="O183" s="140">
        <f>O$180*1*(O178/100)</f>
        <v>7.1999999999999993</v>
      </c>
      <c r="P183" s="139">
        <f t="shared" si="19"/>
        <v>24.882807863030067</v>
      </c>
      <c r="Q183" s="140">
        <f t="shared" si="19"/>
        <v>7.1999999999999993</v>
      </c>
    </row>
    <row r="184" spans="1:17">
      <c r="K184" s="147" t="s">
        <v>515</v>
      </c>
      <c r="L184" s="139">
        <f t="shared" si="20"/>
        <v>53.062889768359888</v>
      </c>
      <c r="M184" s="140" t="s">
        <v>12</v>
      </c>
      <c r="N184" s="139">
        <f>N$180*1*(N179/100)</f>
        <v>14.400000434919429</v>
      </c>
      <c r="O184" s="140">
        <f>O$180*1*(O179/100)</f>
        <v>14.399999999999999</v>
      </c>
      <c r="P184" s="139">
        <f t="shared" si="19"/>
        <v>49.846067522840514</v>
      </c>
      <c r="Q184" s="140">
        <f t="shared" si="19"/>
        <v>2.4</v>
      </c>
    </row>
    <row r="185" spans="1:17" ht="15.75" thickBot="1">
      <c r="B185" s="26" t="s">
        <v>580</v>
      </c>
      <c r="C185" s="267" t="s">
        <v>514</v>
      </c>
      <c r="D185" s="267"/>
      <c r="E185" s="267"/>
      <c r="F185" s="267"/>
      <c r="K185" s="148" t="s">
        <v>682</v>
      </c>
      <c r="L185" s="141">
        <f t="shared" ref="L185:Q185" si="21">L180*L181</f>
        <v>1070.4830426264791</v>
      </c>
      <c r="M185" s="142">
        <f t="shared" si="21"/>
        <v>123.375</v>
      </c>
      <c r="N185" s="141">
        <f t="shared" si="21"/>
        <v>290.5035203828408</v>
      </c>
      <c r="O185" s="142">
        <f t="shared" si="21"/>
        <v>383.09999999999997</v>
      </c>
      <c r="P185" s="141">
        <f t="shared" si="21"/>
        <v>1005.5873371719783</v>
      </c>
      <c r="Q185" s="142">
        <f t="shared" si="21"/>
        <v>383.09999999999997</v>
      </c>
    </row>
    <row r="186" spans="1:17" ht="15.75" thickBot="1">
      <c r="B186" s="26" t="s">
        <v>516</v>
      </c>
      <c r="C186" s="268" t="s">
        <v>517</v>
      </c>
      <c r="D186" s="321"/>
      <c r="E186" s="321"/>
      <c r="F186" s="269"/>
    </row>
    <row r="187" spans="1:17" ht="15.75" thickBot="1">
      <c r="B187" s="26" t="s">
        <v>519</v>
      </c>
      <c r="C187" s="268" t="s">
        <v>520</v>
      </c>
      <c r="D187" s="321"/>
      <c r="E187" s="321"/>
      <c r="F187" s="269"/>
      <c r="K187" s="99"/>
      <c r="L187" s="188" t="s">
        <v>61</v>
      </c>
    </row>
    <row r="188" spans="1:17">
      <c r="B188" s="26" t="s">
        <v>521</v>
      </c>
      <c r="C188" s="268" t="s">
        <v>522</v>
      </c>
      <c r="D188" s="321"/>
      <c r="E188" s="321"/>
      <c r="F188" s="269"/>
      <c r="H188" s="93"/>
      <c r="K188" s="146" t="s">
        <v>105</v>
      </c>
      <c r="L188" s="185">
        <f>(T36/T29)*100</f>
        <v>17.142858610775288</v>
      </c>
    </row>
    <row r="189" spans="1:17">
      <c r="B189" s="26" t="s">
        <v>7</v>
      </c>
      <c r="C189" s="268" t="s">
        <v>525</v>
      </c>
      <c r="D189" s="321"/>
      <c r="E189" s="321"/>
      <c r="F189" s="269"/>
      <c r="K189" s="147" t="s">
        <v>106</v>
      </c>
      <c r="L189" s="186">
        <f>(T38/T29)*100</f>
        <v>1.1573213427053732</v>
      </c>
    </row>
    <row r="190" spans="1:17" ht="15.75" thickBot="1">
      <c r="K190" s="148" t="s">
        <v>107</v>
      </c>
      <c r="L190" s="187">
        <f>(T42/T29)*100</f>
        <v>5.3037448706057734E-2</v>
      </c>
    </row>
    <row r="191" spans="1:17" ht="17.25">
      <c r="B191" s="26" t="s">
        <v>683</v>
      </c>
      <c r="C191" s="9">
        <f>T28*G118</f>
        <v>164.74397238181376</v>
      </c>
      <c r="D191" s="2" t="s">
        <v>528</v>
      </c>
    </row>
    <row r="192" spans="1:17" ht="17.25">
      <c r="B192" s="26" t="s">
        <v>684</v>
      </c>
      <c r="C192" s="9">
        <f>R28*G118</f>
        <v>1581.647759805144</v>
      </c>
      <c r="D192" s="2" t="s">
        <v>528</v>
      </c>
      <c r="H192" s="75"/>
      <c r="K192">
        <f>2117/349.2</f>
        <v>6.0624284077892323</v>
      </c>
      <c r="L192">
        <f>1.05/0.7</f>
        <v>1.5000000000000002</v>
      </c>
    </row>
    <row r="193" spans="2:16">
      <c r="K193">
        <f>789/165</f>
        <v>4.7818181818181822</v>
      </c>
    </row>
    <row r="194" spans="2:16" ht="20.25" thickBot="1">
      <c r="B194" s="291" t="s">
        <v>581</v>
      </c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</row>
    <row r="195" spans="2:16" ht="15.75" thickTop="1"/>
    <row r="196" spans="2:16">
      <c r="B196" s="25" t="s">
        <v>531</v>
      </c>
      <c r="C196" s="29">
        <v>0</v>
      </c>
      <c r="D196" s="29">
        <v>1</v>
      </c>
      <c r="E196" s="29">
        <v>2</v>
      </c>
      <c r="F196" s="29">
        <v>3</v>
      </c>
      <c r="G196" s="29">
        <v>4</v>
      </c>
      <c r="H196" s="29">
        <v>5</v>
      </c>
      <c r="I196" s="29">
        <v>6</v>
      </c>
      <c r="J196" s="29">
        <v>7</v>
      </c>
      <c r="K196" s="29">
        <v>8</v>
      </c>
      <c r="L196" s="29">
        <v>9</v>
      </c>
      <c r="M196" s="29">
        <v>10</v>
      </c>
    </row>
    <row r="197" spans="2:16">
      <c r="B197" s="25" t="s">
        <v>532</v>
      </c>
      <c r="C197" s="21">
        <f>C176</f>
        <v>3566456.0103907995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6">
      <c r="B198" s="25" t="s">
        <v>533</v>
      </c>
      <c r="C198" s="1"/>
      <c r="D198" s="21">
        <f>(C210*C207)+(D207*C212)</f>
        <v>176175.28379503699</v>
      </c>
      <c r="E198" s="21">
        <f>$D$198</f>
        <v>176175.28379503699</v>
      </c>
      <c r="F198" s="21">
        <f t="shared" ref="F198:M198" si="22">$D$198</f>
        <v>176175.28379503699</v>
      </c>
      <c r="G198" s="21">
        <f t="shared" si="22"/>
        <v>176175.28379503699</v>
      </c>
      <c r="H198" s="21">
        <f t="shared" si="22"/>
        <v>176175.28379503699</v>
      </c>
      <c r="I198" s="21">
        <f t="shared" si="22"/>
        <v>176175.28379503699</v>
      </c>
      <c r="J198" s="21">
        <f t="shared" si="22"/>
        <v>176175.28379503699</v>
      </c>
      <c r="K198" s="21">
        <f t="shared" si="22"/>
        <v>176175.28379503699</v>
      </c>
      <c r="L198" s="21">
        <f t="shared" si="22"/>
        <v>176175.28379503699</v>
      </c>
      <c r="M198" s="21">
        <f t="shared" si="22"/>
        <v>176175.28379503699</v>
      </c>
    </row>
    <row r="199" spans="2:16">
      <c r="B199" s="25" t="s">
        <v>534</v>
      </c>
      <c r="C199" s="1"/>
      <c r="D199" s="21">
        <f>C177</f>
        <v>429547.64777345466</v>
      </c>
      <c r="E199" s="21">
        <f>$D$199</f>
        <v>429547.64777345466</v>
      </c>
      <c r="F199" s="21">
        <f t="shared" ref="F199:M199" si="23">$D$199</f>
        <v>429547.64777345466</v>
      </c>
      <c r="G199" s="21">
        <f t="shared" si="23"/>
        <v>429547.64777345466</v>
      </c>
      <c r="H199" s="21">
        <f t="shared" si="23"/>
        <v>429547.64777345466</v>
      </c>
      <c r="I199" s="21">
        <f t="shared" si="23"/>
        <v>429547.64777345466</v>
      </c>
      <c r="J199" s="21">
        <f t="shared" si="23"/>
        <v>429547.64777345466</v>
      </c>
      <c r="K199" s="21">
        <f t="shared" si="23"/>
        <v>429547.64777345466</v>
      </c>
      <c r="L199" s="21">
        <f t="shared" si="23"/>
        <v>429547.64777345466</v>
      </c>
      <c r="M199" s="21">
        <f t="shared" si="23"/>
        <v>429547.64777345466</v>
      </c>
    </row>
    <row r="200" spans="2:16">
      <c r="B200" s="25" t="s">
        <v>535</v>
      </c>
      <c r="C200" s="1"/>
      <c r="D200" s="21">
        <f>D198-D199</f>
        <v>-253372.36397841768</v>
      </c>
      <c r="E200" s="21">
        <f t="shared" ref="E200:M200" si="24">E198-E199</f>
        <v>-253372.36397841768</v>
      </c>
      <c r="F200" s="21">
        <f t="shared" si="24"/>
        <v>-253372.36397841768</v>
      </c>
      <c r="G200" s="21">
        <f t="shared" si="24"/>
        <v>-253372.36397841768</v>
      </c>
      <c r="H200" s="21">
        <f t="shared" si="24"/>
        <v>-253372.36397841768</v>
      </c>
      <c r="I200" s="21">
        <f t="shared" si="24"/>
        <v>-253372.36397841768</v>
      </c>
      <c r="J200" s="21">
        <f t="shared" si="24"/>
        <v>-253372.36397841768</v>
      </c>
      <c r="K200" s="21">
        <f t="shared" si="24"/>
        <v>-253372.36397841768</v>
      </c>
      <c r="L200" s="21">
        <f t="shared" si="24"/>
        <v>-253372.36397841768</v>
      </c>
      <c r="M200" s="21">
        <f t="shared" si="24"/>
        <v>-253372.36397841768</v>
      </c>
    </row>
    <row r="201" spans="2:16">
      <c r="B201" s="25" t="s">
        <v>536</v>
      </c>
      <c r="C201" s="1"/>
      <c r="D201" s="21">
        <f>D200/((1+$C$178)^$C$179)</f>
        <v>-155548.65232730389</v>
      </c>
      <c r="E201" s="21">
        <f t="shared" ref="E201:M201" si="25">E200/((1+$C$178)^$C$179)</f>
        <v>-155548.65232730389</v>
      </c>
      <c r="F201" s="21">
        <f t="shared" si="25"/>
        <v>-155548.65232730389</v>
      </c>
      <c r="G201" s="21">
        <f t="shared" si="25"/>
        <v>-155548.65232730389</v>
      </c>
      <c r="H201" s="21">
        <f t="shared" si="25"/>
        <v>-155548.65232730389</v>
      </c>
      <c r="I201" s="21">
        <f t="shared" si="25"/>
        <v>-155548.65232730389</v>
      </c>
      <c r="J201" s="21">
        <f t="shared" si="25"/>
        <v>-155548.65232730389</v>
      </c>
      <c r="K201" s="21">
        <f t="shared" si="25"/>
        <v>-155548.65232730389</v>
      </c>
      <c r="L201" s="21">
        <f t="shared" si="25"/>
        <v>-155548.65232730389</v>
      </c>
      <c r="M201" s="21">
        <f t="shared" si="25"/>
        <v>-155548.65232730389</v>
      </c>
    </row>
    <row r="202" spans="2:16" ht="15.75" thickBot="1"/>
    <row r="203" spans="2:16" ht="15.75" thickBot="1">
      <c r="B203" s="58" t="s">
        <v>537</v>
      </c>
      <c r="C203" s="59">
        <f>SUM(D201:M201)-C197</f>
        <v>-5121942.5336638382</v>
      </c>
    </row>
    <row r="204" spans="2:16" ht="15.75" thickBot="1">
      <c r="C204" s="85"/>
    </row>
    <row r="205" spans="2:16" ht="15.75" thickBot="1">
      <c r="C205" s="58" t="s">
        <v>67</v>
      </c>
      <c r="D205" s="87" t="s">
        <v>69</v>
      </c>
    </row>
    <row r="206" spans="2:16">
      <c r="B206" s="25" t="s">
        <v>538</v>
      </c>
      <c r="C206" s="86">
        <f>C182</f>
        <v>2122.1334427204151</v>
      </c>
      <c r="D206" s="88">
        <f>C183</f>
        <v>342.56130727919367</v>
      </c>
    </row>
    <row r="207" spans="2:16">
      <c r="B207" s="25" t="s">
        <v>539</v>
      </c>
      <c r="C207" s="20">
        <v>416.54474598466453</v>
      </c>
      <c r="D207" s="21">
        <f>'Escenario 1'!C183</f>
        <v>68</v>
      </c>
    </row>
    <row r="209" spans="2:16">
      <c r="B209" s="289" t="s">
        <v>683</v>
      </c>
      <c r="C209" s="9">
        <f>C210*1000</f>
        <v>164743.97238181377</v>
      </c>
      <c r="D209" s="5" t="s">
        <v>540</v>
      </c>
    </row>
    <row r="210" spans="2:16" ht="17.25">
      <c r="B210" s="290"/>
      <c r="C210" s="9">
        <f>C191</f>
        <v>164.74397238181376</v>
      </c>
      <c r="D210" s="2" t="s">
        <v>528</v>
      </c>
    </row>
    <row r="211" spans="2:16">
      <c r="B211" s="289" t="s">
        <v>684</v>
      </c>
      <c r="C211" s="2">
        <f>C212*1000</f>
        <v>1581647.759805144</v>
      </c>
      <c r="D211" s="5" t="s">
        <v>540</v>
      </c>
    </row>
    <row r="212" spans="2:16" ht="17.25">
      <c r="B212" s="290"/>
      <c r="C212" s="9">
        <f>C192</f>
        <v>1581.647759805144</v>
      </c>
      <c r="D212" s="2" t="s">
        <v>528</v>
      </c>
    </row>
    <row r="214" spans="2:16">
      <c r="B214" s="75" t="s">
        <v>541</v>
      </c>
    </row>
    <row r="216" spans="2:16" ht="20.25" thickBot="1">
      <c r="B216" s="291" t="s">
        <v>542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</row>
    <row r="217" spans="2:16" ht="15.75" thickTop="1"/>
    <row r="218" spans="2:16">
      <c r="B218" s="292" t="s">
        <v>543</v>
      </c>
      <c r="C218" s="292"/>
      <c r="D218" s="292"/>
      <c r="E218" s="292"/>
      <c r="F218" s="292"/>
      <c r="G218" s="292"/>
      <c r="H218" s="292"/>
      <c r="I218" s="292"/>
      <c r="J218" s="292"/>
      <c r="K218" s="292"/>
    </row>
    <row r="219" spans="2:16" ht="17.25">
      <c r="B219" s="2" t="s">
        <v>544</v>
      </c>
      <c r="C219" s="2" t="s">
        <v>545</v>
      </c>
      <c r="D219" s="2" t="s">
        <v>546</v>
      </c>
      <c r="E219" s="2" t="s">
        <v>547</v>
      </c>
      <c r="F219" s="2" t="s">
        <v>548</v>
      </c>
      <c r="G219" s="2" t="s">
        <v>549</v>
      </c>
      <c r="H219" s="2" t="s">
        <v>550</v>
      </c>
      <c r="I219" s="2" t="s">
        <v>551</v>
      </c>
      <c r="J219" s="2" t="s">
        <v>552</v>
      </c>
      <c r="K219" s="2" t="s">
        <v>553</v>
      </c>
    </row>
    <row r="220" spans="2:16">
      <c r="B220" s="2" t="s">
        <v>245</v>
      </c>
      <c r="C220" s="9">
        <f>D29/24</f>
        <v>1573.7214611872143</v>
      </c>
      <c r="D220" s="9">
        <f>((1000*3*9.81)+101325)/101325</f>
        <v>1.2904515173945226</v>
      </c>
      <c r="E220" s="2">
        <v>1.5</v>
      </c>
      <c r="F220" s="2">
        <v>25</v>
      </c>
      <c r="G220" s="2">
        <v>2.1480000000000001</v>
      </c>
      <c r="H220" s="2">
        <v>1.577</v>
      </c>
      <c r="I220" s="130">
        <v>0.75</v>
      </c>
      <c r="J220" s="91">
        <v>4780</v>
      </c>
      <c r="K220" s="2">
        <v>36.5</v>
      </c>
    </row>
    <row r="221" spans="2:16">
      <c r="B221" s="2" t="s">
        <v>246</v>
      </c>
      <c r="C221" s="9">
        <f>E29/24</f>
        <v>9245.6135844748842</v>
      </c>
      <c r="D221" s="9">
        <f>D220</f>
        <v>1.2904515173945226</v>
      </c>
      <c r="E221" s="2">
        <v>1.5</v>
      </c>
      <c r="F221" s="2">
        <v>25</v>
      </c>
      <c r="G221" s="2">
        <v>2.1480000000000001</v>
      </c>
      <c r="H221" s="2">
        <v>9.2639999999999993</v>
      </c>
      <c r="I221" s="130">
        <v>0.75</v>
      </c>
      <c r="J221" s="91">
        <v>5230</v>
      </c>
      <c r="K221" s="2">
        <v>36.5</v>
      </c>
    </row>
    <row r="222" spans="2:16">
      <c r="B222" s="2" t="s">
        <v>247</v>
      </c>
      <c r="C222" s="9">
        <f>F29/24</f>
        <v>4917.8795662100447</v>
      </c>
      <c r="D222" s="2">
        <v>0.5</v>
      </c>
      <c r="E222" s="2">
        <v>1.5</v>
      </c>
      <c r="F222" s="2">
        <v>25</v>
      </c>
      <c r="G222" s="2">
        <v>10.23</v>
      </c>
      <c r="H222" s="2">
        <v>4.9279999999999999</v>
      </c>
      <c r="I222" s="130">
        <v>0.75</v>
      </c>
      <c r="J222" s="91">
        <v>5000</v>
      </c>
      <c r="K222" s="2">
        <v>36.57</v>
      </c>
    </row>
    <row r="223" spans="2:16">
      <c r="B223" s="2" t="s">
        <v>250</v>
      </c>
      <c r="C223" s="9">
        <f>I29/24</f>
        <v>9835.7591324200894</v>
      </c>
      <c r="D223" s="2">
        <v>1</v>
      </c>
      <c r="E223" s="2">
        <v>1.5</v>
      </c>
      <c r="F223" s="2">
        <v>25</v>
      </c>
      <c r="G223" s="2">
        <v>5.1139999999999999</v>
      </c>
      <c r="H223" s="2">
        <v>9.8450000000000006</v>
      </c>
      <c r="I223" s="130">
        <v>0.75</v>
      </c>
      <c r="J223" s="91">
        <v>5340</v>
      </c>
      <c r="K223" s="2">
        <v>36.57</v>
      </c>
    </row>
    <row r="224" spans="2:16">
      <c r="B224" s="2" t="s">
        <v>253</v>
      </c>
      <c r="C224" s="9">
        <f>L29/24</f>
        <v>207.64380390664633</v>
      </c>
      <c r="D224" s="2">
        <v>0.5</v>
      </c>
      <c r="E224" s="2">
        <v>1</v>
      </c>
      <c r="F224" s="2">
        <v>25</v>
      </c>
      <c r="G224" s="2">
        <v>5.1139999999999999</v>
      </c>
      <c r="H224" s="2">
        <v>0.93630000000000002</v>
      </c>
      <c r="I224" s="130">
        <v>0.75</v>
      </c>
      <c r="J224" s="91">
        <v>4560</v>
      </c>
      <c r="K224" s="2">
        <v>36.51</v>
      </c>
    </row>
    <row r="225" spans="2:11">
      <c r="B225" s="2" t="s">
        <v>254</v>
      </c>
      <c r="C225" s="9">
        <f>M29/24</f>
        <v>207.64380390664633</v>
      </c>
      <c r="D225" s="2">
        <v>1</v>
      </c>
      <c r="E225" s="2">
        <v>1.29</v>
      </c>
      <c r="F225" s="2">
        <v>35</v>
      </c>
      <c r="G225" s="2">
        <v>2.9750000000000001</v>
      </c>
      <c r="H225" s="2">
        <v>0.93630000000000002</v>
      </c>
      <c r="I225" s="130">
        <v>0.75</v>
      </c>
      <c r="J225" s="91">
        <v>4780</v>
      </c>
      <c r="K225" s="2">
        <v>36.51</v>
      </c>
    </row>
    <row r="226" spans="2:11">
      <c r="B226" s="2" t="s">
        <v>610</v>
      </c>
      <c r="C226" s="9">
        <f>O29/24</f>
        <v>316.17229874852018</v>
      </c>
      <c r="D226" s="2">
        <v>1</v>
      </c>
      <c r="E226" s="2">
        <v>1.5</v>
      </c>
      <c r="F226" s="2">
        <v>35</v>
      </c>
      <c r="G226" s="2">
        <v>5.1360000000000001</v>
      </c>
      <c r="H226" s="2">
        <v>1.4033</v>
      </c>
      <c r="I226" s="130">
        <v>0.75</v>
      </c>
      <c r="J226" s="91">
        <v>4780</v>
      </c>
      <c r="K226" s="2">
        <v>36.51</v>
      </c>
    </row>
    <row r="227" spans="2:11">
      <c r="B227" s="2" t="s">
        <v>586</v>
      </c>
      <c r="C227" s="9">
        <f>P29/24</f>
        <v>138.6368464083375</v>
      </c>
      <c r="D227" s="2">
        <v>1</v>
      </c>
      <c r="E227" s="2">
        <v>1.5</v>
      </c>
      <c r="F227" s="2">
        <v>35</v>
      </c>
      <c r="G227" s="2">
        <v>3.081</v>
      </c>
      <c r="H227" s="2">
        <v>0.21329999999999999</v>
      </c>
      <c r="I227" s="130">
        <v>0.75</v>
      </c>
      <c r="J227" s="91">
        <v>4560</v>
      </c>
      <c r="K227" s="2">
        <v>36</v>
      </c>
    </row>
    <row r="228" spans="2:11">
      <c r="B228" s="2"/>
      <c r="C228" s="9"/>
      <c r="D228" s="2"/>
      <c r="E228" s="2"/>
      <c r="F228" s="2"/>
      <c r="G228" s="2"/>
      <c r="H228" s="2"/>
      <c r="I228" s="130"/>
      <c r="J228" s="91"/>
      <c r="K228" s="2"/>
    </row>
    <row r="229" spans="2:11">
      <c r="B229" s="2" t="s">
        <v>612</v>
      </c>
      <c r="C229" s="9">
        <f>R29/24</f>
        <v>180.55339723803013</v>
      </c>
      <c r="D229" s="2">
        <v>1</v>
      </c>
      <c r="E229" s="2">
        <v>1.29</v>
      </c>
      <c r="F229" s="2">
        <v>50</v>
      </c>
      <c r="G229" s="2">
        <v>5.1210000000000004</v>
      </c>
      <c r="H229" s="2">
        <v>0.6835</v>
      </c>
      <c r="I229" s="130">
        <v>0.75</v>
      </c>
      <c r="J229" s="91">
        <v>4780</v>
      </c>
      <c r="K229" s="2">
        <v>36.51</v>
      </c>
    </row>
    <row r="230" spans="2:11">
      <c r="B230" s="2" t="s">
        <v>611</v>
      </c>
      <c r="C230" s="9">
        <f>Q29/24</f>
        <v>177.53545234018262</v>
      </c>
      <c r="D230" s="2">
        <v>1</v>
      </c>
      <c r="E230" s="2">
        <v>1.5</v>
      </c>
      <c r="F230" s="2">
        <v>25</v>
      </c>
      <c r="G230" s="2">
        <v>5.1139999999999999</v>
      </c>
      <c r="H230" s="2">
        <v>0.88680000000000003</v>
      </c>
      <c r="I230" s="130">
        <v>0.75</v>
      </c>
      <c r="J230" s="91">
        <v>4780</v>
      </c>
      <c r="K230" s="2">
        <v>36.51</v>
      </c>
    </row>
    <row r="231" spans="2:11">
      <c r="B231" s="2" t="s">
        <v>614</v>
      </c>
      <c r="C231" s="9">
        <f>T29/24</f>
        <v>18.806389541302938</v>
      </c>
      <c r="D231" s="2">
        <v>1</v>
      </c>
      <c r="E231" s="2">
        <v>1.29</v>
      </c>
      <c r="F231" s="2">
        <v>96</v>
      </c>
      <c r="G231" s="2">
        <v>5.1360000000000001</v>
      </c>
      <c r="H231" s="2">
        <v>1.5678000000000001</v>
      </c>
      <c r="I231" s="130">
        <v>0.75</v>
      </c>
      <c r="J231" s="91">
        <v>4780</v>
      </c>
      <c r="K231" s="2">
        <v>36.51</v>
      </c>
    </row>
    <row r="233" spans="2:11">
      <c r="B233" s="292" t="s">
        <v>685</v>
      </c>
      <c r="C233" s="292"/>
      <c r="D233" s="292"/>
      <c r="E233" s="292"/>
      <c r="F233" s="292"/>
      <c r="G233" s="292"/>
      <c r="H233" s="292"/>
      <c r="I233" s="292"/>
      <c r="J233" s="292"/>
      <c r="K233" s="292"/>
    </row>
    <row r="234" spans="2:11" ht="17.25">
      <c r="B234" s="2" t="s">
        <v>555</v>
      </c>
      <c r="C234" s="2" t="s">
        <v>202</v>
      </c>
      <c r="D234" s="2" t="s">
        <v>548</v>
      </c>
      <c r="E234" s="2" t="s">
        <v>556</v>
      </c>
      <c r="F234" s="2" t="s">
        <v>557</v>
      </c>
      <c r="G234" s="2" t="s">
        <v>558</v>
      </c>
      <c r="H234" s="2" t="s">
        <v>559</v>
      </c>
      <c r="I234" s="2" t="s">
        <v>560</v>
      </c>
      <c r="J234" s="2" t="s">
        <v>561</v>
      </c>
      <c r="K234" s="2"/>
    </row>
    <row r="235" spans="2:11">
      <c r="B235" s="9">
        <f>O29/24</f>
        <v>316.17229874852018</v>
      </c>
      <c r="C235" s="2">
        <f>O72</f>
        <v>1</v>
      </c>
      <c r="D235" s="2">
        <v>35</v>
      </c>
      <c r="E235" s="9">
        <f>O73</f>
        <v>0.31617229874852015</v>
      </c>
      <c r="F235" s="2">
        <v>2.286</v>
      </c>
      <c r="G235" s="2">
        <v>0.30480000000000002</v>
      </c>
      <c r="H235" s="2"/>
      <c r="I235" s="2"/>
      <c r="J235" s="91">
        <v>47000</v>
      </c>
      <c r="K235" s="2"/>
    </row>
    <row r="237" spans="2:11">
      <c r="B237" s="292" t="s">
        <v>310</v>
      </c>
      <c r="C237" s="292"/>
      <c r="D237" s="292"/>
      <c r="E237" s="292"/>
      <c r="F237" s="292"/>
      <c r="G237" s="292"/>
      <c r="H237" s="292"/>
      <c r="I237" s="292"/>
      <c r="J237" s="292"/>
      <c r="K237" s="292"/>
    </row>
    <row r="238" spans="2:11" ht="17.25">
      <c r="B238" s="2" t="s">
        <v>555</v>
      </c>
      <c r="C238" s="2" t="s">
        <v>202</v>
      </c>
      <c r="D238" s="2" t="s">
        <v>548</v>
      </c>
      <c r="E238" s="2" t="s">
        <v>556</v>
      </c>
      <c r="F238" s="2" t="s">
        <v>557</v>
      </c>
      <c r="G238" s="2" t="s">
        <v>558</v>
      </c>
      <c r="H238" s="2" t="s">
        <v>559</v>
      </c>
      <c r="I238" s="2" t="s">
        <v>560</v>
      </c>
      <c r="J238" s="2" t="s">
        <v>561</v>
      </c>
      <c r="K238" s="2"/>
    </row>
    <row r="239" spans="2:11">
      <c r="B239" s="9">
        <f>R29/24</f>
        <v>180.55339723803013</v>
      </c>
      <c r="C239" s="2">
        <f>O67</f>
        <v>4</v>
      </c>
      <c r="D239" s="2">
        <v>50</v>
      </c>
      <c r="E239" s="9">
        <f>O68</f>
        <v>0.72221358895212051</v>
      </c>
      <c r="F239" s="2">
        <v>2.44</v>
      </c>
      <c r="G239" s="2">
        <v>0.4572</v>
      </c>
      <c r="H239" s="2"/>
      <c r="I239" s="2"/>
      <c r="J239" s="91">
        <v>64500</v>
      </c>
      <c r="K239" s="2"/>
    </row>
    <row r="241" spans="1:11">
      <c r="B241" s="292" t="s">
        <v>566</v>
      </c>
      <c r="C241" s="292"/>
      <c r="D241" s="292"/>
      <c r="E241" s="292"/>
      <c r="F241" s="292"/>
      <c r="G241" s="292"/>
      <c r="H241" s="292"/>
      <c r="I241" s="292"/>
      <c r="J241" s="292"/>
      <c r="K241" s="292"/>
    </row>
    <row r="242" spans="1:11">
      <c r="B242" s="2" t="s">
        <v>582</v>
      </c>
      <c r="C242" s="2" t="s">
        <v>583</v>
      </c>
      <c r="D242" s="2" t="s">
        <v>584</v>
      </c>
      <c r="E242" s="2"/>
      <c r="F242" s="2"/>
      <c r="G242" s="2" t="s">
        <v>558</v>
      </c>
      <c r="H242" s="2" t="s">
        <v>559</v>
      </c>
      <c r="I242" s="2"/>
      <c r="J242" s="2" t="s">
        <v>561</v>
      </c>
      <c r="K242" s="2"/>
    </row>
    <row r="243" spans="1:11">
      <c r="B243" s="9">
        <f>O29/24</f>
        <v>316.17229874852018</v>
      </c>
      <c r="C243" s="9">
        <f>Q29/24</f>
        <v>177.53545234018262</v>
      </c>
      <c r="D243" s="9">
        <f>P29/24</f>
        <v>138.6368464083375</v>
      </c>
      <c r="E243" s="9"/>
      <c r="F243" s="2"/>
      <c r="G243" s="2">
        <v>0.254</v>
      </c>
      <c r="H243" s="2">
        <v>44.91</v>
      </c>
      <c r="I243" s="2"/>
      <c r="J243" s="91">
        <v>274000</v>
      </c>
      <c r="K243" s="2"/>
    </row>
    <row r="245" spans="1:11">
      <c r="B245" s="292" t="s">
        <v>686</v>
      </c>
      <c r="C245" s="292"/>
      <c r="D245" s="292"/>
      <c r="E245" s="292"/>
      <c r="F245" s="292"/>
      <c r="G245" s="292"/>
      <c r="H245" s="292"/>
      <c r="I245" s="292"/>
      <c r="J245" s="292"/>
      <c r="K245" s="292"/>
    </row>
    <row r="246" spans="1:11" ht="17.25">
      <c r="B246" s="2" t="s">
        <v>555</v>
      </c>
      <c r="C246" s="2" t="s">
        <v>202</v>
      </c>
      <c r="D246" s="2" t="s">
        <v>548</v>
      </c>
      <c r="E246" s="2" t="s">
        <v>556</v>
      </c>
      <c r="F246" s="2" t="s">
        <v>557</v>
      </c>
      <c r="G246" s="2" t="s">
        <v>558</v>
      </c>
      <c r="H246" s="2" t="s">
        <v>559</v>
      </c>
      <c r="I246" s="2"/>
      <c r="J246" s="2" t="s">
        <v>561</v>
      </c>
      <c r="K246" s="2"/>
    </row>
    <row r="247" spans="1:11">
      <c r="A247" s="75" t="s">
        <v>67</v>
      </c>
      <c r="B247" s="9">
        <f>T29/24</f>
        <v>18.806389541302938</v>
      </c>
      <c r="C247" s="2">
        <v>24</v>
      </c>
      <c r="D247" s="2">
        <v>25</v>
      </c>
      <c r="E247" s="9">
        <f>T67</f>
        <v>0.45135334899127055</v>
      </c>
      <c r="F247" s="2">
        <v>1.8360000000000001</v>
      </c>
      <c r="G247" s="2">
        <v>1.224</v>
      </c>
      <c r="H247" s="2">
        <v>35.119999999999997</v>
      </c>
      <c r="I247" s="2"/>
      <c r="J247" s="91">
        <v>14400</v>
      </c>
      <c r="K247" s="2"/>
    </row>
    <row r="248" spans="1:11">
      <c r="A248" s="75" t="s">
        <v>69</v>
      </c>
      <c r="B248" s="9">
        <f>R29/24</f>
        <v>180.55339723803013</v>
      </c>
      <c r="C248" s="2">
        <v>24</v>
      </c>
      <c r="D248" s="2">
        <v>25</v>
      </c>
      <c r="E248" s="9">
        <f>T72</f>
        <v>4.3332815337127233</v>
      </c>
      <c r="F248" s="2">
        <v>3.806</v>
      </c>
      <c r="G248" s="2">
        <v>2.5369999999999999</v>
      </c>
      <c r="H248" s="2">
        <v>35.119999999999997</v>
      </c>
      <c r="I248" s="1"/>
      <c r="J248" s="91">
        <v>29500</v>
      </c>
      <c r="K248" s="1"/>
    </row>
  </sheetData>
  <mergeCells count="100">
    <mergeCell ref="B32:B33"/>
    <mergeCell ref="U3:AG3"/>
    <mergeCell ref="N5:O5"/>
    <mergeCell ref="V5:X5"/>
    <mergeCell ref="Y5:AA5"/>
    <mergeCell ref="AB5:AD5"/>
    <mergeCell ref="N10:O10"/>
    <mergeCell ref="AB11:AD11"/>
    <mergeCell ref="AB16:AD16"/>
    <mergeCell ref="X26:Z26"/>
    <mergeCell ref="AB26:AD26"/>
    <mergeCell ref="B28:B29"/>
    <mergeCell ref="B46:B47"/>
    <mergeCell ref="B34:B35"/>
    <mergeCell ref="X34:Z34"/>
    <mergeCell ref="AB34:AD34"/>
    <mergeCell ref="B36:B37"/>
    <mergeCell ref="B38:B39"/>
    <mergeCell ref="AB38:AD38"/>
    <mergeCell ref="B40:B41"/>
    <mergeCell ref="B42:B43"/>
    <mergeCell ref="X43:Z43"/>
    <mergeCell ref="AB43:AD43"/>
    <mergeCell ref="B44:B45"/>
    <mergeCell ref="B48:B49"/>
    <mergeCell ref="AB48:AD48"/>
    <mergeCell ref="AB49:AB50"/>
    <mergeCell ref="X51:Z51"/>
    <mergeCell ref="B52:D52"/>
    <mergeCell ref="AB52:AB54"/>
    <mergeCell ref="B54:E54"/>
    <mergeCell ref="B62:P62"/>
    <mergeCell ref="X62:AD62"/>
    <mergeCell ref="B64:D64"/>
    <mergeCell ref="F64:H64"/>
    <mergeCell ref="J64:L64"/>
    <mergeCell ref="N64:P64"/>
    <mergeCell ref="S64:U64"/>
    <mergeCell ref="X64:X65"/>
    <mergeCell ref="AB64:AD64"/>
    <mergeCell ref="AB65:AB66"/>
    <mergeCell ref="X79:AD79"/>
    <mergeCell ref="J69:L69"/>
    <mergeCell ref="S69:U69"/>
    <mergeCell ref="F70:H70"/>
    <mergeCell ref="N70:P70"/>
    <mergeCell ref="AB72:AD72"/>
    <mergeCell ref="B75:P75"/>
    <mergeCell ref="AB75:AB76"/>
    <mergeCell ref="B105:C105"/>
    <mergeCell ref="B77:G77"/>
    <mergeCell ref="I77:P77"/>
    <mergeCell ref="C78:D78"/>
    <mergeCell ref="F78:G78"/>
    <mergeCell ref="K78:L78"/>
    <mergeCell ref="I123:M123"/>
    <mergeCell ref="X81:X82"/>
    <mergeCell ref="AB81:AD81"/>
    <mergeCell ref="AB82:AB83"/>
    <mergeCell ref="AB89:AD89"/>
    <mergeCell ref="AB92:AB93"/>
    <mergeCell ref="B106:D106"/>
    <mergeCell ref="I106:M106"/>
    <mergeCell ref="B108:D108"/>
    <mergeCell ref="B119:D119"/>
    <mergeCell ref="B121:B122"/>
    <mergeCell ref="B124:B125"/>
    <mergeCell ref="B127:B128"/>
    <mergeCell ref="B131:B133"/>
    <mergeCell ref="I132:N132"/>
    <mergeCell ref="Q132:S132"/>
    <mergeCell ref="Z132:AA132"/>
    <mergeCell ref="AB132:AC132"/>
    <mergeCell ref="AD132:AE132"/>
    <mergeCell ref="B135:B136"/>
    <mergeCell ref="V135:W135"/>
    <mergeCell ref="R136:S136"/>
    <mergeCell ref="U132:W132"/>
    <mergeCell ref="B138:B139"/>
    <mergeCell ref="B142:B143"/>
    <mergeCell ref="B145:D145"/>
    <mergeCell ref="B156:D156"/>
    <mergeCell ref="B174:I174"/>
    <mergeCell ref="I161:L161"/>
    <mergeCell ref="B169:B170"/>
    <mergeCell ref="K174:R174"/>
    <mergeCell ref="C185:F185"/>
    <mergeCell ref="C186:F186"/>
    <mergeCell ref="C187:F187"/>
    <mergeCell ref="B233:K233"/>
    <mergeCell ref="C188:F188"/>
    <mergeCell ref="B237:K237"/>
    <mergeCell ref="B241:K241"/>
    <mergeCell ref="B245:K245"/>
    <mergeCell ref="C189:F189"/>
    <mergeCell ref="B194:P194"/>
    <mergeCell ref="B209:B210"/>
    <mergeCell ref="B211:B212"/>
    <mergeCell ref="B216:P216"/>
    <mergeCell ref="B218:K218"/>
  </mergeCells>
  <hyperlinks>
    <hyperlink ref="AA22" r:id="rId1" xr:uid="{3D40B4F3-DB03-4B69-94D5-A19AE8D488B5}"/>
    <hyperlink ref="R176" r:id="rId2" display="https://blogs.worldbank.org/opendata/fertilizer-prices-expected-remain-higher-longer" xr:uid="{B76606AB-294B-4311-8F79-CA89B658F989}"/>
    <hyperlink ref="H178" r:id="rId3" xr:uid="{147A0FC4-4226-4CAA-A0B1-9B271E8389C9}"/>
  </hyperlinks>
  <pageMargins left="0.7" right="0.7" top="0.75" bottom="0.75" header="0.3" footer="0.3"/>
  <pageSetup paperSize="9" orientation="portrait" r:id="rId4"/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Rojo</dc:creator>
  <cp:keywords/>
  <dc:description/>
  <cp:lastModifiedBy>ELENA MARIA ROJO DE BENITO</cp:lastModifiedBy>
  <cp:revision/>
  <dcterms:created xsi:type="dcterms:W3CDTF">2022-10-05T14:57:48Z</dcterms:created>
  <dcterms:modified xsi:type="dcterms:W3CDTF">2024-06-10T11:57:08Z</dcterms:modified>
  <cp:category/>
  <cp:contentStatus/>
</cp:coreProperties>
</file>