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0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elenamaria_rojo_uva_es/Documents/Doctorado/TEA y LCA/LCA GREENFARM/Greenfarm/"/>
    </mc:Choice>
  </mc:AlternateContent>
  <xr:revisionPtr revIDLastSave="125" documentId="11_B0F8E192F292BBAEF979AF7930B19F0D2780BE10" xr6:coauthVersionLast="47" xr6:coauthVersionMax="47" xr10:uidLastSave="{F9F961C4-3449-4926-AA3F-F79DD1E5FD9A}"/>
  <bookViews>
    <workbookView xWindow="0" yWindow="3000" windowWidth="28800" windowHeight="12600" tabRatio="801" activeTab="2" xr2:uid="{00000000-000D-0000-FFFF-FFFF00000000}"/>
  </bookViews>
  <sheets>
    <sheet name="Scenario 1" sheetId="1" r:id="rId1"/>
    <sheet name="Calculations" sheetId="4" r:id="rId2"/>
    <sheet name="LCA inventary (SimaPro)" sheetId="5" r:id="rId3"/>
    <sheet name="Results SimaPro (GF)" sheetId="16" r:id="rId4"/>
    <sheet name="Results Flue gas - MEA (GF)" sheetId="23" r:id="rId5"/>
    <sheet name="Results Biogas - MEA (GF)" sheetId="27" r:id="rId6"/>
    <sheet name="Results Flue gas - membran (GF)" sheetId="28" r:id="rId7"/>
    <sheet name="Results Biogas - membrane (GF)" sheetId="29" r:id="rId8"/>
    <sheet name="Comparation CO2 source (MEA)" sheetId="18" r:id="rId9"/>
    <sheet name="Comparation CO2 source (membra)" sheetId="30" r:id="rId10"/>
  </sheets>
  <definedNames>
    <definedName name="P">'LCA inventary (SimaPro)'!$K$5</definedName>
    <definedName name="PF">#REF!</definedName>
    <definedName name="solver_adj" localSheetId="1" hidden="1">Calculations!$AD$21</definedName>
    <definedName name="solver_adj" localSheetId="0" hidden="1">'Scenario 1'!$P$159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0" hidden="1">'Scenario 1'!$C$180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0</definedName>
    <definedName name="solver_num" localSheetId="0" hidden="1">1</definedName>
    <definedName name="solver_nwt" localSheetId="1" hidden="1">1</definedName>
    <definedName name="solver_nwt" localSheetId="0" hidden="1">1</definedName>
    <definedName name="solver_opt" localSheetId="1" hidden="1">Calculations!$AD$22</definedName>
    <definedName name="solver_opt" localSheetId="0" hidden="1">'Scenario 1'!$P$162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0" hidden="1">3</definedName>
    <definedName name="solver_rhs1" localSheetId="0" hidden="1">0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3</definedName>
    <definedName name="solver_typ" localSheetId="0" hidden="1">3</definedName>
    <definedName name="solver_val" localSheetId="1" hidden="1">7.2</definedName>
    <definedName name="solver_val" localSheetId="0" hidden="1">7.2</definedName>
    <definedName name="solver_ver" localSheetId="1" hidden="1">3</definedName>
    <definedName name="solver_ver" localSheetId="0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23" l="1"/>
  <c r="N50" i="4" l="1"/>
  <c r="N49" i="4"/>
  <c r="W57" i="1"/>
  <c r="O103" i="16"/>
  <c r="C118" i="4" l="1"/>
  <c r="C117" i="4"/>
  <c r="C116" i="4"/>
  <c r="D138" i="29" l="1"/>
  <c r="Q138" i="29" s="1"/>
  <c r="D137" i="29"/>
  <c r="P137" i="29" s="1"/>
  <c r="D136" i="29"/>
  <c r="AQ11" i="29" s="1"/>
  <c r="D135" i="29"/>
  <c r="P135" i="29" s="1"/>
  <c r="D106" i="29"/>
  <c r="P106" i="29" s="1"/>
  <c r="D105" i="29"/>
  <c r="P105" i="29" s="1"/>
  <c r="D104" i="29"/>
  <c r="Q104" i="29" s="1"/>
  <c r="D103" i="29"/>
  <c r="E52" i="30" s="1"/>
  <c r="D95" i="29"/>
  <c r="Q95" i="29" s="1"/>
  <c r="D94" i="29"/>
  <c r="P94" i="29" s="1"/>
  <c r="D93" i="29"/>
  <c r="R93" i="29" s="1"/>
  <c r="D92" i="29"/>
  <c r="P92" i="29" s="1"/>
  <c r="D91" i="29"/>
  <c r="Q91" i="29" s="1"/>
  <c r="D90" i="29"/>
  <c r="D89" i="29"/>
  <c r="S89" i="29" s="1"/>
  <c r="D88" i="29"/>
  <c r="AQ57" i="29" s="1"/>
  <c r="D87" i="29"/>
  <c r="Q87" i="29" s="1"/>
  <c r="D86" i="29"/>
  <c r="P86" i="29" s="1"/>
  <c r="D85" i="29"/>
  <c r="D84" i="29"/>
  <c r="P84" i="29" s="1"/>
  <c r="D83" i="29"/>
  <c r="Q83" i="29" s="1"/>
  <c r="D82" i="29"/>
  <c r="AQ39" i="29" s="1"/>
  <c r="D81" i="29"/>
  <c r="R81" i="29" s="1"/>
  <c r="AM78" i="29"/>
  <c r="AE78" i="29"/>
  <c r="AQ75" i="29"/>
  <c r="AQ76" i="29" s="1"/>
  <c r="AM75" i="29"/>
  <c r="AE75" i="29"/>
  <c r="E75" i="29"/>
  <c r="D75" i="29" s="1"/>
  <c r="E56" i="29" s="1"/>
  <c r="D56" i="29" s="1"/>
  <c r="J56" i="29" s="1"/>
  <c r="AM72" i="29"/>
  <c r="AE72" i="29"/>
  <c r="AM69" i="29"/>
  <c r="AE69" i="29"/>
  <c r="AM66" i="29"/>
  <c r="AE66" i="29"/>
  <c r="AM63" i="29"/>
  <c r="AE63" i="29"/>
  <c r="E62" i="29"/>
  <c r="D62" i="29" s="1"/>
  <c r="AP36" i="29" s="1"/>
  <c r="AQ60" i="29"/>
  <c r="AQ61" i="29" s="1"/>
  <c r="AM60" i="29"/>
  <c r="AE60" i="29"/>
  <c r="AM57" i="29"/>
  <c r="AE57" i="29"/>
  <c r="AM54" i="29"/>
  <c r="AE54" i="29"/>
  <c r="AM51" i="29"/>
  <c r="AE51" i="29"/>
  <c r="AM48" i="29"/>
  <c r="AE48" i="29"/>
  <c r="AM45" i="29"/>
  <c r="AE45" i="29"/>
  <c r="AM42" i="29"/>
  <c r="AE42" i="29"/>
  <c r="AM39" i="29"/>
  <c r="AE39" i="29"/>
  <c r="AQ36" i="29"/>
  <c r="AQ37" i="29" s="1"/>
  <c r="AM36" i="29"/>
  <c r="AE36" i="29"/>
  <c r="D19" i="29"/>
  <c r="AF78" i="29" s="1"/>
  <c r="D18" i="29"/>
  <c r="N18" i="29" s="1"/>
  <c r="D17" i="29"/>
  <c r="AF72" i="29" s="1"/>
  <c r="D16" i="29"/>
  <c r="Q16" i="29" s="1"/>
  <c r="D15" i="29"/>
  <c r="AF66" i="29" s="1"/>
  <c r="D14" i="29"/>
  <c r="N14" i="29" s="1"/>
  <c r="D13" i="29"/>
  <c r="AF60" i="29" s="1"/>
  <c r="D12" i="29"/>
  <c r="O12" i="29" s="1"/>
  <c r="D11" i="29"/>
  <c r="E40" i="30" s="1"/>
  <c r="D10" i="29"/>
  <c r="Q10" i="29" s="1"/>
  <c r="D9" i="29"/>
  <c r="AF48" i="29" s="1"/>
  <c r="AF8" i="29"/>
  <c r="D8" i="29"/>
  <c r="AF45" i="29" s="1"/>
  <c r="D7" i="29"/>
  <c r="AF42" i="29" s="1"/>
  <c r="D6" i="29"/>
  <c r="Q6" i="29" s="1"/>
  <c r="D5" i="29"/>
  <c r="AF36" i="29" s="1"/>
  <c r="D138" i="28"/>
  <c r="O138" i="28" s="1"/>
  <c r="D137" i="28"/>
  <c r="R137" i="28" s="1"/>
  <c r="D136" i="28"/>
  <c r="Q136" i="28" s="1"/>
  <c r="D135" i="28"/>
  <c r="P135" i="28" s="1"/>
  <c r="D106" i="28"/>
  <c r="D105" i="28"/>
  <c r="AF5" i="28" s="1"/>
  <c r="D104" i="28"/>
  <c r="D103" i="28"/>
  <c r="AF8" i="28" s="1"/>
  <c r="D95" i="28"/>
  <c r="D94" i="28"/>
  <c r="R94" i="28" s="1"/>
  <c r="D93" i="28"/>
  <c r="Q93" i="28" s="1"/>
  <c r="D92" i="28"/>
  <c r="P92" i="28" s="1"/>
  <c r="D91" i="28"/>
  <c r="O91" i="28" s="1"/>
  <c r="D90" i="28"/>
  <c r="N90" i="28" s="1"/>
  <c r="D89" i="28"/>
  <c r="Q89" i="28" s="1"/>
  <c r="D88" i="28"/>
  <c r="R88" i="28" s="1"/>
  <c r="D87" i="28"/>
  <c r="D86" i="28"/>
  <c r="R86" i="28" s="1"/>
  <c r="D85" i="28"/>
  <c r="Q85" i="28" s="1"/>
  <c r="D84" i="28"/>
  <c r="P84" i="28" s="1"/>
  <c r="D83" i="28"/>
  <c r="O83" i="28" s="1"/>
  <c r="D82" i="28"/>
  <c r="N82" i="28" s="1"/>
  <c r="D81" i="28"/>
  <c r="Q81" i="28" s="1"/>
  <c r="AM78" i="28"/>
  <c r="AE78" i="28"/>
  <c r="AQ75" i="28"/>
  <c r="AM75" i="28"/>
  <c r="AE75" i="28"/>
  <c r="AM72" i="28"/>
  <c r="AE72" i="28"/>
  <c r="E71" i="28"/>
  <c r="H71" i="28" s="1"/>
  <c r="AM69" i="28"/>
  <c r="AE69" i="28"/>
  <c r="AM66" i="28"/>
  <c r="AE66" i="28"/>
  <c r="AM63" i="28"/>
  <c r="AE63" i="28"/>
  <c r="AM60" i="28"/>
  <c r="AE60" i="28"/>
  <c r="AM57" i="28"/>
  <c r="AE57" i="28"/>
  <c r="AM54" i="28"/>
  <c r="AE54" i="28"/>
  <c r="AM51" i="28"/>
  <c r="AE51" i="28"/>
  <c r="AM48" i="28"/>
  <c r="AE48" i="28"/>
  <c r="AM45" i="28"/>
  <c r="AE45" i="28"/>
  <c r="AQ42" i="28"/>
  <c r="AM42" i="28"/>
  <c r="AE42" i="28"/>
  <c r="AM39" i="28"/>
  <c r="AE39" i="28"/>
  <c r="AQ36" i="28"/>
  <c r="AQ37" i="28" s="1"/>
  <c r="AM36" i="28"/>
  <c r="AE36" i="28"/>
  <c r="D19" i="28"/>
  <c r="D48" i="30" s="1"/>
  <c r="D18" i="28"/>
  <c r="D17" i="28"/>
  <c r="D16" i="28"/>
  <c r="D45" i="30" s="1"/>
  <c r="D15" i="28"/>
  <c r="D14" i="28"/>
  <c r="D13" i="28"/>
  <c r="D12" i="28"/>
  <c r="AQ11" i="28"/>
  <c r="D11" i="28"/>
  <c r="D40" i="30" s="1"/>
  <c r="D10" i="28"/>
  <c r="D39" i="30" s="1"/>
  <c r="D9" i="28"/>
  <c r="D8" i="28"/>
  <c r="D37" i="30" s="1"/>
  <c r="D7" i="28"/>
  <c r="D6" i="28"/>
  <c r="D5" i="28"/>
  <c r="W121" i="4"/>
  <c r="W119" i="4"/>
  <c r="W118" i="4"/>
  <c r="W110" i="4"/>
  <c r="W109" i="4"/>
  <c r="W108" i="4"/>
  <c r="W107" i="4"/>
  <c r="M118" i="4"/>
  <c r="S91" i="29" l="1"/>
  <c r="AQ14" i="28"/>
  <c r="AQ15" i="28" s="1"/>
  <c r="O94" i="29"/>
  <c r="R94" i="29"/>
  <c r="E65" i="29"/>
  <c r="D65" i="29" s="1"/>
  <c r="N85" i="28"/>
  <c r="N88" i="28"/>
  <c r="E55" i="30"/>
  <c r="E54" i="30"/>
  <c r="E53" i="30"/>
  <c r="S94" i="29"/>
  <c r="Q89" i="29"/>
  <c r="Q94" i="29"/>
  <c r="S95" i="29"/>
  <c r="E42" i="30"/>
  <c r="P10" i="29"/>
  <c r="E41" i="30"/>
  <c r="E45" i="30"/>
  <c r="E46" i="30"/>
  <c r="E38" i="30"/>
  <c r="E34" i="30"/>
  <c r="E37" i="30"/>
  <c r="E48" i="30"/>
  <c r="E44" i="30"/>
  <c r="E36" i="30"/>
  <c r="E47" i="30"/>
  <c r="E43" i="30"/>
  <c r="E39" i="30"/>
  <c r="E35" i="30"/>
  <c r="N106" i="28"/>
  <c r="D55" i="30"/>
  <c r="P103" i="28"/>
  <c r="D52" i="30"/>
  <c r="O104" i="28"/>
  <c r="D53" i="30"/>
  <c r="Q88" i="28"/>
  <c r="P9" i="28"/>
  <c r="D38" i="30"/>
  <c r="Q12" i="28"/>
  <c r="D41" i="30"/>
  <c r="N18" i="28"/>
  <c r="D47" i="30"/>
  <c r="AF42" i="28"/>
  <c r="D36" i="30"/>
  <c r="N13" i="28"/>
  <c r="D42" i="30"/>
  <c r="Q15" i="28"/>
  <c r="D44" i="30"/>
  <c r="Q6" i="28"/>
  <c r="D35" i="30"/>
  <c r="O5" i="28"/>
  <c r="D34" i="30"/>
  <c r="Q14" i="28"/>
  <c r="D43" i="30"/>
  <c r="AF72" i="28"/>
  <c r="D46" i="30"/>
  <c r="D54" i="30"/>
  <c r="P105" i="28"/>
  <c r="N104" i="28"/>
  <c r="Q105" i="28"/>
  <c r="P104" i="28"/>
  <c r="AF11" i="28"/>
  <c r="N103" i="28"/>
  <c r="O106" i="28"/>
  <c r="Q103" i="28"/>
  <c r="P13" i="28"/>
  <c r="Q13" i="28"/>
  <c r="E75" i="28"/>
  <c r="D75" i="28" s="1"/>
  <c r="E56" i="28" s="1"/>
  <c r="E74" i="28"/>
  <c r="N93" i="28"/>
  <c r="O93" i="28"/>
  <c r="AQ72" i="28"/>
  <c r="E73" i="28"/>
  <c r="E72" i="28"/>
  <c r="D72" i="28" s="1"/>
  <c r="AQ63" i="28"/>
  <c r="P90" i="28"/>
  <c r="AQ57" i="28"/>
  <c r="S88" i="28"/>
  <c r="E69" i="28"/>
  <c r="H69" i="28" s="1"/>
  <c r="L69" i="28" s="1"/>
  <c r="O85" i="28"/>
  <c r="P85" i="28"/>
  <c r="R85" i="28"/>
  <c r="AQ48" i="28"/>
  <c r="S85" i="28"/>
  <c r="E66" i="28"/>
  <c r="D66" i="28" s="1"/>
  <c r="E64" i="28"/>
  <c r="E63" i="28"/>
  <c r="H63" i="28" s="1"/>
  <c r="L63" i="28" s="1"/>
  <c r="AQ39" i="28"/>
  <c r="AQ40" i="28" s="1"/>
  <c r="E62" i="28"/>
  <c r="D62" i="28" s="1"/>
  <c r="S81" i="28"/>
  <c r="R138" i="28"/>
  <c r="E130" i="28"/>
  <c r="P136" i="28"/>
  <c r="AQ8" i="28"/>
  <c r="AQ9" i="28" s="1"/>
  <c r="AF5" i="29"/>
  <c r="Q17" i="29"/>
  <c r="P16" i="29"/>
  <c r="O15" i="29"/>
  <c r="O14" i="29"/>
  <c r="Q9" i="29"/>
  <c r="AF63" i="29"/>
  <c r="O7" i="29"/>
  <c r="Q15" i="29"/>
  <c r="O9" i="29"/>
  <c r="P17" i="29"/>
  <c r="R95" i="29"/>
  <c r="AQ78" i="29"/>
  <c r="E74" i="29"/>
  <c r="H74" i="29" s="1"/>
  <c r="M74" i="29" s="1"/>
  <c r="O92" i="29"/>
  <c r="E73" i="29"/>
  <c r="Q92" i="29"/>
  <c r="R89" i="29"/>
  <c r="AQ54" i="29"/>
  <c r="O87" i="29"/>
  <c r="E68" i="29"/>
  <c r="P87" i="29"/>
  <c r="R87" i="29"/>
  <c r="S87" i="29"/>
  <c r="N87" i="29"/>
  <c r="N86" i="29"/>
  <c r="O86" i="29"/>
  <c r="AQ45" i="29"/>
  <c r="O84" i="29"/>
  <c r="AQ42" i="29"/>
  <c r="AQ43" i="29" s="1"/>
  <c r="E64" i="29"/>
  <c r="N83" i="29"/>
  <c r="O83" i="29"/>
  <c r="P83" i="29"/>
  <c r="R83" i="29"/>
  <c r="S83" i="29"/>
  <c r="AQ14" i="29"/>
  <c r="AQ15" i="29" s="1"/>
  <c r="Q137" i="29"/>
  <c r="R137" i="29"/>
  <c r="S137" i="29"/>
  <c r="AQ5" i="29"/>
  <c r="AQ6" i="29" s="1"/>
  <c r="E129" i="29"/>
  <c r="H129" i="29" s="1"/>
  <c r="M129" i="29" s="1"/>
  <c r="AQ12" i="29"/>
  <c r="Q135" i="29"/>
  <c r="O138" i="29"/>
  <c r="P138" i="29"/>
  <c r="N137" i="29"/>
  <c r="R138" i="29"/>
  <c r="O135" i="29"/>
  <c r="AQ8" i="29"/>
  <c r="E130" i="29"/>
  <c r="O137" i="29"/>
  <c r="S138" i="29"/>
  <c r="O104" i="29"/>
  <c r="Q106" i="29"/>
  <c r="P104" i="29"/>
  <c r="AF11" i="29"/>
  <c r="AF14" i="29"/>
  <c r="N104" i="29"/>
  <c r="N105" i="29"/>
  <c r="O105" i="29"/>
  <c r="N106" i="29"/>
  <c r="Q105" i="29"/>
  <c r="N19" i="29"/>
  <c r="O19" i="29"/>
  <c r="P19" i="29"/>
  <c r="Q19" i="29"/>
  <c r="O13" i="29"/>
  <c r="O6" i="29"/>
  <c r="Q13" i="29"/>
  <c r="Q5" i="29"/>
  <c r="N9" i="29"/>
  <c r="AF39" i="29"/>
  <c r="P7" i="29"/>
  <c r="P9" i="29"/>
  <c r="P14" i="29"/>
  <c r="N15" i="29"/>
  <c r="Q8" i="29"/>
  <c r="P15" i="29"/>
  <c r="AP37" i="29"/>
  <c r="AO75" i="29"/>
  <c r="E43" i="29"/>
  <c r="E67" i="29"/>
  <c r="D67" i="29" s="1"/>
  <c r="E72" i="29"/>
  <c r="D72" i="29" s="1"/>
  <c r="H75" i="29"/>
  <c r="K75" i="29" s="1"/>
  <c r="R86" i="29"/>
  <c r="O91" i="29"/>
  <c r="N95" i="29"/>
  <c r="AP75" i="29"/>
  <c r="E76" i="29"/>
  <c r="D76" i="29" s="1"/>
  <c r="S86" i="29"/>
  <c r="P91" i="29"/>
  <c r="O95" i="29"/>
  <c r="K56" i="29"/>
  <c r="AQ66" i="29"/>
  <c r="AQ69" i="29"/>
  <c r="Q86" i="29"/>
  <c r="N91" i="29"/>
  <c r="AQ51" i="29"/>
  <c r="N89" i="29"/>
  <c r="R91" i="29"/>
  <c r="N94" i="29"/>
  <c r="P95" i="29"/>
  <c r="E37" i="29"/>
  <c r="D37" i="29" s="1"/>
  <c r="R136" i="28"/>
  <c r="S138" i="28"/>
  <c r="N137" i="28"/>
  <c r="AQ5" i="28"/>
  <c r="AQ6" i="28" s="1"/>
  <c r="E128" i="28"/>
  <c r="R135" i="28"/>
  <c r="N138" i="28"/>
  <c r="P138" i="28"/>
  <c r="E129" i="28"/>
  <c r="D129" i="28" s="1"/>
  <c r="N136" i="28"/>
  <c r="Q138" i="28"/>
  <c r="P106" i="28"/>
  <c r="AF14" i="28"/>
  <c r="Q104" i="28"/>
  <c r="Q106" i="28"/>
  <c r="O105" i="28"/>
  <c r="P15" i="28"/>
  <c r="O6" i="28"/>
  <c r="Q9" i="28"/>
  <c r="N12" i="28"/>
  <c r="P14" i="28"/>
  <c r="AF36" i="28"/>
  <c r="O12" i="28"/>
  <c r="N6" i="28"/>
  <c r="E43" i="28"/>
  <c r="D43" i="28" s="1"/>
  <c r="AP36" i="28"/>
  <c r="AP66" i="28"/>
  <c r="E53" i="28"/>
  <c r="D53" i="28" s="1"/>
  <c r="H72" i="28"/>
  <c r="N89" i="28"/>
  <c r="P81" i="28"/>
  <c r="Q83" i="28"/>
  <c r="R92" i="28"/>
  <c r="O94" i="28"/>
  <c r="O86" i="28"/>
  <c r="H62" i="28"/>
  <c r="L62" i="28" s="1"/>
  <c r="R81" i="28"/>
  <c r="R83" i="28"/>
  <c r="Q94" i="28"/>
  <c r="N91" i="28"/>
  <c r="E70" i="28"/>
  <c r="P82" i="28"/>
  <c r="Q86" i="28"/>
  <c r="O89" i="28"/>
  <c r="P91" i="28"/>
  <c r="P93" i="28"/>
  <c r="E65" i="28"/>
  <c r="H65" i="28" s="1"/>
  <c r="L65" i="28" s="1"/>
  <c r="P89" i="28"/>
  <c r="Q91" i="28"/>
  <c r="R93" i="28"/>
  <c r="AQ60" i="28"/>
  <c r="AQ66" i="28"/>
  <c r="N81" i="28"/>
  <c r="N83" i="28"/>
  <c r="R89" i="28"/>
  <c r="R91" i="28"/>
  <c r="S93" i="28"/>
  <c r="R84" i="28"/>
  <c r="AQ45" i="28"/>
  <c r="AQ51" i="28"/>
  <c r="E67" i="28"/>
  <c r="H67" i="28" s="1"/>
  <c r="L67" i="28" s="1"/>
  <c r="O81" i="28"/>
  <c r="P83" i="28"/>
  <c r="S89" i="28"/>
  <c r="N12" i="29"/>
  <c r="O85" i="29"/>
  <c r="E66" i="29"/>
  <c r="S85" i="29"/>
  <c r="R85" i="29"/>
  <c r="Q85" i="29"/>
  <c r="AQ48" i="29"/>
  <c r="P85" i="29"/>
  <c r="Q7" i="29"/>
  <c r="Q14" i="29"/>
  <c r="AQ58" i="29"/>
  <c r="AQ79" i="29"/>
  <c r="N85" i="29"/>
  <c r="N6" i="29"/>
  <c r="N13" i="29"/>
  <c r="D64" i="29"/>
  <c r="N90" i="29"/>
  <c r="AQ63" i="29"/>
  <c r="Q90" i="29"/>
  <c r="P90" i="29"/>
  <c r="E71" i="29"/>
  <c r="S90" i="29"/>
  <c r="R90" i="29"/>
  <c r="O90" i="29"/>
  <c r="AF54" i="29"/>
  <c r="O11" i="29"/>
  <c r="N5" i="29"/>
  <c r="P6" i="29"/>
  <c r="N8" i="29"/>
  <c r="N11" i="29"/>
  <c r="P13" i="29"/>
  <c r="H64" i="29"/>
  <c r="K64" i="29" s="1"/>
  <c r="O5" i="29"/>
  <c r="O8" i="29"/>
  <c r="O10" i="29"/>
  <c r="AF51" i="29"/>
  <c r="P11" i="29"/>
  <c r="AQ40" i="29"/>
  <c r="Q18" i="29"/>
  <c r="P18" i="29"/>
  <c r="O18" i="29"/>
  <c r="AF75" i="29"/>
  <c r="P5" i="29"/>
  <c r="N7" i="29"/>
  <c r="P8" i="29"/>
  <c r="N10" i="29"/>
  <c r="Q11" i="29"/>
  <c r="AF69" i="29"/>
  <c r="O16" i="29"/>
  <c r="N16" i="29"/>
  <c r="Q82" i="29"/>
  <c r="P82" i="29"/>
  <c r="S82" i="29"/>
  <c r="R82" i="29"/>
  <c r="E63" i="29"/>
  <c r="O82" i="29"/>
  <c r="N82" i="29"/>
  <c r="R88" i="29"/>
  <c r="O88" i="29"/>
  <c r="N88" i="29"/>
  <c r="S88" i="29"/>
  <c r="Q88" i="29"/>
  <c r="P88" i="29"/>
  <c r="E69" i="29"/>
  <c r="Q12" i="29"/>
  <c r="P12" i="29"/>
  <c r="AF57" i="29"/>
  <c r="Q136" i="29"/>
  <c r="O136" i="29"/>
  <c r="N136" i="29"/>
  <c r="S136" i="29"/>
  <c r="P136" i="29"/>
  <c r="H62" i="29"/>
  <c r="N84" i="29"/>
  <c r="S84" i="29"/>
  <c r="R84" i="29"/>
  <c r="R136" i="29"/>
  <c r="S81" i="29"/>
  <c r="P81" i="29"/>
  <c r="O81" i="29"/>
  <c r="Q103" i="29"/>
  <c r="O103" i="29"/>
  <c r="N103" i="29"/>
  <c r="N17" i="29"/>
  <c r="AQ55" i="29"/>
  <c r="N81" i="29"/>
  <c r="Q93" i="29"/>
  <c r="O93" i="29"/>
  <c r="N93" i="29"/>
  <c r="AQ72" i="29"/>
  <c r="S93" i="29"/>
  <c r="P103" i="29"/>
  <c r="E128" i="29"/>
  <c r="O17" i="29"/>
  <c r="H67" i="29"/>
  <c r="Q81" i="29"/>
  <c r="Q84" i="29"/>
  <c r="P93" i="29"/>
  <c r="O89" i="29"/>
  <c r="R92" i="29"/>
  <c r="O106" i="29"/>
  <c r="R135" i="29"/>
  <c r="P89" i="29"/>
  <c r="S92" i="29"/>
  <c r="S135" i="29"/>
  <c r="N138" i="29"/>
  <c r="E70" i="29"/>
  <c r="N92" i="29"/>
  <c r="E127" i="29"/>
  <c r="N135" i="29"/>
  <c r="AF45" i="28"/>
  <c r="O8" i="28"/>
  <c r="O7" i="28"/>
  <c r="N7" i="28"/>
  <c r="N8" i="28"/>
  <c r="AF51" i="28"/>
  <c r="P10" i="28"/>
  <c r="N10" i="28"/>
  <c r="Q10" i="28"/>
  <c r="AF54" i="28"/>
  <c r="P11" i="28"/>
  <c r="N11" i="28"/>
  <c r="Q11" i="28"/>
  <c r="O11" i="28"/>
  <c r="AF78" i="28"/>
  <c r="N19" i="28"/>
  <c r="Q19" i="28"/>
  <c r="P7" i="28"/>
  <c r="P8" i="28"/>
  <c r="O10" i="28"/>
  <c r="O19" i="28"/>
  <c r="P5" i="28"/>
  <c r="N5" i="28"/>
  <c r="Q5" i="28"/>
  <c r="Q7" i="28"/>
  <c r="Q8" i="28"/>
  <c r="P19" i="28"/>
  <c r="M69" i="28"/>
  <c r="P17" i="28"/>
  <c r="N17" i="28"/>
  <c r="Q17" i="28"/>
  <c r="AF69" i="28"/>
  <c r="P16" i="28"/>
  <c r="N16" i="28"/>
  <c r="Q16" i="28"/>
  <c r="O16" i="28"/>
  <c r="O17" i="28"/>
  <c r="AF60" i="28"/>
  <c r="O13" i="28"/>
  <c r="AF63" i="28"/>
  <c r="O14" i="28"/>
  <c r="N14" i="28"/>
  <c r="AF66" i="28"/>
  <c r="N15" i="28"/>
  <c r="O15" i="28"/>
  <c r="AF75" i="28"/>
  <c r="Q18" i="28"/>
  <c r="P18" i="28"/>
  <c r="O18" i="28"/>
  <c r="AQ43" i="28"/>
  <c r="M63" i="28"/>
  <c r="AF48" i="28"/>
  <c r="N9" i="28"/>
  <c r="AQ12" i="28"/>
  <c r="S87" i="28"/>
  <c r="R87" i="28"/>
  <c r="AQ54" i="28"/>
  <c r="Q87" i="28"/>
  <c r="E68" i="28"/>
  <c r="P87" i="28"/>
  <c r="O87" i="28"/>
  <c r="N87" i="28"/>
  <c r="O9" i="28"/>
  <c r="AF57" i="28"/>
  <c r="P12" i="28"/>
  <c r="AQ76" i="28"/>
  <c r="L71" i="28"/>
  <c r="K71" i="28"/>
  <c r="M71" i="28"/>
  <c r="AF39" i="28"/>
  <c r="P6" i="28"/>
  <c r="S95" i="28"/>
  <c r="R95" i="28"/>
  <c r="Q95" i="28"/>
  <c r="P95" i="28"/>
  <c r="AQ78" i="28"/>
  <c r="O95" i="28"/>
  <c r="E76" i="28"/>
  <c r="N95" i="28"/>
  <c r="O82" i="28"/>
  <c r="Q84" i="28"/>
  <c r="S86" i="28"/>
  <c r="O90" i="28"/>
  <c r="Q92" i="28"/>
  <c r="S94" i="28"/>
  <c r="Q135" i="28"/>
  <c r="S137" i="28"/>
  <c r="S136" i="28"/>
  <c r="Q82" i="28"/>
  <c r="S84" i="28"/>
  <c r="O88" i="28"/>
  <c r="Q90" i="28"/>
  <c r="S92" i="28"/>
  <c r="O103" i="28"/>
  <c r="S135" i="28"/>
  <c r="AQ69" i="28"/>
  <c r="D71" i="28"/>
  <c r="D73" i="28"/>
  <c r="R82" i="28"/>
  <c r="S83" i="28"/>
  <c r="N86" i="28"/>
  <c r="P88" i="28"/>
  <c r="R90" i="28"/>
  <c r="S91" i="28"/>
  <c r="N94" i="28"/>
  <c r="N105" i="28"/>
  <c r="S82" i="28"/>
  <c r="S90" i="28"/>
  <c r="O137" i="28"/>
  <c r="AQ61" i="28"/>
  <c r="K72" i="28"/>
  <c r="H73" i="28"/>
  <c r="N84" i="28"/>
  <c r="P86" i="28"/>
  <c r="N92" i="28"/>
  <c r="P94" i="28"/>
  <c r="E127" i="28"/>
  <c r="N135" i="28"/>
  <c r="O136" i="28"/>
  <c r="P137" i="28"/>
  <c r="O84" i="28"/>
  <c r="O92" i="28"/>
  <c r="O135" i="28"/>
  <c r="Q137" i="28"/>
  <c r="M67" i="28" l="1"/>
  <c r="H66" i="28"/>
  <c r="K67" i="28"/>
  <c r="H129" i="28"/>
  <c r="D74" i="29"/>
  <c r="AP72" i="29" s="1"/>
  <c r="H65" i="29"/>
  <c r="L65" i="29" s="1"/>
  <c r="D67" i="28"/>
  <c r="K74" i="29"/>
  <c r="L74" i="29"/>
  <c r="H76" i="29"/>
  <c r="K76" i="29" s="1"/>
  <c r="AP75" i="28"/>
  <c r="AP76" i="28" s="1"/>
  <c r="H75" i="28"/>
  <c r="M75" i="28" s="1"/>
  <c r="D129" i="29"/>
  <c r="E121" i="29" s="1"/>
  <c r="K129" i="29"/>
  <c r="L129" i="29"/>
  <c r="AN75" i="29"/>
  <c r="AQ77" i="29" s="1"/>
  <c r="E16" i="30"/>
  <c r="H72" i="29"/>
  <c r="K72" i="29" s="1"/>
  <c r="D63" i="28"/>
  <c r="AP39" i="28" s="1"/>
  <c r="K69" i="28"/>
  <c r="AP37" i="28"/>
  <c r="D69" i="28"/>
  <c r="AP57" i="28" s="1"/>
  <c r="AP67" i="28"/>
  <c r="AQ67" i="28"/>
  <c r="K63" i="28"/>
  <c r="AQ73" i="28"/>
  <c r="D74" i="28"/>
  <c r="H74" i="28"/>
  <c r="AQ64" i="28"/>
  <c r="AQ58" i="28"/>
  <c r="AQ49" i="28"/>
  <c r="D65" i="28"/>
  <c r="K65" i="28"/>
  <c r="M65" i="28"/>
  <c r="H64" i="28"/>
  <c r="D64" i="28"/>
  <c r="H130" i="28"/>
  <c r="D130" i="28"/>
  <c r="Q37" i="29"/>
  <c r="N37" i="29"/>
  <c r="R37" i="29"/>
  <c r="S37" i="29"/>
  <c r="H73" i="29"/>
  <c r="D73" i="29"/>
  <c r="H68" i="29"/>
  <c r="D68" i="29"/>
  <c r="AQ46" i="29"/>
  <c r="AQ9" i="29"/>
  <c r="H130" i="29"/>
  <c r="D130" i="29"/>
  <c r="AP5" i="29"/>
  <c r="AO76" i="29"/>
  <c r="AO77" i="29" s="1"/>
  <c r="P37" i="29"/>
  <c r="O37" i="29"/>
  <c r="L75" i="29"/>
  <c r="M75" i="29"/>
  <c r="AP76" i="29"/>
  <c r="AP77" i="29" s="1"/>
  <c r="AQ70" i="29"/>
  <c r="AQ67" i="29"/>
  <c r="AP51" i="29"/>
  <c r="E48" i="29"/>
  <c r="D43" i="29"/>
  <c r="AQ52" i="29"/>
  <c r="H128" i="28"/>
  <c r="D128" i="28"/>
  <c r="AQ46" i="28"/>
  <c r="M66" i="28"/>
  <c r="L66" i="28"/>
  <c r="K66" i="28"/>
  <c r="H70" i="28"/>
  <c r="K70" i="28" s="1"/>
  <c r="D70" i="28"/>
  <c r="M72" i="28"/>
  <c r="L72" i="28"/>
  <c r="M62" i="28"/>
  <c r="K62" i="28"/>
  <c r="AP48" i="28"/>
  <c r="E47" i="28"/>
  <c r="AQ52" i="28"/>
  <c r="H70" i="29"/>
  <c r="D70" i="29"/>
  <c r="H128" i="29"/>
  <c r="D128" i="29"/>
  <c r="L62" i="29"/>
  <c r="M62" i="29"/>
  <c r="L72" i="29"/>
  <c r="E53" i="29"/>
  <c r="AP66" i="29"/>
  <c r="M65" i="29"/>
  <c r="AQ73" i="29"/>
  <c r="H71" i="29"/>
  <c r="D71" i="29"/>
  <c r="AQ49" i="29"/>
  <c r="D127" i="29"/>
  <c r="H127" i="29"/>
  <c r="K62" i="29"/>
  <c r="H69" i="29"/>
  <c r="K69" i="29" s="1"/>
  <c r="D69" i="29"/>
  <c r="D63" i="29"/>
  <c r="H63" i="29"/>
  <c r="M76" i="29"/>
  <c r="L76" i="29"/>
  <c r="E46" i="29"/>
  <c r="AP45" i="29"/>
  <c r="M67" i="29"/>
  <c r="L67" i="29"/>
  <c r="K67" i="29"/>
  <c r="E55" i="29"/>
  <c r="AN76" i="29"/>
  <c r="AN77" i="29" s="1"/>
  <c r="L64" i="29"/>
  <c r="M64" i="29"/>
  <c r="AQ64" i="29"/>
  <c r="E57" i="29"/>
  <c r="AP78" i="29"/>
  <c r="H66" i="29"/>
  <c r="D66" i="29"/>
  <c r="AP42" i="29"/>
  <c r="E45" i="29"/>
  <c r="M129" i="28"/>
  <c r="L129" i="28"/>
  <c r="H76" i="28"/>
  <c r="K76" i="28" s="1"/>
  <c r="D76" i="28"/>
  <c r="AQ55" i="28"/>
  <c r="K129" i="28"/>
  <c r="L73" i="28"/>
  <c r="M73" i="28"/>
  <c r="H127" i="28"/>
  <c r="D127" i="28"/>
  <c r="E48" i="28"/>
  <c r="AP51" i="28"/>
  <c r="AP69" i="28"/>
  <c r="E54" i="28"/>
  <c r="E46" i="28"/>
  <c r="AP45" i="28"/>
  <c r="E52" i="28"/>
  <c r="AP63" i="28"/>
  <c r="AQ79" i="28"/>
  <c r="AO36" i="28"/>
  <c r="E24" i="28"/>
  <c r="K43" i="28"/>
  <c r="J43" i="28"/>
  <c r="AQ70" i="28"/>
  <c r="K73" i="28"/>
  <c r="D56" i="28"/>
  <c r="K53" i="28"/>
  <c r="AO66" i="28"/>
  <c r="E34" i="28"/>
  <c r="H68" i="28"/>
  <c r="K68" i="28" s="1"/>
  <c r="D68" i="28"/>
  <c r="J53" i="28"/>
  <c r="E121" i="28"/>
  <c r="AP5" i="28"/>
  <c r="D93" i="27"/>
  <c r="D93" i="23"/>
  <c r="M117" i="4"/>
  <c r="M123" i="4"/>
  <c r="M122" i="4"/>
  <c r="M121" i="4"/>
  <c r="M120" i="4"/>
  <c r="M119" i="4"/>
  <c r="M107" i="4"/>
  <c r="M112" i="4"/>
  <c r="M111" i="4"/>
  <c r="M110" i="4"/>
  <c r="M109" i="4"/>
  <c r="M108" i="4"/>
  <c r="M106" i="4"/>
  <c r="K65" i="29" l="1"/>
  <c r="L75" i="28"/>
  <c r="K75" i="28"/>
  <c r="M72" i="29"/>
  <c r="E44" i="28"/>
  <c r="D44" i="28" s="1"/>
  <c r="J44" i="28" s="1"/>
  <c r="E50" i="28"/>
  <c r="D50" i="28" s="1"/>
  <c r="J50" i="28" s="1"/>
  <c r="M74" i="28"/>
  <c r="K74" i="28"/>
  <c r="L74" i="28"/>
  <c r="AP72" i="28"/>
  <c r="E55" i="28"/>
  <c r="E45" i="28"/>
  <c r="AP42" i="28"/>
  <c r="M64" i="28"/>
  <c r="L64" i="28"/>
  <c r="K64" i="28"/>
  <c r="E122" i="28"/>
  <c r="D122" i="28" s="1"/>
  <c r="AP14" i="28"/>
  <c r="M130" i="28"/>
  <c r="L130" i="28"/>
  <c r="K130" i="28"/>
  <c r="AP69" i="29"/>
  <c r="E54" i="29"/>
  <c r="D54" i="29" s="1"/>
  <c r="M73" i="29"/>
  <c r="K73" i="29"/>
  <c r="L73" i="29"/>
  <c r="AP54" i="29"/>
  <c r="E49" i="29"/>
  <c r="M68" i="29"/>
  <c r="L68" i="29"/>
  <c r="K68" i="29"/>
  <c r="D121" i="29"/>
  <c r="J121" i="29" s="1"/>
  <c r="E122" i="29"/>
  <c r="AP14" i="29"/>
  <c r="AP6" i="29"/>
  <c r="L130" i="29"/>
  <c r="M130" i="29"/>
  <c r="K130" i="29"/>
  <c r="AP52" i="29"/>
  <c r="AO36" i="29"/>
  <c r="E24" i="29"/>
  <c r="D24" i="29" s="1"/>
  <c r="R24" i="29" s="1"/>
  <c r="K43" i="29"/>
  <c r="D48" i="29"/>
  <c r="J48" i="29" s="1"/>
  <c r="J43" i="29"/>
  <c r="M128" i="28"/>
  <c r="L128" i="28"/>
  <c r="K128" i="28"/>
  <c r="E120" i="28"/>
  <c r="AP11" i="28"/>
  <c r="D47" i="28"/>
  <c r="J47" i="28"/>
  <c r="AP49" i="28"/>
  <c r="AP60" i="28"/>
  <c r="E51" i="28"/>
  <c r="M70" i="28"/>
  <c r="L70" i="28"/>
  <c r="AP63" i="29"/>
  <c r="E52" i="29"/>
  <c r="M63" i="29"/>
  <c r="L63" i="29"/>
  <c r="M127" i="29"/>
  <c r="L127" i="29"/>
  <c r="D55" i="29"/>
  <c r="J55" i="29" s="1"/>
  <c r="D46" i="29"/>
  <c r="E119" i="29"/>
  <c r="AP8" i="29"/>
  <c r="AP43" i="29"/>
  <c r="AP73" i="29"/>
  <c r="E44" i="29"/>
  <c r="AP39" i="29"/>
  <c r="AP67" i="29"/>
  <c r="M66" i="29"/>
  <c r="L66" i="29"/>
  <c r="AP60" i="29"/>
  <c r="E51" i="29"/>
  <c r="K66" i="29"/>
  <c r="AP46" i="29"/>
  <c r="M71" i="29"/>
  <c r="L71" i="29"/>
  <c r="M70" i="29"/>
  <c r="L70" i="29"/>
  <c r="D45" i="29"/>
  <c r="K63" i="29"/>
  <c r="K70" i="29"/>
  <c r="K127" i="29"/>
  <c r="AO69" i="29"/>
  <c r="K54" i="29"/>
  <c r="E35" i="29"/>
  <c r="E50" i="29"/>
  <c r="AP57" i="29"/>
  <c r="D53" i="29"/>
  <c r="J53" i="29" s="1"/>
  <c r="J54" i="29"/>
  <c r="M128" i="29"/>
  <c r="L128" i="29"/>
  <c r="D57" i="29"/>
  <c r="J57" i="29" s="1"/>
  <c r="O24" i="29"/>
  <c r="E120" i="29"/>
  <c r="AP11" i="29"/>
  <c r="E47" i="29"/>
  <c r="AP48" i="29"/>
  <c r="AP79" i="29"/>
  <c r="M69" i="29"/>
  <c r="L69" i="29"/>
  <c r="K71" i="29"/>
  <c r="K128" i="29"/>
  <c r="D46" i="28"/>
  <c r="J46" i="28" s="1"/>
  <c r="AP6" i="28"/>
  <c r="D54" i="28"/>
  <c r="D121" i="28"/>
  <c r="J121" i="28" s="1"/>
  <c r="AP70" i="28"/>
  <c r="AP40" i="28"/>
  <c r="AP52" i="28"/>
  <c r="AP58" i="28"/>
  <c r="D48" i="28"/>
  <c r="J48" i="28" s="1"/>
  <c r="E119" i="28"/>
  <c r="AP8" i="28"/>
  <c r="AO67" i="28"/>
  <c r="AP78" i="28"/>
  <c r="E57" i="28"/>
  <c r="D34" i="28"/>
  <c r="D24" i="28"/>
  <c r="AP64" i="28"/>
  <c r="L127" i="28"/>
  <c r="M127" i="28"/>
  <c r="E49" i="28"/>
  <c r="AP54" i="28"/>
  <c r="AO75" i="28"/>
  <c r="K56" i="28"/>
  <c r="E37" i="28"/>
  <c r="AO37" i="28"/>
  <c r="D52" i="28"/>
  <c r="J52" i="28" s="1"/>
  <c r="K127" i="28"/>
  <c r="L68" i="28"/>
  <c r="M68" i="28"/>
  <c r="J56" i="28"/>
  <c r="AP46" i="28"/>
  <c r="M76" i="28"/>
  <c r="L76" i="28"/>
  <c r="D138" i="27"/>
  <c r="P138" i="27" s="1"/>
  <c r="D137" i="27"/>
  <c r="Q137" i="27" s="1"/>
  <c r="D136" i="27"/>
  <c r="R136" i="27" s="1"/>
  <c r="D135" i="27"/>
  <c r="P135" i="27" s="1"/>
  <c r="D106" i="27"/>
  <c r="D105" i="27"/>
  <c r="D104" i="27"/>
  <c r="D103" i="27"/>
  <c r="D95" i="27"/>
  <c r="P95" i="27" s="1"/>
  <c r="D94" i="27"/>
  <c r="R94" i="27" s="1"/>
  <c r="AQ72" i="27"/>
  <c r="D92" i="27"/>
  <c r="R92" i="27" s="1"/>
  <c r="D91" i="27"/>
  <c r="S91" i="27" s="1"/>
  <c r="D90" i="27"/>
  <c r="Q90" i="27" s="1"/>
  <c r="D89" i="27"/>
  <c r="D88" i="27"/>
  <c r="S88" i="27" s="1"/>
  <c r="D87" i="27"/>
  <c r="P87" i="27" s="1"/>
  <c r="D86" i="27"/>
  <c r="O86" i="27" s="1"/>
  <c r="D85" i="27"/>
  <c r="R85" i="27" s="1"/>
  <c r="D84" i="27"/>
  <c r="P84" i="27" s="1"/>
  <c r="D83" i="27"/>
  <c r="E64" i="27" s="1"/>
  <c r="D82" i="27"/>
  <c r="D81" i="27"/>
  <c r="S81" i="27" s="1"/>
  <c r="AM78" i="27"/>
  <c r="AE78" i="27"/>
  <c r="AM75" i="27"/>
  <c r="AE75" i="27"/>
  <c r="AM72" i="27"/>
  <c r="AE72" i="27"/>
  <c r="AM69" i="27"/>
  <c r="AE69" i="27"/>
  <c r="AM66" i="27"/>
  <c r="AE66" i="27"/>
  <c r="AM63" i="27"/>
  <c r="AE63" i="27"/>
  <c r="AM60" i="27"/>
  <c r="AE60" i="27"/>
  <c r="AM57" i="27"/>
  <c r="AE57" i="27"/>
  <c r="AM54" i="27"/>
  <c r="AE54" i="27"/>
  <c r="AM51" i="27"/>
  <c r="AE51" i="27"/>
  <c r="AM48" i="27"/>
  <c r="AE48" i="27"/>
  <c r="AM45" i="27"/>
  <c r="AE45" i="27"/>
  <c r="AM42" i="27"/>
  <c r="AE42" i="27"/>
  <c r="AM39" i="27"/>
  <c r="AE39" i="27"/>
  <c r="AM36" i="27"/>
  <c r="AE36" i="27"/>
  <c r="D19" i="27"/>
  <c r="D18" i="27"/>
  <c r="Q18" i="27" s="1"/>
  <c r="D17" i="27"/>
  <c r="D16" i="27"/>
  <c r="AF69" i="27" s="1"/>
  <c r="D15" i="27"/>
  <c r="P15" i="27" s="1"/>
  <c r="AQ14" i="27"/>
  <c r="D14" i="27"/>
  <c r="E43" i="18" s="1"/>
  <c r="D13" i="27"/>
  <c r="D12" i="27"/>
  <c r="E41" i="18" s="1"/>
  <c r="AF11" i="27"/>
  <c r="D11" i="27"/>
  <c r="D10" i="27"/>
  <c r="E39" i="18" s="1"/>
  <c r="D9" i="27"/>
  <c r="P9" i="27" s="1"/>
  <c r="D8" i="27"/>
  <c r="E37" i="18" s="1"/>
  <c r="D7" i="27"/>
  <c r="Q7" i="27" s="1"/>
  <c r="D6" i="27"/>
  <c r="E35" i="18" s="1"/>
  <c r="AQ5" i="27"/>
  <c r="D5" i="27"/>
  <c r="Q5" i="27" s="1"/>
  <c r="P24" i="29" l="1"/>
  <c r="N24" i="29"/>
  <c r="E3" i="30"/>
  <c r="N24" i="28"/>
  <c r="D3" i="30"/>
  <c r="N34" i="28"/>
  <c r="D13" i="30"/>
  <c r="D55" i="28"/>
  <c r="AP73" i="28"/>
  <c r="AP43" i="28"/>
  <c r="D45" i="28"/>
  <c r="J45" i="28" s="1"/>
  <c r="AP15" i="28"/>
  <c r="J122" i="28"/>
  <c r="E114" i="28"/>
  <c r="D114" i="28" s="1"/>
  <c r="K122" i="28"/>
  <c r="AO14" i="28"/>
  <c r="AP70" i="29"/>
  <c r="D49" i="29"/>
  <c r="J49" i="29" s="1"/>
  <c r="AP55" i="29"/>
  <c r="Q24" i="29"/>
  <c r="AN36" i="29"/>
  <c r="AN37" i="29" s="1"/>
  <c r="AN38" i="29" s="1"/>
  <c r="S24" i="29"/>
  <c r="AP15" i="29"/>
  <c r="D122" i="29"/>
  <c r="J122" i="29" s="1"/>
  <c r="AO5" i="29"/>
  <c r="K121" i="29"/>
  <c r="E113" i="29"/>
  <c r="AO37" i="29"/>
  <c r="K48" i="29"/>
  <c r="AO51" i="29"/>
  <c r="E29" i="29"/>
  <c r="AP12" i="28"/>
  <c r="D120" i="28"/>
  <c r="J120" i="28" s="1"/>
  <c r="AP61" i="28"/>
  <c r="E28" i="28"/>
  <c r="K47" i="28"/>
  <c r="AO48" i="28"/>
  <c r="D51" i="28"/>
  <c r="J51" i="28" s="1"/>
  <c r="AP49" i="29"/>
  <c r="AO42" i="29"/>
  <c r="E26" i="29"/>
  <c r="K45" i="29"/>
  <c r="D51" i="29"/>
  <c r="J51" i="29" s="1"/>
  <c r="AP64" i="29"/>
  <c r="D47" i="29"/>
  <c r="J47" i="29" s="1"/>
  <c r="AP58" i="29"/>
  <c r="AP61" i="29"/>
  <c r="AP12" i="29"/>
  <c r="D50" i="29"/>
  <c r="J50" i="29" s="1"/>
  <c r="AQ38" i="29"/>
  <c r="AO78" i="29"/>
  <c r="E38" i="29"/>
  <c r="K57" i="29"/>
  <c r="AP9" i="29"/>
  <c r="D120" i="29"/>
  <c r="J120" i="29" s="1"/>
  <c r="D35" i="29"/>
  <c r="E14" i="30" s="1"/>
  <c r="AO70" i="29"/>
  <c r="D119" i="29"/>
  <c r="J119" i="29" s="1"/>
  <c r="K55" i="29"/>
  <c r="E36" i="29"/>
  <c r="AO72" i="29"/>
  <c r="AP40" i="29"/>
  <c r="AO45" i="29"/>
  <c r="K46" i="29"/>
  <c r="E27" i="29"/>
  <c r="AO66" i="29"/>
  <c r="K53" i="29"/>
  <c r="E34" i="29"/>
  <c r="J45" i="29"/>
  <c r="D44" i="29"/>
  <c r="J46" i="29"/>
  <c r="D52" i="29"/>
  <c r="D37" i="28"/>
  <c r="K54" i="28"/>
  <c r="AO69" i="28"/>
  <c r="E35" i="28"/>
  <c r="D57" i="28"/>
  <c r="AO76" i="28"/>
  <c r="AP79" i="28"/>
  <c r="AP9" i="28"/>
  <c r="P24" i="28"/>
  <c r="Q24" i="28"/>
  <c r="O24" i="28"/>
  <c r="S24" i="28"/>
  <c r="R24" i="28"/>
  <c r="AN36" i="28"/>
  <c r="D119" i="28"/>
  <c r="AP55" i="28"/>
  <c r="AO51" i="28"/>
  <c r="K48" i="28"/>
  <c r="E29" i="28"/>
  <c r="K44" i="28"/>
  <c r="AO39" i="28"/>
  <c r="E25" i="28"/>
  <c r="D49" i="28"/>
  <c r="J49" i="28" s="1"/>
  <c r="AO38" i="28"/>
  <c r="AO63" i="28"/>
  <c r="K52" i="28"/>
  <c r="E33" i="28"/>
  <c r="O114" i="28"/>
  <c r="S114" i="28"/>
  <c r="R114" i="28"/>
  <c r="P114" i="28"/>
  <c r="Q114" i="28"/>
  <c r="AN14" i="28"/>
  <c r="K121" i="28"/>
  <c r="E113" i="28"/>
  <c r="AO5" i="28"/>
  <c r="P34" i="28"/>
  <c r="Q34" i="28"/>
  <c r="AN66" i="28"/>
  <c r="AO68" i="28" s="1"/>
  <c r="S34" i="28"/>
  <c r="R34" i="28"/>
  <c r="O34" i="28"/>
  <c r="AO57" i="28"/>
  <c r="K50" i="28"/>
  <c r="E31" i="28"/>
  <c r="J54" i="28"/>
  <c r="K46" i="28"/>
  <c r="AO45" i="28"/>
  <c r="E27" i="28"/>
  <c r="O9" i="27"/>
  <c r="N5" i="27"/>
  <c r="P6" i="27"/>
  <c r="Q11" i="27"/>
  <c r="E40" i="18"/>
  <c r="O15" i="27"/>
  <c r="O7" i="27"/>
  <c r="E36" i="18"/>
  <c r="AF78" i="27"/>
  <c r="E48" i="18"/>
  <c r="O5" i="27"/>
  <c r="E34" i="18"/>
  <c r="O16" i="27"/>
  <c r="E45" i="18"/>
  <c r="Q17" i="27"/>
  <c r="E46" i="18"/>
  <c r="AF66" i="27"/>
  <c r="E44" i="18"/>
  <c r="O13" i="27"/>
  <c r="E42" i="18"/>
  <c r="P5" i="27"/>
  <c r="AF48" i="27"/>
  <c r="E38" i="18"/>
  <c r="Q13" i="27"/>
  <c r="AF75" i="27"/>
  <c r="E47" i="18"/>
  <c r="N18" i="27"/>
  <c r="O103" i="27"/>
  <c r="E52" i="18"/>
  <c r="Q104" i="27"/>
  <c r="E53" i="18"/>
  <c r="O105" i="27"/>
  <c r="E54" i="18"/>
  <c r="O106" i="27"/>
  <c r="E55" i="18"/>
  <c r="S135" i="27"/>
  <c r="AQ8" i="27"/>
  <c r="AQ9" i="27" s="1"/>
  <c r="Q138" i="27"/>
  <c r="S138" i="27"/>
  <c r="AQ11" i="27"/>
  <c r="AQ12" i="27" s="1"/>
  <c r="P136" i="27"/>
  <c r="E130" i="27"/>
  <c r="D130" i="27" s="1"/>
  <c r="E122" i="27" s="1"/>
  <c r="D122" i="27" s="1"/>
  <c r="E129" i="27"/>
  <c r="D129" i="27" s="1"/>
  <c r="E121" i="27" s="1"/>
  <c r="D121" i="27" s="1"/>
  <c r="N135" i="27"/>
  <c r="R137" i="27"/>
  <c r="O135" i="27"/>
  <c r="S137" i="27"/>
  <c r="E128" i="27"/>
  <c r="D128" i="27" s="1"/>
  <c r="E120" i="27" s="1"/>
  <c r="D120" i="27" s="1"/>
  <c r="Q135" i="27"/>
  <c r="R135" i="27"/>
  <c r="O138" i="27"/>
  <c r="E127" i="27"/>
  <c r="D127" i="27" s="1"/>
  <c r="AP8" i="27" s="1"/>
  <c r="Q84" i="27"/>
  <c r="AQ45" i="27"/>
  <c r="AQ46" i="27" s="1"/>
  <c r="E74" i="27"/>
  <c r="H74" i="27" s="1"/>
  <c r="M74" i="27" s="1"/>
  <c r="E72" i="27"/>
  <c r="H72" i="27" s="1"/>
  <c r="K72" i="27" s="1"/>
  <c r="AQ63" i="27"/>
  <c r="AQ64" i="27" s="1"/>
  <c r="AQ51" i="27"/>
  <c r="AQ52" i="27" s="1"/>
  <c r="O84" i="27"/>
  <c r="E65" i="27"/>
  <c r="D65" i="27" s="1"/>
  <c r="S87" i="27"/>
  <c r="P93" i="27"/>
  <c r="E68" i="27"/>
  <c r="H68" i="27" s="1"/>
  <c r="K68" i="27" s="1"/>
  <c r="E62" i="27"/>
  <c r="H62" i="27" s="1"/>
  <c r="M62" i="27" s="1"/>
  <c r="Q95" i="27"/>
  <c r="O91" i="27"/>
  <c r="AQ57" i="27"/>
  <c r="N81" i="27"/>
  <c r="P88" i="27"/>
  <c r="Q86" i="27"/>
  <c r="P94" i="27"/>
  <c r="S86" i="27"/>
  <c r="O95" i="27"/>
  <c r="AQ36" i="27"/>
  <c r="AQ37" i="27" s="1"/>
  <c r="S84" i="27"/>
  <c r="O88" i="27"/>
  <c r="N19" i="27"/>
  <c r="P17" i="27"/>
  <c r="O19" i="27"/>
  <c r="N17" i="27"/>
  <c r="N9" i="27"/>
  <c r="N15" i="27"/>
  <c r="P19" i="27"/>
  <c r="P11" i="27"/>
  <c r="Q19" i="27"/>
  <c r="Q9" i="27"/>
  <c r="Q15" i="27"/>
  <c r="P18" i="27"/>
  <c r="AF36" i="27"/>
  <c r="E66" i="27"/>
  <c r="P81" i="27"/>
  <c r="R84" i="27"/>
  <c r="R86" i="27"/>
  <c r="P91" i="27"/>
  <c r="O93" i="27"/>
  <c r="N95" i="27"/>
  <c r="R93" i="27"/>
  <c r="P85" i="27"/>
  <c r="N87" i="27"/>
  <c r="O92" i="27"/>
  <c r="R95" i="27"/>
  <c r="N92" i="27"/>
  <c r="E67" i="27"/>
  <c r="D67" i="27" s="1"/>
  <c r="AQ78" i="27"/>
  <c r="N84" i="27"/>
  <c r="Q85" i="27"/>
  <c r="O87" i="27"/>
  <c r="P92" i="27"/>
  <c r="N94" i="27"/>
  <c r="S95" i="27"/>
  <c r="AQ54" i="27"/>
  <c r="AQ69" i="27"/>
  <c r="Q87" i="27"/>
  <c r="Q92" i="27"/>
  <c r="E73" i="27"/>
  <c r="E76" i="27"/>
  <c r="N86" i="27"/>
  <c r="R87" i="27"/>
  <c r="S92" i="27"/>
  <c r="S94" i="27"/>
  <c r="P104" i="27"/>
  <c r="P105" i="27"/>
  <c r="AF5" i="27"/>
  <c r="O104" i="27"/>
  <c r="AF8" i="27"/>
  <c r="P106" i="27"/>
  <c r="Q106" i="27"/>
  <c r="AF14" i="27"/>
  <c r="N105" i="27"/>
  <c r="AQ6" i="27"/>
  <c r="O136" i="27"/>
  <c r="N138" i="27"/>
  <c r="P137" i="27"/>
  <c r="R138" i="27"/>
  <c r="AF63" i="27"/>
  <c r="P14" i="27"/>
  <c r="N14" i="27"/>
  <c r="Q14" i="27"/>
  <c r="O14" i="27"/>
  <c r="AF51" i="27"/>
  <c r="O10" i="27"/>
  <c r="Q10" i="27"/>
  <c r="P10" i="27"/>
  <c r="N10" i="27"/>
  <c r="AF45" i="27"/>
  <c r="P8" i="27"/>
  <c r="N8" i="27"/>
  <c r="AF57" i="27"/>
  <c r="Q12" i="27"/>
  <c r="N12" i="27"/>
  <c r="O8" i="27"/>
  <c r="O12" i="27"/>
  <c r="AF60" i="27"/>
  <c r="P13" i="27"/>
  <c r="N13" i="27"/>
  <c r="P16" i="27"/>
  <c r="AF72" i="27"/>
  <c r="O17" i="27"/>
  <c r="N16" i="27"/>
  <c r="Q8" i="27"/>
  <c r="P12" i="27"/>
  <c r="Q16" i="27"/>
  <c r="S82" i="27"/>
  <c r="P82" i="27"/>
  <c r="Q82" i="27"/>
  <c r="O82" i="27"/>
  <c r="N82" i="27"/>
  <c r="AQ39" i="27"/>
  <c r="E63" i="27"/>
  <c r="R82" i="27"/>
  <c r="AQ15" i="27"/>
  <c r="R89" i="27"/>
  <c r="AQ60" i="27"/>
  <c r="O89" i="27"/>
  <c r="Q89" i="27"/>
  <c r="P89" i="27"/>
  <c r="N89" i="27"/>
  <c r="E70" i="27"/>
  <c r="S89" i="27"/>
  <c r="Q6" i="27"/>
  <c r="N6" i="27"/>
  <c r="O11" i="27"/>
  <c r="AF54" i="27"/>
  <c r="AF39" i="27"/>
  <c r="O6" i="27"/>
  <c r="P7" i="27"/>
  <c r="AF42" i="27"/>
  <c r="N7" i="27"/>
  <c r="N11" i="27"/>
  <c r="H64" i="27"/>
  <c r="K64" i="27" s="1"/>
  <c r="D64" i="27"/>
  <c r="Q83" i="27"/>
  <c r="S83" i="27"/>
  <c r="R83" i="27"/>
  <c r="O83" i="27"/>
  <c r="N83" i="27"/>
  <c r="AQ42" i="27"/>
  <c r="O18" i="27"/>
  <c r="P83" i="27"/>
  <c r="AQ73" i="27"/>
  <c r="S90" i="27"/>
  <c r="E71" i="27"/>
  <c r="P90" i="27"/>
  <c r="R90" i="27"/>
  <c r="O90" i="27"/>
  <c r="N90" i="27"/>
  <c r="E75" i="27"/>
  <c r="Q81" i="27"/>
  <c r="R88" i="27"/>
  <c r="R91" i="27"/>
  <c r="N93" i="27"/>
  <c r="S93" i="27"/>
  <c r="Q94" i="27"/>
  <c r="Q136" i="27"/>
  <c r="Q103" i="27"/>
  <c r="N103" i="27"/>
  <c r="O137" i="27"/>
  <c r="P86" i="27"/>
  <c r="Q93" i="27"/>
  <c r="P103" i="27"/>
  <c r="Q105" i="27"/>
  <c r="N137" i="27"/>
  <c r="N85" i="27"/>
  <c r="AQ48" i="27"/>
  <c r="S85" i="27"/>
  <c r="AQ66" i="27"/>
  <c r="Q91" i="27"/>
  <c r="R81" i="27"/>
  <c r="O81" i="27"/>
  <c r="O85" i="27"/>
  <c r="Q88" i="27"/>
  <c r="E69" i="27"/>
  <c r="N88" i="27"/>
  <c r="N91" i="27"/>
  <c r="O94" i="27"/>
  <c r="AQ75" i="27"/>
  <c r="N104" i="27"/>
  <c r="N106" i="27"/>
  <c r="N136" i="27"/>
  <c r="S136" i="27"/>
  <c r="AE48" i="23"/>
  <c r="D68" i="27" l="1"/>
  <c r="AP54" i="27" s="1"/>
  <c r="AP38" i="29"/>
  <c r="AO38" i="29"/>
  <c r="N114" i="28"/>
  <c r="D24" i="30"/>
  <c r="N37" i="28"/>
  <c r="D16" i="30"/>
  <c r="D72" i="27"/>
  <c r="E53" i="27" s="1"/>
  <c r="D62" i="27"/>
  <c r="AP36" i="27" s="1"/>
  <c r="AP37" i="27" s="1"/>
  <c r="AP9" i="27"/>
  <c r="H127" i="27"/>
  <c r="M127" i="27" s="1"/>
  <c r="E36" i="28"/>
  <c r="D36" i="28" s="1"/>
  <c r="O36" i="28" s="1"/>
  <c r="K55" i="28"/>
  <c r="AO72" i="28"/>
  <c r="J55" i="28"/>
  <c r="AO42" i="28"/>
  <c r="K45" i="28"/>
  <c r="E26" i="28"/>
  <c r="D26" i="28" s="1"/>
  <c r="D5" i="30" s="1"/>
  <c r="AO15" i="28"/>
  <c r="AO16" i="28"/>
  <c r="E30" i="29"/>
  <c r="D30" i="29" s="1"/>
  <c r="E9" i="30" s="1"/>
  <c r="AO54" i="29"/>
  <c r="K49" i="29"/>
  <c r="D113" i="29"/>
  <c r="E23" i="30" s="1"/>
  <c r="AO6" i="29"/>
  <c r="E114" i="29"/>
  <c r="AO14" i="29"/>
  <c r="K122" i="29"/>
  <c r="D29" i="29"/>
  <c r="AO52" i="29"/>
  <c r="E112" i="28"/>
  <c r="K120" i="28"/>
  <c r="AO11" i="28"/>
  <c r="D28" i="28"/>
  <c r="D7" i="30" s="1"/>
  <c r="N28" i="28"/>
  <c r="AN72" i="28"/>
  <c r="P36" i="28"/>
  <c r="Q36" i="28"/>
  <c r="S36" i="28"/>
  <c r="AO49" i="28"/>
  <c r="AO60" i="28"/>
  <c r="E32" i="28"/>
  <c r="K51" i="28"/>
  <c r="O35" i="29"/>
  <c r="AN69" i="29"/>
  <c r="AO71" i="29" s="1"/>
  <c r="P35" i="29"/>
  <c r="S35" i="29"/>
  <c r="Q35" i="29"/>
  <c r="R35" i="29"/>
  <c r="AO79" i="29"/>
  <c r="D34" i="29"/>
  <c r="E13" i="30" s="1"/>
  <c r="D36" i="29"/>
  <c r="N35" i="29"/>
  <c r="AO73" i="29"/>
  <c r="E112" i="29"/>
  <c r="AO11" i="29"/>
  <c r="K120" i="29"/>
  <c r="AO60" i="29"/>
  <c r="E32" i="29"/>
  <c r="K51" i="29"/>
  <c r="K52" i="29"/>
  <c r="AO63" i="29"/>
  <c r="E33" i="29"/>
  <c r="AO67" i="29"/>
  <c r="J52" i="29"/>
  <c r="K119" i="29"/>
  <c r="E111" i="29"/>
  <c r="AO8" i="29"/>
  <c r="D26" i="29"/>
  <c r="E25" i="29"/>
  <c r="AO39" i="29"/>
  <c r="K44" i="29"/>
  <c r="AO43" i="29"/>
  <c r="D27" i="29"/>
  <c r="E6" i="30" s="1"/>
  <c r="J44" i="29"/>
  <c r="AO46" i="29"/>
  <c r="D38" i="29"/>
  <c r="AO57" i="29"/>
  <c r="K50" i="29"/>
  <c r="E31" i="29"/>
  <c r="E28" i="29"/>
  <c r="K47" i="29"/>
  <c r="AO48" i="29"/>
  <c r="D33" i="28"/>
  <c r="AO52" i="28"/>
  <c r="D27" i="28"/>
  <c r="D6" i="30" s="1"/>
  <c r="AN67" i="28"/>
  <c r="AN68" i="28" s="1"/>
  <c r="AP68" i="28"/>
  <c r="AQ68" i="28"/>
  <c r="AN75" i="28"/>
  <c r="S37" i="28"/>
  <c r="P37" i="28"/>
  <c r="R37" i="28"/>
  <c r="Q37" i="28"/>
  <c r="O37" i="28"/>
  <c r="AO46" i="28"/>
  <c r="AN15" i="28"/>
  <c r="AN16" i="28" s="1"/>
  <c r="AP16" i="28"/>
  <c r="AQ16" i="28"/>
  <c r="AO64" i="28"/>
  <c r="D25" i="28"/>
  <c r="K57" i="28"/>
  <c r="AO78" i="28"/>
  <c r="E38" i="28"/>
  <c r="AO58" i="28"/>
  <c r="D113" i="28"/>
  <c r="AO40" i="28"/>
  <c r="K119" i="28"/>
  <c r="E111" i="28"/>
  <c r="AO8" i="28"/>
  <c r="J119" i="28"/>
  <c r="J57" i="28"/>
  <c r="D31" i="28"/>
  <c r="D10" i="30" s="1"/>
  <c r="AQ38" i="28"/>
  <c r="AN37" i="28"/>
  <c r="AN38" i="28" s="1"/>
  <c r="AP38" i="28"/>
  <c r="D35" i="28"/>
  <c r="D14" i="30" s="1"/>
  <c r="AO6" i="28"/>
  <c r="D29" i="28"/>
  <c r="D8" i="30" s="1"/>
  <c r="AO70" i="28"/>
  <c r="AO54" i="28"/>
  <c r="E30" i="28"/>
  <c r="K49" i="28"/>
  <c r="K62" i="27"/>
  <c r="H130" i="27"/>
  <c r="K130" i="27" s="1"/>
  <c r="E119" i="27"/>
  <c r="D119" i="27" s="1"/>
  <c r="K119" i="27" s="1"/>
  <c r="AP14" i="27"/>
  <c r="AP15" i="27" s="1"/>
  <c r="H65" i="27"/>
  <c r="K65" i="27" s="1"/>
  <c r="K74" i="27"/>
  <c r="L74" i="27"/>
  <c r="D74" i="27"/>
  <c r="E55" i="27" s="1"/>
  <c r="AQ70" i="27"/>
  <c r="L62" i="27"/>
  <c r="AQ58" i="27"/>
  <c r="H76" i="27"/>
  <c r="K76" i="27" s="1"/>
  <c r="D76" i="27"/>
  <c r="AP78" i="27" s="1"/>
  <c r="D73" i="27"/>
  <c r="H73" i="27"/>
  <c r="K73" i="27" s="1"/>
  <c r="AQ79" i="27"/>
  <c r="AQ55" i="27"/>
  <c r="H67" i="27"/>
  <c r="D66" i="27"/>
  <c r="H66" i="27"/>
  <c r="L127" i="27"/>
  <c r="K122" i="27"/>
  <c r="AO14" i="27"/>
  <c r="E114" i="27"/>
  <c r="D114" i="27" s="1"/>
  <c r="J122" i="27"/>
  <c r="D70" i="27"/>
  <c r="H70" i="27"/>
  <c r="K70" i="27" s="1"/>
  <c r="M68" i="27"/>
  <c r="L68" i="27"/>
  <c r="H128" i="27"/>
  <c r="H71" i="27"/>
  <c r="K71" i="27" s="1"/>
  <c r="D71" i="27"/>
  <c r="H129" i="27"/>
  <c r="E49" i="27"/>
  <c r="D63" i="27"/>
  <c r="H63" i="27"/>
  <c r="L72" i="27"/>
  <c r="M72" i="27"/>
  <c r="AQ43" i="27"/>
  <c r="AQ76" i="27"/>
  <c r="AQ67" i="27"/>
  <c r="H69" i="27"/>
  <c r="D69" i="27"/>
  <c r="AQ49" i="27"/>
  <c r="D75" i="27"/>
  <c r="H75" i="27"/>
  <c r="K75" i="27" s="1"/>
  <c r="E45" i="27"/>
  <c r="AP42" i="27"/>
  <c r="AQ61" i="27"/>
  <c r="AQ40" i="27"/>
  <c r="AP51" i="27"/>
  <c r="E48" i="27"/>
  <c r="L64" i="27"/>
  <c r="M64" i="27"/>
  <c r="E46" i="27"/>
  <c r="AP45" i="27"/>
  <c r="AM78" i="23"/>
  <c r="AE78" i="23"/>
  <c r="AM75" i="23"/>
  <c r="AE75" i="23"/>
  <c r="AM72" i="23"/>
  <c r="AE72" i="23"/>
  <c r="AM69" i="23"/>
  <c r="AE69" i="23"/>
  <c r="AM66" i="23"/>
  <c r="AE66" i="23"/>
  <c r="AM63" i="23"/>
  <c r="AE63" i="23"/>
  <c r="AM60" i="23"/>
  <c r="AE60" i="23"/>
  <c r="AM57" i="23"/>
  <c r="AE57" i="23"/>
  <c r="AM54" i="23"/>
  <c r="AE54" i="23"/>
  <c r="AM51" i="23"/>
  <c r="AE51" i="23"/>
  <c r="AM48" i="23"/>
  <c r="AM45" i="23"/>
  <c r="AE45" i="23"/>
  <c r="AM42" i="23"/>
  <c r="AE42" i="23"/>
  <c r="AM39" i="23"/>
  <c r="AE39" i="23"/>
  <c r="AM36" i="23"/>
  <c r="AE36" i="23"/>
  <c r="AM78" i="16"/>
  <c r="AE78" i="16"/>
  <c r="AM75" i="16"/>
  <c r="AE75" i="16"/>
  <c r="AM72" i="16"/>
  <c r="AE72" i="16"/>
  <c r="AM69" i="16"/>
  <c r="AE69" i="16"/>
  <c r="AM66" i="16"/>
  <c r="AE66" i="16"/>
  <c r="AM63" i="16"/>
  <c r="AE63" i="16"/>
  <c r="AM60" i="16"/>
  <c r="AE60" i="16"/>
  <c r="AM57" i="16"/>
  <c r="AE57" i="16"/>
  <c r="AM54" i="16"/>
  <c r="AE54" i="16"/>
  <c r="AM51" i="16"/>
  <c r="AE51" i="16"/>
  <c r="AM48" i="16"/>
  <c r="AE48" i="16"/>
  <c r="AM45" i="16"/>
  <c r="AE45" i="16"/>
  <c r="AM42" i="16"/>
  <c r="AE42" i="16"/>
  <c r="AM39" i="16"/>
  <c r="AE39" i="16"/>
  <c r="AM36" i="16"/>
  <c r="AE36" i="16"/>
  <c r="AP66" i="27" l="1"/>
  <c r="E43" i="27"/>
  <c r="D43" i="27" s="1"/>
  <c r="J43" i="27" s="1"/>
  <c r="R36" i="28"/>
  <c r="N113" i="29"/>
  <c r="N26" i="29"/>
  <c r="E5" i="30"/>
  <c r="N38" i="29"/>
  <c r="E17" i="30"/>
  <c r="N36" i="29"/>
  <c r="E15" i="30"/>
  <c r="N29" i="29"/>
  <c r="E8" i="30"/>
  <c r="N113" i="28"/>
  <c r="D23" i="30"/>
  <c r="N25" i="28"/>
  <c r="D4" i="30"/>
  <c r="N36" i="28"/>
  <c r="D15" i="30"/>
  <c r="N33" i="28"/>
  <c r="D12" i="30"/>
  <c r="K127" i="27"/>
  <c r="AO73" i="28"/>
  <c r="AO74" i="28" s="1"/>
  <c r="N26" i="28"/>
  <c r="Q26" i="28"/>
  <c r="P26" i="28"/>
  <c r="S26" i="28"/>
  <c r="R26" i="28"/>
  <c r="O26" i="28"/>
  <c r="AN42" i="28"/>
  <c r="AO43" i="28"/>
  <c r="AO55" i="29"/>
  <c r="N30" i="29"/>
  <c r="Q30" i="29"/>
  <c r="R30" i="29"/>
  <c r="O30" i="29"/>
  <c r="AN54" i="29"/>
  <c r="S30" i="29"/>
  <c r="P30" i="29"/>
  <c r="AO15" i="29"/>
  <c r="D114" i="29"/>
  <c r="O113" i="29"/>
  <c r="R113" i="29"/>
  <c r="Q113" i="29"/>
  <c r="S113" i="29"/>
  <c r="AN5" i="29"/>
  <c r="P113" i="29"/>
  <c r="AN51" i="29"/>
  <c r="Q29" i="29"/>
  <c r="O29" i="29"/>
  <c r="P29" i="29"/>
  <c r="S29" i="29"/>
  <c r="R29" i="29"/>
  <c r="AO12" i="28"/>
  <c r="D112" i="28"/>
  <c r="AO61" i="28"/>
  <c r="AQ74" i="28"/>
  <c r="AP74" i="28"/>
  <c r="AN73" i="28"/>
  <c r="AN74" i="28" s="1"/>
  <c r="D32" i="28"/>
  <c r="D11" i="30" s="1"/>
  <c r="P28" i="28"/>
  <c r="O28" i="28"/>
  <c r="AN48" i="28"/>
  <c r="Q28" i="28"/>
  <c r="S28" i="28"/>
  <c r="R28" i="28"/>
  <c r="D25" i="29"/>
  <c r="AO49" i="29"/>
  <c r="O27" i="29"/>
  <c r="AN45" i="29"/>
  <c r="AO47" i="29" s="1"/>
  <c r="Q27" i="29"/>
  <c r="P27" i="29"/>
  <c r="R27" i="29"/>
  <c r="S27" i="29"/>
  <c r="D32" i="29"/>
  <c r="N27" i="29"/>
  <c r="AO40" i="29"/>
  <c r="AO61" i="29"/>
  <c r="D28" i="29"/>
  <c r="O26" i="29"/>
  <c r="AN42" i="29"/>
  <c r="S26" i="29"/>
  <c r="R26" i="29"/>
  <c r="Q26" i="29"/>
  <c r="P26" i="29"/>
  <c r="D31" i="29"/>
  <c r="D33" i="29"/>
  <c r="AO12" i="29"/>
  <c r="AN66" i="29"/>
  <c r="AO68" i="29" s="1"/>
  <c r="O34" i="29"/>
  <c r="S34" i="29"/>
  <c r="R34" i="29"/>
  <c r="Q34" i="29"/>
  <c r="P34" i="29"/>
  <c r="O36" i="29"/>
  <c r="S36" i="29"/>
  <c r="P36" i="29"/>
  <c r="R36" i="29"/>
  <c r="AN72" i="29"/>
  <c r="AO74" i="29" s="1"/>
  <c r="Q36" i="29"/>
  <c r="AO64" i="29"/>
  <c r="D112" i="29"/>
  <c r="E22" i="30" s="1"/>
  <c r="N34" i="29"/>
  <c r="AN70" i="29"/>
  <c r="AN71" i="29" s="1"/>
  <c r="AQ71" i="29"/>
  <c r="AP71" i="29"/>
  <c r="AO58" i="29"/>
  <c r="AO9" i="29"/>
  <c r="AN78" i="29"/>
  <c r="AO80" i="29" s="1"/>
  <c r="S38" i="29"/>
  <c r="R38" i="29"/>
  <c r="Q38" i="29"/>
  <c r="P38" i="29"/>
  <c r="O38" i="29"/>
  <c r="D111" i="29"/>
  <c r="AN57" i="28"/>
  <c r="AO59" i="28" s="1"/>
  <c r="P31" i="28"/>
  <c r="S31" i="28"/>
  <c r="O31" i="28"/>
  <c r="R31" i="28"/>
  <c r="Q31" i="28"/>
  <c r="P29" i="28"/>
  <c r="S29" i="28"/>
  <c r="R29" i="28"/>
  <c r="AN51" i="28"/>
  <c r="AO53" i="28" s="1"/>
  <c r="Q29" i="28"/>
  <c r="O29" i="28"/>
  <c r="N31" i="28"/>
  <c r="AO9" i="28"/>
  <c r="N29" i="28"/>
  <c r="D111" i="28"/>
  <c r="D38" i="28"/>
  <c r="AO79" i="28"/>
  <c r="P27" i="28"/>
  <c r="S27" i="28"/>
  <c r="AN45" i="28"/>
  <c r="AO47" i="28" s="1"/>
  <c r="R27" i="28"/>
  <c r="Q27" i="28"/>
  <c r="O27" i="28"/>
  <c r="AR16" i="28"/>
  <c r="N27" i="28"/>
  <c r="AO55" i="28"/>
  <c r="AN69" i="28"/>
  <c r="AO71" i="28" s="1"/>
  <c r="P35" i="28"/>
  <c r="S35" i="28"/>
  <c r="Q35" i="28"/>
  <c r="O35" i="28"/>
  <c r="R35" i="28"/>
  <c r="AN76" i="28"/>
  <c r="AN77" i="28" s="1"/>
  <c r="AQ77" i="28"/>
  <c r="AP77" i="28"/>
  <c r="D30" i="28"/>
  <c r="N35" i="28"/>
  <c r="O113" i="28"/>
  <c r="S113" i="28"/>
  <c r="R113" i="28"/>
  <c r="P113" i="28"/>
  <c r="Q113" i="28"/>
  <c r="AN5" i="28"/>
  <c r="P25" i="28"/>
  <c r="S25" i="28"/>
  <c r="R25" i="28"/>
  <c r="AN39" i="28"/>
  <c r="AO41" i="28" s="1"/>
  <c r="Q25" i="28"/>
  <c r="O25" i="28"/>
  <c r="AO77" i="28"/>
  <c r="AN63" i="28"/>
  <c r="AO65" i="28" s="1"/>
  <c r="P33" i="28"/>
  <c r="S33" i="28"/>
  <c r="R33" i="28"/>
  <c r="O33" i="28"/>
  <c r="Q33" i="28"/>
  <c r="M65" i="27"/>
  <c r="L65" i="27"/>
  <c r="AP72" i="27"/>
  <c r="AP73" i="27" s="1"/>
  <c r="M130" i="27"/>
  <c r="L130" i="27"/>
  <c r="AO8" i="27"/>
  <c r="AO9" i="27" s="1"/>
  <c r="E111" i="27"/>
  <c r="D111" i="27" s="1"/>
  <c r="E21" i="18" s="1"/>
  <c r="J119" i="27"/>
  <c r="N114" i="27"/>
  <c r="E24" i="18"/>
  <c r="E57" i="27"/>
  <c r="D57" i="27" s="1"/>
  <c r="J57" i="27" s="1"/>
  <c r="M66" i="27"/>
  <c r="L66" i="27"/>
  <c r="K66" i="27"/>
  <c r="D55" i="27"/>
  <c r="J55" i="27" s="1"/>
  <c r="AP48" i="27"/>
  <c r="E47" i="27"/>
  <c r="M73" i="27"/>
  <c r="L73" i="27"/>
  <c r="L67" i="27"/>
  <c r="M67" i="27"/>
  <c r="E54" i="27"/>
  <c r="AP69" i="27"/>
  <c r="K67" i="27"/>
  <c r="M76" i="27"/>
  <c r="L76" i="27"/>
  <c r="AO15" i="27"/>
  <c r="D48" i="27"/>
  <c r="J48" i="27" s="1"/>
  <c r="AP52" i="27"/>
  <c r="L63" i="27"/>
  <c r="M63" i="27"/>
  <c r="E51" i="27"/>
  <c r="AP60" i="27"/>
  <c r="AP46" i="27"/>
  <c r="E44" i="27"/>
  <c r="AP39" i="27"/>
  <c r="AP79" i="27"/>
  <c r="D46" i="27"/>
  <c r="J46" i="27" s="1"/>
  <c r="AP43" i="27"/>
  <c r="K63" i="27"/>
  <c r="L129" i="27"/>
  <c r="M129" i="27"/>
  <c r="Q114" i="27"/>
  <c r="P114" i="27"/>
  <c r="O114" i="27"/>
  <c r="R114" i="27"/>
  <c r="S114" i="27"/>
  <c r="AN14" i="27"/>
  <c r="D45" i="27"/>
  <c r="AP57" i="27"/>
  <c r="E50" i="27"/>
  <c r="AP55" i="27"/>
  <c r="K129" i="27"/>
  <c r="AP63" i="27"/>
  <c r="E52" i="27"/>
  <c r="M69" i="27"/>
  <c r="L69" i="27"/>
  <c r="D49" i="27"/>
  <c r="AP5" i="27"/>
  <c r="L71" i="27"/>
  <c r="M71" i="27"/>
  <c r="M128" i="27"/>
  <c r="L128" i="27"/>
  <c r="M75" i="27"/>
  <c r="L75" i="27"/>
  <c r="K69" i="27"/>
  <c r="AP67" i="27"/>
  <c r="AP11" i="27"/>
  <c r="AP75" i="27"/>
  <c r="E56" i="27"/>
  <c r="E24" i="27"/>
  <c r="K43" i="27"/>
  <c r="AO36" i="27"/>
  <c r="D53" i="27"/>
  <c r="J53" i="27" s="1"/>
  <c r="K128" i="27"/>
  <c r="M70" i="27"/>
  <c r="L70" i="27"/>
  <c r="AO7" i="29" l="1"/>
  <c r="N114" i="29"/>
  <c r="E24" i="30"/>
  <c r="N111" i="29"/>
  <c r="E21" i="30"/>
  <c r="N33" i="29"/>
  <c r="E12" i="30"/>
  <c r="N28" i="29"/>
  <c r="E7" i="30"/>
  <c r="N31" i="29"/>
  <c r="E10" i="30"/>
  <c r="N32" i="29"/>
  <c r="E11" i="30"/>
  <c r="N25" i="29"/>
  <c r="E4" i="30"/>
  <c r="N111" i="28"/>
  <c r="D21" i="30"/>
  <c r="N112" i="28"/>
  <c r="D22" i="30"/>
  <c r="N38" i="28"/>
  <c r="D17" i="30"/>
  <c r="N30" i="28"/>
  <c r="D9" i="30"/>
  <c r="AO44" i="28"/>
  <c r="AN43" i="28"/>
  <c r="AN44" i="28" s="1"/>
  <c r="AQ44" i="28"/>
  <c r="AP44" i="28"/>
  <c r="AQ56" i="29"/>
  <c r="AN55" i="29"/>
  <c r="AN56" i="29" s="1"/>
  <c r="AP56" i="29"/>
  <c r="AO56" i="29"/>
  <c r="AN14" i="29"/>
  <c r="Q114" i="29"/>
  <c r="P114" i="29"/>
  <c r="R114" i="29"/>
  <c r="O114" i="29"/>
  <c r="S114" i="29"/>
  <c r="AN6" i="29"/>
  <c r="AN7" i="29" s="1"/>
  <c r="AQ7" i="29"/>
  <c r="AP7" i="29"/>
  <c r="AO16" i="29"/>
  <c r="AQ53" i="29"/>
  <c r="AN52" i="29"/>
  <c r="AN53" i="29" s="1"/>
  <c r="AP53" i="29"/>
  <c r="AO53" i="29"/>
  <c r="S112" i="28"/>
  <c r="AN11" i="28"/>
  <c r="R112" i="28"/>
  <c r="O112" i="28"/>
  <c r="P112" i="28"/>
  <c r="Q112" i="28"/>
  <c r="AN60" i="28"/>
  <c r="AO62" i="28" s="1"/>
  <c r="S32" i="28"/>
  <c r="R32" i="28"/>
  <c r="P32" i="28"/>
  <c r="Q32" i="28"/>
  <c r="O32" i="28"/>
  <c r="AQ50" i="28"/>
  <c r="AN49" i="28"/>
  <c r="AN50" i="28" s="1"/>
  <c r="AP50" i="28"/>
  <c r="AO50" i="28"/>
  <c r="N32" i="28"/>
  <c r="AN43" i="29"/>
  <c r="AN44" i="29" s="1"/>
  <c r="AQ44" i="29"/>
  <c r="AP44" i="29"/>
  <c r="AN46" i="29"/>
  <c r="AN47" i="29" s="1"/>
  <c r="AQ47" i="29"/>
  <c r="AP47" i="29"/>
  <c r="AN79" i="29"/>
  <c r="AN80" i="29" s="1"/>
  <c r="AQ80" i="29"/>
  <c r="AP80" i="29"/>
  <c r="AN73" i="29"/>
  <c r="AN74" i="29" s="1"/>
  <c r="AQ74" i="29"/>
  <c r="AP74" i="29"/>
  <c r="AN57" i="29"/>
  <c r="AO59" i="29" s="1"/>
  <c r="O31" i="29"/>
  <c r="P31" i="29"/>
  <c r="S31" i="29"/>
  <c r="Q31" i="29"/>
  <c r="R31" i="29"/>
  <c r="AO44" i="29"/>
  <c r="O112" i="29"/>
  <c r="R112" i="29"/>
  <c r="Q112" i="29"/>
  <c r="S112" i="29"/>
  <c r="AN11" i="29"/>
  <c r="P112" i="29"/>
  <c r="AN63" i="29"/>
  <c r="O33" i="29"/>
  <c r="P33" i="29"/>
  <c r="S33" i="29"/>
  <c r="R33" i="29"/>
  <c r="Q33" i="29"/>
  <c r="AN48" i="29"/>
  <c r="AO50" i="29" s="1"/>
  <c r="O28" i="29"/>
  <c r="S28" i="29"/>
  <c r="Q28" i="29"/>
  <c r="R28" i="29"/>
  <c r="P28" i="29"/>
  <c r="AN60" i="29"/>
  <c r="O32" i="29"/>
  <c r="S32" i="29"/>
  <c r="R32" i="29"/>
  <c r="P32" i="29"/>
  <c r="Q32" i="29"/>
  <c r="O111" i="29"/>
  <c r="R111" i="29"/>
  <c r="Q111" i="29"/>
  <c r="S111" i="29"/>
  <c r="P111" i="29"/>
  <c r="AN8" i="29"/>
  <c r="AN67" i="29"/>
  <c r="AN68" i="29" s="1"/>
  <c r="AQ68" i="29"/>
  <c r="AP68" i="29"/>
  <c r="N112" i="29"/>
  <c r="O25" i="29"/>
  <c r="Q25" i="29"/>
  <c r="P25" i="29"/>
  <c r="AN39" i="29"/>
  <c r="S25" i="29"/>
  <c r="R25" i="29"/>
  <c r="AN70" i="28"/>
  <c r="AN71" i="28" s="1"/>
  <c r="AQ71" i="28"/>
  <c r="AP71" i="28"/>
  <c r="AN6" i="28"/>
  <c r="AN7" i="28" s="1"/>
  <c r="AQ7" i="28"/>
  <c r="AP7" i="28"/>
  <c r="AN58" i="28"/>
  <c r="AN59" i="28" s="1"/>
  <c r="AQ59" i="28"/>
  <c r="AP59" i="28"/>
  <c r="AN46" i="28"/>
  <c r="AN47" i="28" s="1"/>
  <c r="AQ47" i="28"/>
  <c r="AP47" i="28"/>
  <c r="AN54" i="28"/>
  <c r="AO56" i="28" s="1"/>
  <c r="P30" i="28"/>
  <c r="Q30" i="28"/>
  <c r="S30" i="28"/>
  <c r="R30" i="28"/>
  <c r="O30" i="28"/>
  <c r="AN64" i="28"/>
  <c r="AN65" i="28" s="1"/>
  <c r="AQ65" i="28"/>
  <c r="AP65" i="28"/>
  <c r="AN40" i="28"/>
  <c r="AN41" i="28" s="1"/>
  <c r="AQ41" i="28"/>
  <c r="AP41" i="28"/>
  <c r="O38" i="28"/>
  <c r="S38" i="28"/>
  <c r="AN78" i="28"/>
  <c r="Q38" i="28"/>
  <c r="P38" i="28"/>
  <c r="R38" i="28"/>
  <c r="O111" i="28"/>
  <c r="S111" i="28"/>
  <c r="R111" i="28"/>
  <c r="P111" i="28"/>
  <c r="Q111" i="28"/>
  <c r="AN8" i="28"/>
  <c r="AO7" i="28"/>
  <c r="AN52" i="28"/>
  <c r="AN53" i="28" s="1"/>
  <c r="AQ53" i="28"/>
  <c r="AP53" i="28"/>
  <c r="D47" i="27"/>
  <c r="J47" i="27" s="1"/>
  <c r="AP49" i="27"/>
  <c r="AP70" i="27"/>
  <c r="D54" i="27"/>
  <c r="AO72" i="27"/>
  <c r="K55" i="27"/>
  <c r="E36" i="27"/>
  <c r="AO54" i="27"/>
  <c r="E30" i="27"/>
  <c r="K49" i="27"/>
  <c r="J49" i="27"/>
  <c r="AP61" i="27"/>
  <c r="D24" i="27"/>
  <c r="D50" i="27"/>
  <c r="J50" i="27" s="1"/>
  <c r="AP40" i="27"/>
  <c r="D51" i="27"/>
  <c r="AP12" i="27"/>
  <c r="D56" i="27"/>
  <c r="J56" i="27" s="1"/>
  <c r="AP58" i="27"/>
  <c r="D44" i="27"/>
  <c r="J44" i="27" s="1"/>
  <c r="AO37" i="27"/>
  <c r="AP76" i="27"/>
  <c r="AO42" i="27"/>
  <c r="K45" i="27"/>
  <c r="E26" i="27"/>
  <c r="Q111" i="27"/>
  <c r="S111" i="27"/>
  <c r="R111" i="27"/>
  <c r="P111" i="27"/>
  <c r="O111" i="27"/>
  <c r="AN8" i="27"/>
  <c r="AP6" i="27"/>
  <c r="K48" i="27"/>
  <c r="AO51" i="27"/>
  <c r="E29" i="27"/>
  <c r="K57" i="27"/>
  <c r="AO78" i="27"/>
  <c r="E38" i="27"/>
  <c r="AO66" i="27"/>
  <c r="K53" i="27"/>
  <c r="E34" i="27"/>
  <c r="D52" i="27"/>
  <c r="J45" i="27"/>
  <c r="AN15" i="27"/>
  <c r="AN16" i="27" s="1"/>
  <c r="AP16" i="27"/>
  <c r="AO16" i="27"/>
  <c r="AQ16" i="27"/>
  <c r="N111" i="27"/>
  <c r="J121" i="27"/>
  <c r="AP64" i="27"/>
  <c r="AO45" i="27"/>
  <c r="K46" i="27"/>
  <c r="E27" i="27"/>
  <c r="AR7" i="29" l="1"/>
  <c r="AO13" i="28"/>
  <c r="AR7" i="28"/>
  <c r="AQ16" i="29"/>
  <c r="AN15" i="29"/>
  <c r="AN16" i="29" s="1"/>
  <c r="AP16" i="29"/>
  <c r="AN12" i="28"/>
  <c r="AN13" i="28" s="1"/>
  <c r="AP13" i="28"/>
  <c r="AQ13" i="28"/>
  <c r="AN61" i="28"/>
  <c r="AN62" i="28" s="1"/>
  <c r="AQ62" i="28"/>
  <c r="AP62" i="28"/>
  <c r="AN12" i="29"/>
  <c r="AN13" i="29" s="1"/>
  <c r="AQ13" i="29"/>
  <c r="AP13" i="29"/>
  <c r="AN40" i="29"/>
  <c r="AN41" i="29" s="1"/>
  <c r="AQ41" i="29"/>
  <c r="AP41" i="29"/>
  <c r="AN58" i="29"/>
  <c r="AN59" i="29" s="1"/>
  <c r="AQ59" i="29"/>
  <c r="AP59" i="29"/>
  <c r="AN9" i="29"/>
  <c r="AN10" i="29" s="1"/>
  <c r="AQ10" i="29"/>
  <c r="AP10" i="29"/>
  <c r="AO13" i="29"/>
  <c r="AN61" i="29"/>
  <c r="AN62" i="29" s="1"/>
  <c r="AQ62" i="29"/>
  <c r="AP62" i="29"/>
  <c r="AO62" i="29"/>
  <c r="AN49" i="29"/>
  <c r="AN50" i="29" s="1"/>
  <c r="AQ50" i="29"/>
  <c r="AP50" i="29"/>
  <c r="AN64" i="29"/>
  <c r="AN65" i="29" s="1"/>
  <c r="AQ65" i="29"/>
  <c r="AP65" i="29"/>
  <c r="AO65" i="29"/>
  <c r="AO10" i="29"/>
  <c r="AO41" i="29"/>
  <c r="AN9" i="28"/>
  <c r="AN10" i="28" s="1"/>
  <c r="AQ10" i="28"/>
  <c r="AP10" i="28"/>
  <c r="AN79" i="28"/>
  <c r="AN80" i="28" s="1"/>
  <c r="AQ80" i="28"/>
  <c r="AP80" i="28"/>
  <c r="AO10" i="28"/>
  <c r="AN55" i="28"/>
  <c r="AN56" i="28" s="1"/>
  <c r="AQ56" i="28"/>
  <c r="AP56" i="28"/>
  <c r="AO80" i="28"/>
  <c r="N24" i="27"/>
  <c r="E3" i="18"/>
  <c r="AO69" i="27"/>
  <c r="K54" i="27"/>
  <c r="E35" i="27"/>
  <c r="J54" i="27"/>
  <c r="D36" i="27"/>
  <c r="AO73" i="27"/>
  <c r="K47" i="27"/>
  <c r="AO48" i="27"/>
  <c r="E28" i="27"/>
  <c r="AO79" i="27"/>
  <c r="AO46" i="27"/>
  <c r="D26" i="27"/>
  <c r="AO55" i="27"/>
  <c r="K52" i="27"/>
  <c r="AO63" i="27"/>
  <c r="E33" i="27"/>
  <c r="AN9" i="27"/>
  <c r="AN10" i="27" s="1"/>
  <c r="AP10" i="27"/>
  <c r="AQ10" i="27"/>
  <c r="AN36" i="27"/>
  <c r="O24" i="27"/>
  <c r="R24" i="27"/>
  <c r="S24" i="27"/>
  <c r="P24" i="27"/>
  <c r="Q24" i="27"/>
  <c r="J52" i="27"/>
  <c r="K120" i="27"/>
  <c r="E112" i="27"/>
  <c r="AO11" i="27"/>
  <c r="AO43" i="27"/>
  <c r="K44" i="27"/>
  <c r="AO39" i="27"/>
  <c r="E25" i="27"/>
  <c r="AO60" i="27"/>
  <c r="K51" i="27"/>
  <c r="E32" i="27"/>
  <c r="D30" i="27"/>
  <c r="AR16" i="27"/>
  <c r="D34" i="27"/>
  <c r="J120" i="27"/>
  <c r="AO10" i="27"/>
  <c r="J51" i="27"/>
  <c r="E113" i="27"/>
  <c r="K121" i="27"/>
  <c r="AO5" i="27"/>
  <c r="D29" i="27"/>
  <c r="AO67" i="27"/>
  <c r="AO52" i="27"/>
  <c r="D27" i="27"/>
  <c r="D38" i="27"/>
  <c r="E17" i="18" s="1"/>
  <c r="K56" i="27"/>
  <c r="AO75" i="27"/>
  <c r="E37" i="27"/>
  <c r="AO57" i="27"/>
  <c r="K50" i="27"/>
  <c r="E31" i="27"/>
  <c r="AD24" i="4"/>
  <c r="AD23" i="4"/>
  <c r="AR16" i="29" l="1"/>
  <c r="AR10" i="28"/>
  <c r="AR13" i="28"/>
  <c r="AR10" i="29"/>
  <c r="AR13" i="29"/>
  <c r="N29" i="27"/>
  <c r="E8" i="18"/>
  <c r="N36" i="27"/>
  <c r="E15" i="18"/>
  <c r="N30" i="27"/>
  <c r="E9" i="18"/>
  <c r="N27" i="27"/>
  <c r="E6" i="18"/>
  <c r="N34" i="27"/>
  <c r="E13" i="18"/>
  <c r="N26" i="27"/>
  <c r="E5" i="18"/>
  <c r="AO70" i="27"/>
  <c r="S36" i="27"/>
  <c r="P36" i="27"/>
  <c r="AN72" i="27"/>
  <c r="Q36" i="27"/>
  <c r="R36" i="27"/>
  <c r="O36" i="27"/>
  <c r="D28" i="27"/>
  <c r="AO49" i="27"/>
  <c r="D35" i="27"/>
  <c r="AO40" i="27"/>
  <c r="AR10" i="27"/>
  <c r="O26" i="27"/>
  <c r="R26" i="27"/>
  <c r="S26" i="27"/>
  <c r="P26" i="27"/>
  <c r="AN42" i="27"/>
  <c r="AO44" i="27" s="1"/>
  <c r="Q26" i="27"/>
  <c r="D113" i="27"/>
  <c r="AN37" i="27"/>
  <c r="AN38" i="27" s="1"/>
  <c r="AQ38" i="27"/>
  <c r="AP38" i="27"/>
  <c r="D31" i="27"/>
  <c r="E10" i="18" s="1"/>
  <c r="S30" i="27"/>
  <c r="R30" i="27"/>
  <c r="O30" i="27"/>
  <c r="AN54" i="27"/>
  <c r="Q30" i="27"/>
  <c r="P30" i="27"/>
  <c r="D32" i="27"/>
  <c r="AO12" i="27"/>
  <c r="D37" i="27"/>
  <c r="AO76" i="27"/>
  <c r="AO6" i="27"/>
  <c r="AN66" i="27"/>
  <c r="S34" i="27"/>
  <c r="Q34" i="27"/>
  <c r="O34" i="27"/>
  <c r="R34" i="27"/>
  <c r="P34" i="27"/>
  <c r="AO61" i="27"/>
  <c r="AO64" i="27"/>
  <c r="AN78" i="27"/>
  <c r="AO80" i="27" s="1"/>
  <c r="O38" i="27"/>
  <c r="Q38" i="27"/>
  <c r="S38" i="27"/>
  <c r="R38" i="27"/>
  <c r="P38" i="27"/>
  <c r="N38" i="27"/>
  <c r="AO58" i="27"/>
  <c r="S29" i="27"/>
  <c r="Q29" i="27"/>
  <c r="AN51" i="27"/>
  <c r="R29" i="27"/>
  <c r="O29" i="27"/>
  <c r="P29" i="27"/>
  <c r="S27" i="27"/>
  <c r="AN45" i="27"/>
  <c r="O27" i="27"/>
  <c r="R27" i="27"/>
  <c r="Q27" i="27"/>
  <c r="P27" i="27"/>
  <c r="D112" i="27"/>
  <c r="D33" i="27"/>
  <c r="D25" i="27"/>
  <c r="AO38" i="27"/>
  <c r="Y24" i="4"/>
  <c r="AB23" i="4"/>
  <c r="AD22" i="4"/>
  <c r="AB22" i="4" s="1"/>
  <c r="AB15" i="4"/>
  <c r="Y15" i="4"/>
  <c r="D137" i="23"/>
  <c r="D137" i="16"/>
  <c r="K95" i="4"/>
  <c r="L95" i="4" s="1"/>
  <c r="M95" i="4" s="1"/>
  <c r="K94" i="4"/>
  <c r="L94" i="4" s="1"/>
  <c r="K93" i="4"/>
  <c r="L93" i="4" s="1"/>
  <c r="M93" i="4" s="1"/>
  <c r="D93" i="16"/>
  <c r="D136" i="23"/>
  <c r="D138" i="23"/>
  <c r="D135" i="23"/>
  <c r="E74" i="16" l="1"/>
  <c r="D74" i="16" s="1"/>
  <c r="AQ72" i="16"/>
  <c r="AQ73" i="16" s="1"/>
  <c r="N113" i="27"/>
  <c r="E23" i="18"/>
  <c r="N112" i="27"/>
  <c r="E22" i="18"/>
  <c r="N33" i="27"/>
  <c r="E12" i="18"/>
  <c r="N32" i="27"/>
  <c r="E11" i="18"/>
  <c r="N35" i="27"/>
  <c r="E14" i="18"/>
  <c r="N28" i="27"/>
  <c r="E7" i="18"/>
  <c r="N25" i="27"/>
  <c r="E4" i="18"/>
  <c r="N37" i="27"/>
  <c r="E16" i="18"/>
  <c r="AN73" i="27"/>
  <c r="AN74" i="27" s="1"/>
  <c r="AP74" i="27"/>
  <c r="AQ74" i="27"/>
  <c r="P35" i="27"/>
  <c r="Q35" i="27"/>
  <c r="O35" i="27"/>
  <c r="AN69" i="27"/>
  <c r="AO71" i="27" s="1"/>
  <c r="R35" i="27"/>
  <c r="S35" i="27"/>
  <c r="Q28" i="27"/>
  <c r="O28" i="27"/>
  <c r="P28" i="27"/>
  <c r="R28" i="27"/>
  <c r="S28" i="27"/>
  <c r="AN48" i="27"/>
  <c r="AO74" i="27"/>
  <c r="AN55" i="27"/>
  <c r="AN56" i="27" s="1"/>
  <c r="AQ56" i="27"/>
  <c r="AP56" i="27"/>
  <c r="AN67" i="27"/>
  <c r="AN68" i="27" s="1"/>
  <c r="AQ68" i="27"/>
  <c r="AP68" i="27"/>
  <c r="AN57" i="27"/>
  <c r="S31" i="27"/>
  <c r="P31" i="27"/>
  <c r="Q31" i="27"/>
  <c r="O31" i="27"/>
  <c r="R31" i="27"/>
  <c r="AN52" i="27"/>
  <c r="AN53" i="27" s="1"/>
  <c r="AQ53" i="27"/>
  <c r="AP53" i="27"/>
  <c r="AN60" i="27"/>
  <c r="S32" i="27"/>
  <c r="Q32" i="27"/>
  <c r="O32" i="27"/>
  <c r="P32" i="27"/>
  <c r="R32" i="27"/>
  <c r="N31" i="27"/>
  <c r="Q113" i="27"/>
  <c r="S113" i="27"/>
  <c r="R113" i="27"/>
  <c r="AN5" i="27"/>
  <c r="P113" i="27"/>
  <c r="O113" i="27"/>
  <c r="AN46" i="27"/>
  <c r="AN47" i="27" s="1"/>
  <c r="AQ47" i="27"/>
  <c r="AP47" i="27"/>
  <c r="AO68" i="27"/>
  <c r="O25" i="27"/>
  <c r="R25" i="27"/>
  <c r="Q25" i="27"/>
  <c r="P25" i="27"/>
  <c r="AN39" i="27"/>
  <c r="S25" i="27"/>
  <c r="S33" i="27"/>
  <c r="R33" i="27"/>
  <c r="AN63" i="27"/>
  <c r="AO65" i="27" s="1"/>
  <c r="P33" i="27"/>
  <c r="O33" i="27"/>
  <c r="Q33" i="27"/>
  <c r="AO47" i="27"/>
  <c r="AO53" i="27"/>
  <c r="AN43" i="27"/>
  <c r="AN44" i="27" s="1"/>
  <c r="AQ44" i="27"/>
  <c r="AP44" i="27"/>
  <c r="AO56" i="27"/>
  <c r="AN79" i="27"/>
  <c r="AN80" i="27" s="1"/>
  <c r="AQ80" i="27"/>
  <c r="AP80" i="27"/>
  <c r="Q112" i="27"/>
  <c r="S112" i="27"/>
  <c r="R112" i="27"/>
  <c r="P112" i="27"/>
  <c r="O112" i="27"/>
  <c r="AN11" i="27"/>
  <c r="P37" i="27"/>
  <c r="AN75" i="27"/>
  <c r="O37" i="27"/>
  <c r="S37" i="27"/>
  <c r="R37" i="27"/>
  <c r="Q37" i="27"/>
  <c r="E129" i="23"/>
  <c r="D129" i="23" s="1"/>
  <c r="AQ5" i="23"/>
  <c r="E128" i="23"/>
  <c r="H128" i="23" s="1"/>
  <c r="AQ11" i="23"/>
  <c r="E130" i="23"/>
  <c r="H130" i="23" s="1"/>
  <c r="AQ14" i="23"/>
  <c r="E127" i="23"/>
  <c r="H127" i="23" s="1"/>
  <c r="K127" i="23" s="1"/>
  <c r="AQ8" i="23"/>
  <c r="E129" i="16"/>
  <c r="D129" i="16" s="1"/>
  <c r="AQ5" i="16"/>
  <c r="Y22" i="4"/>
  <c r="Y23" i="4"/>
  <c r="AB24" i="4"/>
  <c r="M94" i="4"/>
  <c r="M96" i="4" s="1"/>
  <c r="H74" i="16"/>
  <c r="H129" i="23" l="1"/>
  <c r="M129" i="23" s="1"/>
  <c r="D130" i="23"/>
  <c r="AO7" i="27"/>
  <c r="D128" i="23"/>
  <c r="AP11" i="23" s="1"/>
  <c r="E55" i="16"/>
  <c r="AP72" i="16"/>
  <c r="AN49" i="27"/>
  <c r="AN50" i="27" s="1"/>
  <c r="AQ50" i="27"/>
  <c r="AP50" i="27"/>
  <c r="AQ71" i="27"/>
  <c r="AN70" i="27"/>
  <c r="AN71" i="27" s="1"/>
  <c r="AP71" i="27"/>
  <c r="AO50" i="27"/>
  <c r="AN12" i="27"/>
  <c r="AN13" i="27" s="1"/>
  <c r="AQ13" i="27"/>
  <c r="AP13" i="27"/>
  <c r="AN40" i="27"/>
  <c r="AN41" i="27" s="1"/>
  <c r="AQ41" i="27"/>
  <c r="AP41" i="27"/>
  <c r="AN61" i="27"/>
  <c r="AN62" i="27" s="1"/>
  <c r="AQ62" i="27"/>
  <c r="AP62" i="27"/>
  <c r="AN58" i="27"/>
  <c r="AN59" i="27" s="1"/>
  <c r="AQ59" i="27"/>
  <c r="AP59" i="27"/>
  <c r="AO41" i="27"/>
  <c r="AN76" i="27"/>
  <c r="AN77" i="27" s="1"/>
  <c r="AQ77" i="27"/>
  <c r="AP77" i="27"/>
  <c r="AN64" i="27"/>
  <c r="AN65" i="27" s="1"/>
  <c r="AQ65" i="27"/>
  <c r="AP65" i="27"/>
  <c r="AO62" i="27"/>
  <c r="AN6" i="27"/>
  <c r="AN7" i="27" s="1"/>
  <c r="AQ7" i="27"/>
  <c r="AP7" i="27"/>
  <c r="AO13" i="27"/>
  <c r="AO59" i="27"/>
  <c r="AO77" i="27"/>
  <c r="E121" i="23"/>
  <c r="AP5" i="23"/>
  <c r="E122" i="23"/>
  <c r="AP14" i="23"/>
  <c r="D127" i="23"/>
  <c r="K129" i="23"/>
  <c r="E121" i="16"/>
  <c r="AP5" i="16"/>
  <c r="H129" i="16"/>
  <c r="AB21" i="4"/>
  <c r="Y21" i="4"/>
  <c r="E120" i="23" l="1"/>
  <c r="AP73" i="16"/>
  <c r="AR7" i="27"/>
  <c r="AR13" i="27"/>
  <c r="E119" i="23"/>
  <c r="D119" i="23" s="1"/>
  <c r="AO8" i="23" s="1"/>
  <c r="AP8" i="23"/>
  <c r="N93" i="16"/>
  <c r="P138" i="23"/>
  <c r="R137" i="23"/>
  <c r="N136" i="23"/>
  <c r="R135" i="23"/>
  <c r="M127" i="23"/>
  <c r="D122" i="23"/>
  <c r="AO14" i="23" s="1"/>
  <c r="D121" i="23"/>
  <c r="AO5" i="23" s="1"/>
  <c r="D120" i="23"/>
  <c r="AO11" i="23" s="1"/>
  <c r="D95" i="23"/>
  <c r="AQ78" i="23" s="1"/>
  <c r="AQ79" i="23" s="1"/>
  <c r="D94" i="23"/>
  <c r="AQ75" i="23" s="1"/>
  <c r="AQ76" i="23" s="1"/>
  <c r="AQ72" i="23"/>
  <c r="AQ73" i="23" s="1"/>
  <c r="D92" i="23"/>
  <c r="AQ69" i="23" s="1"/>
  <c r="D91" i="23"/>
  <c r="AQ66" i="23" s="1"/>
  <c r="AQ67" i="23" s="1"/>
  <c r="D90" i="23"/>
  <c r="AQ63" i="23" s="1"/>
  <c r="AQ64" i="23" s="1"/>
  <c r="D89" i="23"/>
  <c r="AQ60" i="23" s="1"/>
  <c r="AQ61" i="23" s="1"/>
  <c r="D88" i="23"/>
  <c r="AQ57" i="23" s="1"/>
  <c r="AQ58" i="23" s="1"/>
  <c r="D87" i="23"/>
  <c r="AQ54" i="23" s="1"/>
  <c r="AQ55" i="23" s="1"/>
  <c r="D86" i="23"/>
  <c r="AQ51" i="23" s="1"/>
  <c r="AQ52" i="23" s="1"/>
  <c r="D85" i="23"/>
  <c r="AQ48" i="23" s="1"/>
  <c r="AQ49" i="23" s="1"/>
  <c r="D84" i="23"/>
  <c r="AQ45" i="23" s="1"/>
  <c r="D83" i="23"/>
  <c r="AQ42" i="23" s="1"/>
  <c r="AQ43" i="23" s="1"/>
  <c r="D82" i="23"/>
  <c r="D81" i="23"/>
  <c r="M99" i="4"/>
  <c r="L99" i="4" s="1"/>
  <c r="M100" i="4"/>
  <c r="L100" i="4" s="1"/>
  <c r="M98" i="4"/>
  <c r="L98" i="4" s="1"/>
  <c r="E63" i="23" l="1"/>
  <c r="D63" i="23" s="1"/>
  <c r="AQ39" i="23"/>
  <c r="AQ40" i="23" s="1"/>
  <c r="AQ46" i="23"/>
  <c r="AQ70" i="23"/>
  <c r="E62" i="23"/>
  <c r="D62" i="23" s="1"/>
  <c r="AQ36" i="23"/>
  <c r="AQ37" i="23" s="1"/>
  <c r="P95" i="23"/>
  <c r="E76" i="23"/>
  <c r="O94" i="23"/>
  <c r="E75" i="23"/>
  <c r="S93" i="23"/>
  <c r="E74" i="23"/>
  <c r="R92" i="23"/>
  <c r="E73" i="23"/>
  <c r="N91" i="23"/>
  <c r="E72" i="23"/>
  <c r="N90" i="23"/>
  <c r="E71" i="23"/>
  <c r="S89" i="23"/>
  <c r="E70" i="23"/>
  <c r="Q88" i="23"/>
  <c r="E69" i="23"/>
  <c r="O87" i="23"/>
  <c r="E68" i="23"/>
  <c r="O86" i="23"/>
  <c r="E67" i="23"/>
  <c r="S85" i="23"/>
  <c r="E66" i="23"/>
  <c r="R84" i="23"/>
  <c r="E65" i="23"/>
  <c r="O83" i="23"/>
  <c r="E64" i="23"/>
  <c r="J122" i="23"/>
  <c r="E114" i="23"/>
  <c r="D114" i="23" s="1"/>
  <c r="AN14" i="23" s="1"/>
  <c r="K120" i="23"/>
  <c r="E112" i="23"/>
  <c r="D112" i="23" s="1"/>
  <c r="AN11" i="23" s="1"/>
  <c r="E111" i="23"/>
  <c r="D111" i="23" s="1"/>
  <c r="AN8" i="23" s="1"/>
  <c r="R84" i="4"/>
  <c r="R88" i="4"/>
  <c r="K121" i="23"/>
  <c r="E113" i="23"/>
  <c r="D113" i="23" s="1"/>
  <c r="R90" i="4"/>
  <c r="R86" i="4"/>
  <c r="R85" i="4"/>
  <c r="R87" i="4"/>
  <c r="L101" i="4"/>
  <c r="R87" i="23"/>
  <c r="N137" i="16"/>
  <c r="L127" i="23"/>
  <c r="Q136" i="23"/>
  <c r="N135" i="23"/>
  <c r="O135" i="23"/>
  <c r="P135" i="23"/>
  <c r="R136" i="23"/>
  <c r="Q137" i="23"/>
  <c r="S135" i="23"/>
  <c r="R95" i="23"/>
  <c r="S95" i="23"/>
  <c r="O84" i="23"/>
  <c r="S84" i="23"/>
  <c r="S92" i="23"/>
  <c r="S87" i="23"/>
  <c r="Q84" i="23"/>
  <c r="P94" i="23"/>
  <c r="Q94" i="23"/>
  <c r="O95" i="23"/>
  <c r="P92" i="23"/>
  <c r="Q95" i="23"/>
  <c r="R138" i="23"/>
  <c r="Q135" i="23"/>
  <c r="P137" i="23"/>
  <c r="O136" i="23"/>
  <c r="N138" i="23"/>
  <c r="P136" i="23"/>
  <c r="Q138" i="23"/>
  <c r="S138" i="23"/>
  <c r="L129" i="23"/>
  <c r="J119" i="23"/>
  <c r="K119" i="23"/>
  <c r="N87" i="23"/>
  <c r="R94" i="23"/>
  <c r="P87" i="23"/>
  <c r="S94" i="23"/>
  <c r="Q87" i="23"/>
  <c r="Q86" i="23"/>
  <c r="N85" i="23"/>
  <c r="R86" i="23"/>
  <c r="O93" i="23"/>
  <c r="O85" i="23"/>
  <c r="S86" i="23"/>
  <c r="R88" i="23"/>
  <c r="N92" i="23"/>
  <c r="P93" i="23"/>
  <c r="N84" i="23"/>
  <c r="P85" i="23"/>
  <c r="S88" i="23"/>
  <c r="O92" i="23"/>
  <c r="Q93" i="23"/>
  <c r="N95" i="23"/>
  <c r="Q85" i="23"/>
  <c r="R93" i="23"/>
  <c r="P86" i="23"/>
  <c r="N93" i="23"/>
  <c r="P84" i="23"/>
  <c r="R85" i="23"/>
  <c r="Q92" i="23"/>
  <c r="N83" i="23"/>
  <c r="O91" i="23"/>
  <c r="R81" i="23"/>
  <c r="P81" i="23"/>
  <c r="Q81" i="23"/>
  <c r="O81" i="23"/>
  <c r="N81" i="23"/>
  <c r="K122" i="23"/>
  <c r="S81" i="23"/>
  <c r="R89" i="23"/>
  <c r="P89" i="23"/>
  <c r="Q89" i="23"/>
  <c r="O89" i="23"/>
  <c r="N89" i="23"/>
  <c r="R83" i="23"/>
  <c r="S83" i="23"/>
  <c r="Q83" i="23"/>
  <c r="P83" i="23"/>
  <c r="R91" i="23"/>
  <c r="S91" i="23"/>
  <c r="Q91" i="23"/>
  <c r="P91" i="23"/>
  <c r="K128" i="23"/>
  <c r="M128" i="23"/>
  <c r="L128" i="23"/>
  <c r="S82" i="23"/>
  <c r="R82" i="23"/>
  <c r="Q82" i="23"/>
  <c r="P82" i="23"/>
  <c r="O82" i="23"/>
  <c r="N82" i="23"/>
  <c r="S90" i="23"/>
  <c r="R90" i="23"/>
  <c r="Q90" i="23"/>
  <c r="P90" i="23"/>
  <c r="O90" i="23"/>
  <c r="P112" i="23"/>
  <c r="O112" i="23"/>
  <c r="J120" i="23"/>
  <c r="S137" i="23"/>
  <c r="N88" i="23"/>
  <c r="K130" i="23"/>
  <c r="S136" i="23"/>
  <c r="L130" i="23"/>
  <c r="N86" i="23"/>
  <c r="P88" i="23"/>
  <c r="N94" i="23"/>
  <c r="J121" i="23"/>
  <c r="M130" i="23"/>
  <c r="N137" i="23"/>
  <c r="O138" i="23"/>
  <c r="O88" i="23"/>
  <c r="O111" i="23"/>
  <c r="O137" i="23"/>
  <c r="P114" i="23" l="1"/>
  <c r="O114" i="23"/>
  <c r="H62" i="23"/>
  <c r="K62" i="23" s="1"/>
  <c r="R112" i="23"/>
  <c r="Q112" i="23"/>
  <c r="N111" i="23"/>
  <c r="S111" i="23"/>
  <c r="P111" i="23"/>
  <c r="Q114" i="23"/>
  <c r="D24" i="18"/>
  <c r="R114" i="23"/>
  <c r="S114" i="23"/>
  <c r="D22" i="18"/>
  <c r="E43" i="23"/>
  <c r="D43" i="23" s="1"/>
  <c r="AO36" i="23" s="1"/>
  <c r="AP36" i="23"/>
  <c r="E44" i="23"/>
  <c r="AP39" i="23"/>
  <c r="AP40" i="23" s="1"/>
  <c r="H63" i="23"/>
  <c r="L63" i="23" s="1"/>
  <c r="D21" i="18"/>
  <c r="R111" i="23"/>
  <c r="J43" i="23"/>
  <c r="N112" i="23"/>
  <c r="S113" i="23"/>
  <c r="AN5" i="23"/>
  <c r="M62" i="23"/>
  <c r="L62" i="23"/>
  <c r="AQ15" i="23"/>
  <c r="D76" i="23"/>
  <c r="H76" i="23"/>
  <c r="H75" i="23"/>
  <c r="D75" i="23"/>
  <c r="H74" i="23"/>
  <c r="D74" i="23"/>
  <c r="H73" i="23"/>
  <c r="D73" i="23"/>
  <c r="H72" i="23"/>
  <c r="K72" i="23" s="1"/>
  <c r="D72" i="23"/>
  <c r="H71" i="23"/>
  <c r="D71" i="23"/>
  <c r="H70" i="23"/>
  <c r="D70" i="23"/>
  <c r="H69" i="23"/>
  <c r="D69" i="23"/>
  <c r="D68" i="23"/>
  <c r="H68" i="23"/>
  <c r="D67" i="23"/>
  <c r="H67" i="23"/>
  <c r="H66" i="23"/>
  <c r="D66" i="23"/>
  <c r="H65" i="23"/>
  <c r="D65" i="23"/>
  <c r="D64" i="23"/>
  <c r="H64" i="23"/>
  <c r="K43" i="23"/>
  <c r="E24" i="23"/>
  <c r="D24" i="23" s="1"/>
  <c r="AN36" i="23" s="1"/>
  <c r="AN37" i="23" s="1"/>
  <c r="AN38" i="23" s="1"/>
  <c r="N114" i="23"/>
  <c r="Q113" i="23"/>
  <c r="O113" i="23"/>
  <c r="S112" i="23"/>
  <c r="Q111" i="23"/>
  <c r="C84" i="4"/>
  <c r="R91" i="4"/>
  <c r="P113" i="23"/>
  <c r="R113" i="23"/>
  <c r="N113" i="23"/>
  <c r="K98" i="4"/>
  <c r="K99" i="4"/>
  <c r="K100" i="4"/>
  <c r="D23" i="18"/>
  <c r="AP15" i="23"/>
  <c r="AO9" i="23"/>
  <c r="AO10" i="23" s="1"/>
  <c r="AN9" i="23"/>
  <c r="AN10" i="23" s="1"/>
  <c r="AO12" i="23"/>
  <c r="AP6" i="23"/>
  <c r="M63" i="23" l="1"/>
  <c r="K63" i="23"/>
  <c r="AQ38" i="23"/>
  <c r="E48" i="23"/>
  <c r="D48" i="23" s="1"/>
  <c r="AO51" i="23" s="1"/>
  <c r="AP51" i="23"/>
  <c r="AP52" i="23" s="1"/>
  <c r="E53" i="23"/>
  <c r="D53" i="23" s="1"/>
  <c r="AO66" i="23" s="1"/>
  <c r="AO67" i="23" s="1"/>
  <c r="AP66" i="23"/>
  <c r="AP67" i="23" s="1"/>
  <c r="E46" i="23"/>
  <c r="D46" i="23" s="1"/>
  <c r="AO45" i="23" s="1"/>
  <c r="AO46" i="23" s="1"/>
  <c r="AP45" i="23"/>
  <c r="AP46" i="23" s="1"/>
  <c r="E50" i="23"/>
  <c r="AP57" i="23"/>
  <c r="AP58" i="23" s="1"/>
  <c r="E52" i="23"/>
  <c r="AP63" i="23"/>
  <c r="AP64" i="23" s="1"/>
  <c r="E54" i="23"/>
  <c r="D54" i="23" s="1"/>
  <c r="AO69" i="23" s="1"/>
  <c r="AO70" i="23" s="1"/>
  <c r="AP69" i="23"/>
  <c r="AP70" i="23" s="1"/>
  <c r="E56" i="23"/>
  <c r="D56" i="23" s="1"/>
  <c r="AP75" i="23"/>
  <c r="AP76" i="23" s="1"/>
  <c r="D44" i="23"/>
  <c r="E47" i="23"/>
  <c r="D47" i="23" s="1"/>
  <c r="AO48" i="23" s="1"/>
  <c r="AO49" i="23" s="1"/>
  <c r="AP48" i="23"/>
  <c r="AP49" i="23" s="1"/>
  <c r="E51" i="23"/>
  <c r="D51" i="23" s="1"/>
  <c r="AO60" i="23" s="1"/>
  <c r="AP60" i="23"/>
  <c r="AO37" i="23"/>
  <c r="AO38" i="23" s="1"/>
  <c r="AP37" i="23"/>
  <c r="AP38" i="23" s="1"/>
  <c r="E45" i="23"/>
  <c r="D45" i="23" s="1"/>
  <c r="AO42" i="23" s="1"/>
  <c r="AO43" i="23" s="1"/>
  <c r="AP42" i="23"/>
  <c r="AP43" i="23" s="1"/>
  <c r="E49" i="23"/>
  <c r="AP54" i="23"/>
  <c r="AP55" i="23" s="1"/>
  <c r="E57" i="23"/>
  <c r="D57" i="23" s="1"/>
  <c r="AP78" i="23"/>
  <c r="AP79" i="23" s="1"/>
  <c r="E55" i="23"/>
  <c r="D55" i="23" s="1"/>
  <c r="AO72" i="23" s="1"/>
  <c r="AP72" i="23"/>
  <c r="AP73" i="23" s="1"/>
  <c r="AO15" i="23"/>
  <c r="AO16" i="23" s="1"/>
  <c r="AQ12" i="23"/>
  <c r="AQ9" i="23"/>
  <c r="AQ10" i="23" s="1"/>
  <c r="AQ6" i="23"/>
  <c r="AQ7" i="23" s="1"/>
  <c r="AO6" i="23"/>
  <c r="AO7" i="23" s="1"/>
  <c r="M76" i="23"/>
  <c r="K76" i="23"/>
  <c r="L76" i="23"/>
  <c r="K75" i="23"/>
  <c r="L75" i="23"/>
  <c r="M75" i="23"/>
  <c r="L74" i="23"/>
  <c r="M74" i="23"/>
  <c r="K74" i="23"/>
  <c r="M73" i="23"/>
  <c r="K73" i="23"/>
  <c r="L73" i="23"/>
  <c r="E34" i="23"/>
  <c r="M72" i="23"/>
  <c r="L72" i="23"/>
  <c r="D52" i="23"/>
  <c r="AO63" i="23" s="1"/>
  <c r="J52" i="23"/>
  <c r="L71" i="23"/>
  <c r="M71" i="23"/>
  <c r="K71" i="23"/>
  <c r="M70" i="23"/>
  <c r="L70" i="23"/>
  <c r="K70" i="23"/>
  <c r="D50" i="23"/>
  <c r="M69" i="23"/>
  <c r="K69" i="23"/>
  <c r="L69" i="23"/>
  <c r="K68" i="23"/>
  <c r="L68" i="23"/>
  <c r="M68" i="23"/>
  <c r="D49" i="23"/>
  <c r="K67" i="23"/>
  <c r="M67" i="23"/>
  <c r="L67" i="23"/>
  <c r="J48" i="23"/>
  <c r="E29" i="23"/>
  <c r="K48" i="23"/>
  <c r="J47" i="23"/>
  <c r="E28" i="23"/>
  <c r="K47" i="23"/>
  <c r="M66" i="23"/>
  <c r="K66" i="23"/>
  <c r="L66" i="23"/>
  <c r="M65" i="23"/>
  <c r="K65" i="23"/>
  <c r="L65" i="23"/>
  <c r="M64" i="23"/>
  <c r="L64" i="23"/>
  <c r="K64" i="23"/>
  <c r="J45" i="23"/>
  <c r="E26" i="23"/>
  <c r="K45" i="23"/>
  <c r="D6" i="23"/>
  <c r="AF39" i="23" s="1"/>
  <c r="N24" i="23"/>
  <c r="Q24" i="23"/>
  <c r="D3" i="18"/>
  <c r="R24" i="23"/>
  <c r="P24" i="23"/>
  <c r="O24" i="23"/>
  <c r="S24" i="23"/>
  <c r="D106" i="23"/>
  <c r="D104" i="23"/>
  <c r="D103" i="23"/>
  <c r="AF8" i="23" s="1"/>
  <c r="D105" i="23"/>
  <c r="P105" i="23" s="1"/>
  <c r="AP9" i="23"/>
  <c r="AP12" i="23"/>
  <c r="AN15" i="23"/>
  <c r="AN16" i="23" s="1"/>
  <c r="AQ16" i="23"/>
  <c r="AP16" i="23"/>
  <c r="AN6" i="23"/>
  <c r="AN7" i="23" s="1"/>
  <c r="AP7" i="23"/>
  <c r="K53" i="23" l="1"/>
  <c r="AO73" i="23"/>
  <c r="AO64" i="23"/>
  <c r="J53" i="23"/>
  <c r="J57" i="23"/>
  <c r="AO78" i="23"/>
  <c r="AO79" i="23" s="1"/>
  <c r="AO39" i="23"/>
  <c r="AO40" i="23" s="1"/>
  <c r="K44" i="23"/>
  <c r="E25" i="23"/>
  <c r="J50" i="23"/>
  <c r="AO57" i="23"/>
  <c r="AO58" i="23" s="1"/>
  <c r="J49" i="23"/>
  <c r="AO54" i="23"/>
  <c r="AO55" i="23" s="1"/>
  <c r="J54" i="23"/>
  <c r="J56" i="23"/>
  <c r="AO75" i="23"/>
  <c r="AO61" i="23"/>
  <c r="AP61" i="23"/>
  <c r="J44" i="23"/>
  <c r="AO52" i="23"/>
  <c r="E36" i="23"/>
  <c r="D36" i="23" s="1"/>
  <c r="AN72" i="23" s="1"/>
  <c r="J55" i="23"/>
  <c r="K55" i="23"/>
  <c r="AP10" i="23"/>
  <c r="AR10" i="23" s="1"/>
  <c r="AN12" i="23"/>
  <c r="AN13" i="23" s="1"/>
  <c r="D35" i="18"/>
  <c r="Q6" i="23"/>
  <c r="N6" i="23"/>
  <c r="P6" i="23"/>
  <c r="O6" i="23"/>
  <c r="Q106" i="23"/>
  <c r="N106" i="23"/>
  <c r="O106" i="23"/>
  <c r="P106" i="23"/>
  <c r="Q105" i="23"/>
  <c r="N105" i="23"/>
  <c r="O105" i="23"/>
  <c r="P104" i="23"/>
  <c r="Q104" i="23"/>
  <c r="N104" i="23"/>
  <c r="O104" i="23"/>
  <c r="O103" i="23"/>
  <c r="P103" i="23"/>
  <c r="Q103" i="23"/>
  <c r="N103" i="23"/>
  <c r="K57" i="23"/>
  <c r="E38" i="23"/>
  <c r="K56" i="23"/>
  <c r="E37" i="23"/>
  <c r="K54" i="23"/>
  <c r="E35" i="23"/>
  <c r="D35" i="23" s="1"/>
  <c r="AN69" i="23" s="1"/>
  <c r="AP71" i="23" s="1"/>
  <c r="D34" i="23"/>
  <c r="AN66" i="23" s="1"/>
  <c r="K52" i="23"/>
  <c r="E33" i="23"/>
  <c r="E32" i="23"/>
  <c r="K51" i="23"/>
  <c r="J51" i="23"/>
  <c r="K50" i="23"/>
  <c r="E31" i="23"/>
  <c r="K49" i="23"/>
  <c r="E30" i="23"/>
  <c r="D29" i="23"/>
  <c r="D28" i="23"/>
  <c r="AN48" i="23" s="1"/>
  <c r="E27" i="23"/>
  <c r="K46" i="23"/>
  <c r="J46" i="23"/>
  <c r="D26" i="23"/>
  <c r="AN42" i="23" s="1"/>
  <c r="AO44" i="23" s="1"/>
  <c r="D5" i="23"/>
  <c r="AF36" i="23" s="1"/>
  <c r="AF14" i="23"/>
  <c r="D55" i="18"/>
  <c r="AQ13" i="23"/>
  <c r="AF11" i="23"/>
  <c r="D53" i="18"/>
  <c r="AP13" i="23"/>
  <c r="AO13" i="23"/>
  <c r="D52" i="18"/>
  <c r="AF5" i="23"/>
  <c r="D54" i="18"/>
  <c r="AR16" i="23"/>
  <c r="AR7" i="23"/>
  <c r="AO71" i="23" l="1"/>
  <c r="AP44" i="23"/>
  <c r="N26" i="23"/>
  <c r="N34" i="23"/>
  <c r="AN43" i="23"/>
  <c r="AN44" i="23" s="1"/>
  <c r="AQ44" i="23"/>
  <c r="AN49" i="23"/>
  <c r="AN50" i="23" s="1"/>
  <c r="AQ50" i="23"/>
  <c r="AN67" i="23"/>
  <c r="AN68" i="23" s="1"/>
  <c r="AQ68" i="23"/>
  <c r="AO76" i="23"/>
  <c r="AO68" i="23"/>
  <c r="D25" i="23"/>
  <c r="N29" i="23"/>
  <c r="AN51" i="23"/>
  <c r="AN70" i="23"/>
  <c r="AN71" i="23" s="1"/>
  <c r="AQ71" i="23"/>
  <c r="AO50" i="23"/>
  <c r="AP50" i="23"/>
  <c r="AP68" i="23"/>
  <c r="AN73" i="23"/>
  <c r="AN74" i="23" s="1"/>
  <c r="AQ74" i="23"/>
  <c r="AO74" i="23"/>
  <c r="AP74" i="23"/>
  <c r="N36" i="23"/>
  <c r="D34" i="18"/>
  <c r="Q5" i="23"/>
  <c r="N5" i="23"/>
  <c r="P5" i="23"/>
  <c r="O5" i="23"/>
  <c r="D38" i="23"/>
  <c r="D37" i="23"/>
  <c r="AN75" i="23" s="1"/>
  <c r="O36" i="23"/>
  <c r="D15" i="18"/>
  <c r="P36" i="23"/>
  <c r="R36" i="23"/>
  <c r="S36" i="23"/>
  <c r="Q36" i="23"/>
  <c r="N35" i="23"/>
  <c r="D14" i="18"/>
  <c r="R35" i="23"/>
  <c r="S35" i="23"/>
  <c r="Q35" i="23"/>
  <c r="O35" i="23"/>
  <c r="P35" i="23"/>
  <c r="R34" i="23"/>
  <c r="Q34" i="23"/>
  <c r="S34" i="23"/>
  <c r="D13" i="18"/>
  <c r="O34" i="23"/>
  <c r="P34" i="23"/>
  <c r="D33" i="23"/>
  <c r="AN63" i="23" s="1"/>
  <c r="D32" i="23"/>
  <c r="D31" i="23"/>
  <c r="AN57" i="23" s="1"/>
  <c r="D30" i="23"/>
  <c r="AN54" i="23" s="1"/>
  <c r="AO56" i="23" s="1"/>
  <c r="O29" i="23"/>
  <c r="Q29" i="23"/>
  <c r="P29" i="23"/>
  <c r="R29" i="23"/>
  <c r="D8" i="18"/>
  <c r="S29" i="23"/>
  <c r="O28" i="23"/>
  <c r="P28" i="23"/>
  <c r="R28" i="23"/>
  <c r="S28" i="23"/>
  <c r="Q28" i="23"/>
  <c r="D7" i="18"/>
  <c r="N28" i="23"/>
  <c r="D27" i="23"/>
  <c r="AN45" i="23" s="1"/>
  <c r="R26" i="23"/>
  <c r="O26" i="23"/>
  <c r="S26" i="23"/>
  <c r="P26" i="23"/>
  <c r="Q26" i="23"/>
  <c r="D5" i="18"/>
  <c r="AR13" i="23"/>
  <c r="AO77" i="23" l="1"/>
  <c r="N30" i="23"/>
  <c r="N37" i="23"/>
  <c r="AN64" i="23"/>
  <c r="AN65" i="23" s="1"/>
  <c r="AQ65" i="23"/>
  <c r="AP65" i="23"/>
  <c r="AO65" i="23"/>
  <c r="AQ53" i="23"/>
  <c r="AP53" i="23"/>
  <c r="AN52" i="23"/>
  <c r="AN53" i="23" s="1"/>
  <c r="D4" i="18"/>
  <c r="AN39" i="23"/>
  <c r="O25" i="23"/>
  <c r="S25" i="23"/>
  <c r="R25" i="23"/>
  <c r="Q25" i="23"/>
  <c r="P25" i="23"/>
  <c r="N27" i="23"/>
  <c r="AN55" i="23"/>
  <c r="AN56" i="23" s="1"/>
  <c r="AQ56" i="23"/>
  <c r="AP56" i="23"/>
  <c r="AQ77" i="23"/>
  <c r="AP77" i="23"/>
  <c r="AO53" i="23"/>
  <c r="AN46" i="23"/>
  <c r="AN47" i="23" s="1"/>
  <c r="AQ47" i="23"/>
  <c r="AO47" i="23"/>
  <c r="AP47" i="23"/>
  <c r="AN58" i="23"/>
  <c r="AN59" i="23" s="1"/>
  <c r="AQ59" i="23"/>
  <c r="AP59" i="23"/>
  <c r="N38" i="23"/>
  <c r="AN78" i="23"/>
  <c r="N32" i="23"/>
  <c r="AN60" i="23"/>
  <c r="N25" i="23"/>
  <c r="AN76" i="23"/>
  <c r="AN77" i="23" s="1"/>
  <c r="AO59" i="23"/>
  <c r="D17" i="18"/>
  <c r="Q38" i="23"/>
  <c r="O38" i="23"/>
  <c r="P38" i="23"/>
  <c r="S38" i="23"/>
  <c r="R38" i="23"/>
  <c r="P37" i="23"/>
  <c r="Q37" i="23"/>
  <c r="O37" i="23"/>
  <c r="S37" i="23"/>
  <c r="D16" i="18"/>
  <c r="R37" i="23"/>
  <c r="D17" i="23"/>
  <c r="AF72" i="23" s="1"/>
  <c r="D16" i="23"/>
  <c r="AF69" i="23" s="1"/>
  <c r="D15" i="23"/>
  <c r="AF66" i="23" s="1"/>
  <c r="O33" i="23"/>
  <c r="S33" i="23"/>
  <c r="P33" i="23"/>
  <c r="Q33" i="23"/>
  <c r="D12" i="18"/>
  <c r="R33" i="23"/>
  <c r="N33" i="23"/>
  <c r="O32" i="23"/>
  <c r="S32" i="23"/>
  <c r="D11" i="18"/>
  <c r="R32" i="23"/>
  <c r="Q32" i="23"/>
  <c r="P32" i="23"/>
  <c r="S31" i="23"/>
  <c r="D10" i="18"/>
  <c r="R31" i="23"/>
  <c r="P31" i="23"/>
  <c r="Q31" i="23"/>
  <c r="O31" i="23"/>
  <c r="N31" i="23"/>
  <c r="S30" i="23"/>
  <c r="R30" i="23"/>
  <c r="D9" i="18"/>
  <c r="Q30" i="23"/>
  <c r="O30" i="23"/>
  <c r="P30" i="23"/>
  <c r="D10" i="23"/>
  <c r="AF51" i="23" s="1"/>
  <c r="D9" i="23"/>
  <c r="AF48" i="23" s="1"/>
  <c r="S27" i="23"/>
  <c r="P27" i="23"/>
  <c r="Q27" i="23"/>
  <c r="O27" i="23"/>
  <c r="D6" i="18"/>
  <c r="R27" i="23"/>
  <c r="D7" i="23"/>
  <c r="AF42" i="23" s="1"/>
  <c r="AN79" i="23" l="1"/>
  <c r="AN80" i="23" s="1"/>
  <c r="AQ80" i="23"/>
  <c r="AP80" i="23"/>
  <c r="AO80" i="23"/>
  <c r="AN61" i="23"/>
  <c r="AN62" i="23" s="1"/>
  <c r="AQ62" i="23"/>
  <c r="AP62" i="23"/>
  <c r="AO62" i="23"/>
  <c r="AN40" i="23"/>
  <c r="AN41" i="23" s="1"/>
  <c r="AQ41" i="23"/>
  <c r="AP41" i="23"/>
  <c r="AO41" i="23"/>
  <c r="D46" i="18"/>
  <c r="P17" i="23"/>
  <c r="N17" i="23"/>
  <c r="O17" i="23"/>
  <c r="Q17" i="23"/>
  <c r="D45" i="18"/>
  <c r="N16" i="23"/>
  <c r="O16" i="23"/>
  <c r="P16" i="23"/>
  <c r="Q16" i="23"/>
  <c r="D44" i="18"/>
  <c r="O15" i="23"/>
  <c r="N15" i="23"/>
  <c r="P15" i="23"/>
  <c r="Q15" i="23"/>
  <c r="D39" i="18"/>
  <c r="O10" i="23"/>
  <c r="P10" i="23"/>
  <c r="N10" i="23"/>
  <c r="Q10" i="23"/>
  <c r="D38" i="18"/>
  <c r="P9" i="23"/>
  <c r="Q9" i="23"/>
  <c r="N9" i="23"/>
  <c r="O9" i="23"/>
  <c r="D36" i="18"/>
  <c r="Q7" i="23"/>
  <c r="P7" i="23"/>
  <c r="O7" i="23"/>
  <c r="N7" i="23"/>
  <c r="D19" i="23"/>
  <c r="AF78" i="23" s="1"/>
  <c r="D18" i="23"/>
  <c r="AF75" i="23" s="1"/>
  <c r="D14" i="23"/>
  <c r="AF63" i="23" s="1"/>
  <c r="D13" i="23"/>
  <c r="AF60" i="23" s="1"/>
  <c r="D12" i="23"/>
  <c r="AF57" i="23" s="1"/>
  <c r="D11" i="23"/>
  <c r="AF54" i="23" s="1"/>
  <c r="D8" i="23"/>
  <c r="AF45" i="23" s="1"/>
  <c r="D136" i="16"/>
  <c r="D138" i="16"/>
  <c r="D135" i="16"/>
  <c r="AQ8" i="16" s="1"/>
  <c r="M74" i="16"/>
  <c r="D55" i="16"/>
  <c r="AO72" i="16" s="1"/>
  <c r="AO73" i="16" s="1"/>
  <c r="D82" i="16"/>
  <c r="AQ39" i="16" s="1"/>
  <c r="AQ40" i="16" s="1"/>
  <c r="D83" i="16"/>
  <c r="AQ42" i="16" s="1"/>
  <c r="AQ43" i="16" s="1"/>
  <c r="D84" i="16"/>
  <c r="AQ45" i="16" s="1"/>
  <c r="AQ46" i="16" s="1"/>
  <c r="D85" i="16"/>
  <c r="AQ48" i="16" s="1"/>
  <c r="AQ49" i="16" s="1"/>
  <c r="D86" i="16"/>
  <c r="AQ51" i="16" s="1"/>
  <c r="AQ52" i="16" s="1"/>
  <c r="D87" i="16"/>
  <c r="AQ54" i="16" s="1"/>
  <c r="AQ55" i="16" s="1"/>
  <c r="D88" i="16"/>
  <c r="AQ57" i="16" s="1"/>
  <c r="D89" i="16"/>
  <c r="AQ60" i="16" s="1"/>
  <c r="D90" i="16"/>
  <c r="AQ63" i="16" s="1"/>
  <c r="AQ64" i="16" s="1"/>
  <c r="D91" i="16"/>
  <c r="AQ66" i="16" s="1"/>
  <c r="AQ67" i="16" s="1"/>
  <c r="D92" i="16"/>
  <c r="AQ69" i="16" s="1"/>
  <c r="D94" i="16"/>
  <c r="AQ75" i="16" s="1"/>
  <c r="AQ76" i="16" s="1"/>
  <c r="D95" i="16"/>
  <c r="AQ78" i="16" s="1"/>
  <c r="AQ79" i="16" s="1"/>
  <c r="D81" i="16"/>
  <c r="AQ36" i="16" s="1"/>
  <c r="AQ37" i="16" s="1"/>
  <c r="AQ70" i="16" l="1"/>
  <c r="AQ61" i="16"/>
  <c r="AQ58" i="16"/>
  <c r="E130" i="16"/>
  <c r="D130" i="16" s="1"/>
  <c r="AQ14" i="16"/>
  <c r="E128" i="16"/>
  <c r="H128" i="16" s="1"/>
  <c r="AQ11" i="16"/>
  <c r="D48" i="18"/>
  <c r="O19" i="23"/>
  <c r="P19" i="23"/>
  <c r="Q19" i="23"/>
  <c r="N19" i="23"/>
  <c r="D47" i="18"/>
  <c r="N18" i="23"/>
  <c r="P18" i="23"/>
  <c r="O18" i="23"/>
  <c r="Q18" i="23"/>
  <c r="D43" i="18"/>
  <c r="P14" i="23"/>
  <c r="Q14" i="23"/>
  <c r="O14" i="23"/>
  <c r="N14" i="23"/>
  <c r="D42" i="18"/>
  <c r="O13" i="23"/>
  <c r="P13" i="23"/>
  <c r="N13" i="23"/>
  <c r="Q13" i="23"/>
  <c r="D41" i="18"/>
  <c r="P12" i="23"/>
  <c r="Q12" i="23"/>
  <c r="O12" i="23"/>
  <c r="N12" i="23"/>
  <c r="D40" i="18"/>
  <c r="Q11" i="23"/>
  <c r="N11" i="23"/>
  <c r="P11" i="23"/>
  <c r="O11" i="23"/>
  <c r="D37" i="18"/>
  <c r="O8" i="23"/>
  <c r="Q8" i="23"/>
  <c r="N8" i="23"/>
  <c r="P8" i="23"/>
  <c r="E127" i="16"/>
  <c r="N135" i="16"/>
  <c r="H130" i="16"/>
  <c r="D128" i="16"/>
  <c r="E36" i="16"/>
  <c r="D36" i="16" s="1"/>
  <c r="N94" i="16"/>
  <c r="E75" i="16"/>
  <c r="N85" i="16"/>
  <c r="E66" i="16"/>
  <c r="N92" i="16"/>
  <c r="E73" i="16"/>
  <c r="N84" i="16"/>
  <c r="E65" i="16"/>
  <c r="N91" i="16"/>
  <c r="E72" i="16"/>
  <c r="N83" i="16"/>
  <c r="E64" i="16"/>
  <c r="N90" i="16"/>
  <c r="E71" i="16"/>
  <c r="N82" i="16"/>
  <c r="E63" i="16"/>
  <c r="N89" i="16"/>
  <c r="E70" i="16"/>
  <c r="N95" i="16"/>
  <c r="E76" i="16"/>
  <c r="N88" i="16"/>
  <c r="E69" i="16"/>
  <c r="N86" i="16"/>
  <c r="E67" i="16"/>
  <c r="N81" i="16"/>
  <c r="E62" i="16"/>
  <c r="N87" i="16"/>
  <c r="E68" i="16"/>
  <c r="N138" i="16"/>
  <c r="N136" i="16"/>
  <c r="L74" i="16"/>
  <c r="K74" i="16"/>
  <c r="F15" i="30" l="1"/>
  <c r="AN72" i="16"/>
  <c r="H62" i="16"/>
  <c r="M62" i="16" s="1"/>
  <c r="E122" i="16"/>
  <c r="D122" i="16" s="1"/>
  <c r="AO14" i="16" s="1"/>
  <c r="AP14" i="16"/>
  <c r="E120" i="16"/>
  <c r="D120" i="16" s="1"/>
  <c r="AO11" i="16" s="1"/>
  <c r="AP11" i="16"/>
  <c r="AQ12" i="16"/>
  <c r="AQ9" i="16"/>
  <c r="AQ6" i="16"/>
  <c r="F15" i="18"/>
  <c r="D127" i="16"/>
  <c r="H127" i="16"/>
  <c r="K127" i="16" s="1"/>
  <c r="O36" i="16"/>
  <c r="N36" i="16"/>
  <c r="Q36" i="16"/>
  <c r="R36" i="16"/>
  <c r="P36" i="16"/>
  <c r="S36" i="16"/>
  <c r="H65" i="16"/>
  <c r="D65" i="16"/>
  <c r="D67" i="16"/>
  <c r="H67" i="16"/>
  <c r="D69" i="16"/>
  <c r="H69" i="16"/>
  <c r="D71" i="16"/>
  <c r="H71" i="16"/>
  <c r="H73" i="16"/>
  <c r="D73" i="16"/>
  <c r="D63" i="16"/>
  <c r="H63" i="16"/>
  <c r="D68" i="16"/>
  <c r="H68" i="16"/>
  <c r="D76" i="16"/>
  <c r="H76" i="16"/>
  <c r="D64" i="16"/>
  <c r="H64" i="16"/>
  <c r="H66" i="16"/>
  <c r="K66" i="16" s="1"/>
  <c r="D66" i="16"/>
  <c r="D62" i="16"/>
  <c r="D70" i="16"/>
  <c r="H70" i="16"/>
  <c r="D72" i="16"/>
  <c r="H72" i="16"/>
  <c r="D75" i="16"/>
  <c r="H75" i="16"/>
  <c r="E112" i="16" l="1"/>
  <c r="E57" i="16"/>
  <c r="D57" i="16" s="1"/>
  <c r="AP78" i="16"/>
  <c r="AP79" i="16" s="1"/>
  <c r="E56" i="16"/>
  <c r="D56" i="16" s="1"/>
  <c r="AP75" i="16"/>
  <c r="H15" i="30"/>
  <c r="H15" i="18"/>
  <c r="L15" i="18" s="1"/>
  <c r="AN73" i="16"/>
  <c r="AN74" i="16" s="1"/>
  <c r="AQ74" i="16"/>
  <c r="AP74" i="16"/>
  <c r="AO74" i="16"/>
  <c r="E54" i="16"/>
  <c r="D54" i="16" s="1"/>
  <c r="AP69" i="16"/>
  <c r="AP70" i="16" s="1"/>
  <c r="E53" i="16"/>
  <c r="D53" i="16" s="1"/>
  <c r="AP66" i="16"/>
  <c r="AP67" i="16" s="1"/>
  <c r="E52" i="16"/>
  <c r="D52" i="16" s="1"/>
  <c r="AP63" i="16"/>
  <c r="AP64" i="16" s="1"/>
  <c r="E51" i="16"/>
  <c r="D51" i="16" s="1"/>
  <c r="AP60" i="16"/>
  <c r="AP61" i="16" s="1"/>
  <c r="E50" i="16"/>
  <c r="D50" i="16" s="1"/>
  <c r="AP57" i="16"/>
  <c r="AP58" i="16" s="1"/>
  <c r="E49" i="16"/>
  <c r="D49" i="16" s="1"/>
  <c r="AP54" i="16"/>
  <c r="AP55" i="16" s="1"/>
  <c r="E48" i="16"/>
  <c r="D48" i="16" s="1"/>
  <c r="AP51" i="16"/>
  <c r="AP52" i="16" s="1"/>
  <c r="E47" i="16"/>
  <c r="D47" i="16" s="1"/>
  <c r="AP48" i="16"/>
  <c r="AP49" i="16" s="1"/>
  <c r="E46" i="16"/>
  <c r="D46" i="16" s="1"/>
  <c r="AP45" i="16"/>
  <c r="AP46" i="16" s="1"/>
  <c r="E45" i="16"/>
  <c r="D45" i="16" s="1"/>
  <c r="AP42" i="16"/>
  <c r="E44" i="16"/>
  <c r="D44" i="16" s="1"/>
  <c r="AP39" i="16"/>
  <c r="AP40" i="16" s="1"/>
  <c r="E43" i="16"/>
  <c r="D43" i="16" s="1"/>
  <c r="AP36" i="16"/>
  <c r="AP37" i="16" s="1"/>
  <c r="E119" i="16"/>
  <c r="D119" i="16" s="1"/>
  <c r="AO8" i="16" s="1"/>
  <c r="AP8" i="16"/>
  <c r="E114" i="16"/>
  <c r="K62" i="16"/>
  <c r="AQ15" i="16"/>
  <c r="D17" i="16"/>
  <c r="L67" i="16"/>
  <c r="K67" i="16"/>
  <c r="M67" i="16"/>
  <c r="K72" i="16"/>
  <c r="M72" i="16"/>
  <c r="L72" i="16"/>
  <c r="M66" i="16"/>
  <c r="L66" i="16"/>
  <c r="L75" i="16"/>
  <c r="M75" i="16"/>
  <c r="K63" i="16"/>
  <c r="L63" i="16"/>
  <c r="M63" i="16"/>
  <c r="L64" i="16"/>
  <c r="K64" i="16"/>
  <c r="M64" i="16"/>
  <c r="M70" i="16"/>
  <c r="L70" i="16"/>
  <c r="L73" i="16"/>
  <c r="K73" i="16"/>
  <c r="M73" i="16"/>
  <c r="L65" i="16"/>
  <c r="K65" i="16"/>
  <c r="M65" i="16"/>
  <c r="K76" i="16"/>
  <c r="L76" i="16"/>
  <c r="M76" i="16"/>
  <c r="L71" i="16"/>
  <c r="M71" i="16"/>
  <c r="K71" i="16"/>
  <c r="K75" i="16"/>
  <c r="L62" i="16"/>
  <c r="K70" i="16"/>
  <c r="K68" i="16"/>
  <c r="M68" i="16"/>
  <c r="L68" i="16"/>
  <c r="K69" i="16"/>
  <c r="L69" i="16"/>
  <c r="M69" i="16"/>
  <c r="E111" i="16" l="1"/>
  <c r="E38" i="16"/>
  <c r="D38" i="16" s="1"/>
  <c r="AO78" i="16"/>
  <c r="AO79" i="16" s="1"/>
  <c r="E37" i="16"/>
  <c r="D37" i="16" s="1"/>
  <c r="AO75" i="16"/>
  <c r="AO76" i="16"/>
  <c r="AP76" i="16"/>
  <c r="J15" i="18"/>
  <c r="K15" i="18"/>
  <c r="L15" i="30"/>
  <c r="K15" i="30"/>
  <c r="J15" i="30"/>
  <c r="E35" i="16"/>
  <c r="D35" i="16" s="1"/>
  <c r="AO69" i="16"/>
  <c r="AO70" i="16" s="1"/>
  <c r="E34" i="16"/>
  <c r="D34" i="16" s="1"/>
  <c r="F13" i="18" s="1"/>
  <c r="AO66" i="16"/>
  <c r="E33" i="16"/>
  <c r="AO63" i="16"/>
  <c r="AO64" i="16" s="1"/>
  <c r="E32" i="16"/>
  <c r="D32" i="16" s="1"/>
  <c r="AO60" i="16"/>
  <c r="AO61" i="16" s="1"/>
  <c r="E31" i="16"/>
  <c r="D31" i="16" s="1"/>
  <c r="AO57" i="16"/>
  <c r="AO58" i="16" s="1"/>
  <c r="E30" i="16"/>
  <c r="D30" i="16" s="1"/>
  <c r="F9" i="18" s="1"/>
  <c r="AO54" i="16"/>
  <c r="AO55" i="16" s="1"/>
  <c r="E29" i="16"/>
  <c r="D29" i="16" s="1"/>
  <c r="Q29" i="16" s="1"/>
  <c r="AO51" i="16"/>
  <c r="AO52" i="16" s="1"/>
  <c r="E28" i="16"/>
  <c r="D28" i="16" s="1"/>
  <c r="AO48" i="16"/>
  <c r="AO49" i="16" s="1"/>
  <c r="E27" i="16"/>
  <c r="D27" i="16" s="1"/>
  <c r="P27" i="16" s="1"/>
  <c r="AO45" i="16"/>
  <c r="AO46" i="16" s="1"/>
  <c r="AP43" i="16"/>
  <c r="E26" i="16"/>
  <c r="D26" i="16" s="1"/>
  <c r="AO42" i="16"/>
  <c r="AO43" i="16" s="1"/>
  <c r="E25" i="16"/>
  <c r="D25" i="16" s="1"/>
  <c r="AO39" i="16"/>
  <c r="AO40" i="16" s="1"/>
  <c r="E24" i="16"/>
  <c r="D24" i="16" s="1"/>
  <c r="AO36" i="16"/>
  <c r="AO37" i="16" s="1"/>
  <c r="F46" i="30"/>
  <c r="AF72" i="16"/>
  <c r="O17" i="16"/>
  <c r="P17" i="16"/>
  <c r="Q17" i="16"/>
  <c r="N17" i="16"/>
  <c r="S28" i="16"/>
  <c r="P28" i="16"/>
  <c r="O28" i="16"/>
  <c r="R28" i="16"/>
  <c r="F7" i="18"/>
  <c r="P26" i="16"/>
  <c r="Q37" i="16"/>
  <c r="F16" i="18"/>
  <c r="O37" i="16"/>
  <c r="F3" i="18"/>
  <c r="R24" i="16"/>
  <c r="O24" i="16"/>
  <c r="Q24" i="16"/>
  <c r="S34" i="16"/>
  <c r="R30" i="16"/>
  <c r="Q30" i="16"/>
  <c r="P32" i="16"/>
  <c r="S32" i="16"/>
  <c r="F11" i="18"/>
  <c r="O32" i="16"/>
  <c r="Q32" i="16"/>
  <c r="F14" i="18"/>
  <c r="S35" i="16"/>
  <c r="P35" i="16"/>
  <c r="O35" i="16"/>
  <c r="R35" i="16"/>
  <c r="R25" i="16"/>
  <c r="F4" i="18"/>
  <c r="P25" i="16"/>
  <c r="Q25" i="16"/>
  <c r="R31" i="16"/>
  <c r="S31" i="16"/>
  <c r="Q31" i="16"/>
  <c r="P31" i="16"/>
  <c r="F10" i="18"/>
  <c r="O31" i="16"/>
  <c r="N28" i="16"/>
  <c r="S38" i="16"/>
  <c r="Q38" i="16"/>
  <c r="O38" i="16"/>
  <c r="F17" i="18"/>
  <c r="R38" i="16"/>
  <c r="P38" i="16"/>
  <c r="F46" i="18"/>
  <c r="N30" i="16" l="1"/>
  <c r="S30" i="16"/>
  <c r="Q27" i="16"/>
  <c r="P30" i="16"/>
  <c r="F6" i="18"/>
  <c r="R29" i="16"/>
  <c r="O30" i="16"/>
  <c r="R27" i="16"/>
  <c r="S29" i="16"/>
  <c r="O34" i="16"/>
  <c r="N34" i="16"/>
  <c r="S27" i="16"/>
  <c r="P29" i="16"/>
  <c r="P34" i="16"/>
  <c r="H17" i="18"/>
  <c r="L17" i="18" s="1"/>
  <c r="N38" i="16"/>
  <c r="F17" i="30"/>
  <c r="AN78" i="16"/>
  <c r="AO80" i="16" s="1"/>
  <c r="H16" i="18"/>
  <c r="L16" i="18" s="1"/>
  <c r="N37" i="16"/>
  <c r="F16" i="30"/>
  <c r="AN75" i="16"/>
  <c r="AP77" i="16" s="1"/>
  <c r="S37" i="16"/>
  <c r="R37" i="16"/>
  <c r="P37" i="16"/>
  <c r="H14" i="18"/>
  <c r="L14" i="18" s="1"/>
  <c r="N35" i="16"/>
  <c r="F14" i="30"/>
  <c r="AN69" i="16"/>
  <c r="AO71" i="16"/>
  <c r="Q35" i="16"/>
  <c r="H13" i="18"/>
  <c r="L13" i="18" s="1"/>
  <c r="R34" i="16"/>
  <c r="Q34" i="16"/>
  <c r="AO67" i="16"/>
  <c r="F13" i="30"/>
  <c r="AN66" i="16"/>
  <c r="D33" i="16"/>
  <c r="N33" i="16" s="1"/>
  <c r="H11" i="18"/>
  <c r="L11" i="18" s="1"/>
  <c r="N32" i="16"/>
  <c r="F11" i="30"/>
  <c r="AN60" i="16"/>
  <c r="R32" i="16"/>
  <c r="H10" i="18"/>
  <c r="L10" i="18" s="1"/>
  <c r="AO59" i="16"/>
  <c r="N31" i="16"/>
  <c r="F10" i="30"/>
  <c r="AN57" i="16"/>
  <c r="H9" i="18"/>
  <c r="L9" i="18" s="1"/>
  <c r="F9" i="30"/>
  <c r="AN54" i="16"/>
  <c r="N29" i="16"/>
  <c r="F8" i="30"/>
  <c r="AN51" i="16"/>
  <c r="O29" i="16"/>
  <c r="F8" i="18"/>
  <c r="H7" i="18"/>
  <c r="L7" i="18" s="1"/>
  <c r="F7" i="30"/>
  <c r="AN48" i="16"/>
  <c r="Q28" i="16"/>
  <c r="H6" i="18"/>
  <c r="L6" i="18" s="1"/>
  <c r="N27" i="16"/>
  <c r="F6" i="30"/>
  <c r="AN45" i="16"/>
  <c r="O27" i="16"/>
  <c r="N26" i="16"/>
  <c r="F5" i="30"/>
  <c r="AN42" i="16"/>
  <c r="AP44" i="16" s="1"/>
  <c r="F5" i="18"/>
  <c r="R26" i="16"/>
  <c r="S26" i="16"/>
  <c r="Q26" i="16"/>
  <c r="O26" i="16"/>
  <c r="H4" i="18"/>
  <c r="L4" i="18" s="1"/>
  <c r="N25" i="16"/>
  <c r="F4" i="30"/>
  <c r="AN39" i="16"/>
  <c r="AO41" i="16" s="1"/>
  <c r="S25" i="16"/>
  <c r="O25" i="16"/>
  <c r="N24" i="16"/>
  <c r="F3" i="30"/>
  <c r="AN36" i="16"/>
  <c r="H3" i="18"/>
  <c r="L3" i="18" s="1"/>
  <c r="P24" i="16"/>
  <c r="S24" i="16"/>
  <c r="H46" i="18"/>
  <c r="H46" i="30"/>
  <c r="D19" i="16"/>
  <c r="D12" i="16"/>
  <c r="D6" i="16"/>
  <c r="D14" i="16"/>
  <c r="D13" i="16"/>
  <c r="D15" i="16"/>
  <c r="D5" i="16"/>
  <c r="D16" i="16"/>
  <c r="D8" i="16"/>
  <c r="D10" i="16"/>
  <c r="D11" i="16"/>
  <c r="D18" i="16"/>
  <c r="D7" i="16"/>
  <c r="D9" i="16"/>
  <c r="P135" i="16"/>
  <c r="Q135" i="16"/>
  <c r="R135" i="16"/>
  <c r="S135" i="16"/>
  <c r="P136" i="16"/>
  <c r="Q136" i="16"/>
  <c r="R136" i="16"/>
  <c r="S136" i="16"/>
  <c r="P137" i="16"/>
  <c r="Q137" i="16"/>
  <c r="R137" i="16"/>
  <c r="S137" i="16"/>
  <c r="P138" i="16"/>
  <c r="Q138" i="16"/>
  <c r="R138" i="16"/>
  <c r="S138" i="16"/>
  <c r="O136" i="16"/>
  <c r="O137" i="16"/>
  <c r="O138" i="16"/>
  <c r="O135" i="16"/>
  <c r="D121" i="16"/>
  <c r="K119" i="16"/>
  <c r="K120" i="16"/>
  <c r="K122" i="16"/>
  <c r="J120" i="16"/>
  <c r="J122" i="16"/>
  <c r="J119" i="16"/>
  <c r="D112" i="16"/>
  <c r="D114" i="16"/>
  <c r="D111" i="16"/>
  <c r="P81" i="16"/>
  <c r="Q81" i="16"/>
  <c r="R81" i="16"/>
  <c r="S81" i="16"/>
  <c r="P82" i="16"/>
  <c r="Q82" i="16"/>
  <c r="R82" i="16"/>
  <c r="S82" i="16"/>
  <c r="P83" i="16"/>
  <c r="Q83" i="16"/>
  <c r="R83" i="16"/>
  <c r="S83" i="16"/>
  <c r="P84" i="16"/>
  <c r="Q84" i="16"/>
  <c r="R84" i="16"/>
  <c r="S84" i="16"/>
  <c r="P85" i="16"/>
  <c r="Q85" i="16"/>
  <c r="R85" i="16"/>
  <c r="S85" i="16"/>
  <c r="P86" i="16"/>
  <c r="Q86" i="16"/>
  <c r="R86" i="16"/>
  <c r="S86" i="16"/>
  <c r="P87" i="16"/>
  <c r="Q87" i="16"/>
  <c r="R87" i="16"/>
  <c r="S87" i="16"/>
  <c r="P88" i="16"/>
  <c r="Q88" i="16"/>
  <c r="R88" i="16"/>
  <c r="S88" i="16"/>
  <c r="P89" i="16"/>
  <c r="Q89" i="16"/>
  <c r="R89" i="16"/>
  <c r="S89" i="16"/>
  <c r="P90" i="16"/>
  <c r="Q90" i="16"/>
  <c r="R90" i="16"/>
  <c r="S90" i="16"/>
  <c r="P91" i="16"/>
  <c r="Q91" i="16"/>
  <c r="R91" i="16"/>
  <c r="S91" i="16"/>
  <c r="P92" i="16"/>
  <c r="Q92" i="16"/>
  <c r="R92" i="16"/>
  <c r="S92" i="16"/>
  <c r="P93" i="16"/>
  <c r="Q93" i="16"/>
  <c r="R93" i="16"/>
  <c r="S93" i="16"/>
  <c r="P94" i="16"/>
  <c r="Q94" i="16"/>
  <c r="R94" i="16"/>
  <c r="S94" i="16"/>
  <c r="P95" i="16"/>
  <c r="Q95" i="16"/>
  <c r="R95" i="16"/>
  <c r="S95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81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43" i="16"/>
  <c r="F38" i="30" l="1"/>
  <c r="H38" i="30" s="1"/>
  <c r="AF48" i="16"/>
  <c r="AO77" i="16"/>
  <c r="AN14" i="16"/>
  <c r="F24" i="30"/>
  <c r="AN11" i="16"/>
  <c r="F22" i="30"/>
  <c r="AN8" i="16"/>
  <c r="F21" i="30"/>
  <c r="AN79" i="16"/>
  <c r="AN80" i="16" s="1"/>
  <c r="AQ80" i="16"/>
  <c r="AP80" i="16"/>
  <c r="H17" i="30"/>
  <c r="L17" i="30" s="1"/>
  <c r="J17" i="18"/>
  <c r="K17" i="18"/>
  <c r="H16" i="30"/>
  <c r="L16" i="30" s="1"/>
  <c r="AN76" i="16"/>
  <c r="AN77" i="16" s="1"/>
  <c r="AQ77" i="16"/>
  <c r="K16" i="18"/>
  <c r="J16" i="18"/>
  <c r="AN70" i="16"/>
  <c r="AN71" i="16" s="1"/>
  <c r="AQ71" i="16"/>
  <c r="AP71" i="16"/>
  <c r="K14" i="18"/>
  <c r="J14" i="18"/>
  <c r="H14" i="30"/>
  <c r="L14" i="30" s="1"/>
  <c r="AQ68" i="16"/>
  <c r="AP68" i="16"/>
  <c r="H13" i="30"/>
  <c r="L13" i="30" s="1"/>
  <c r="AO68" i="16"/>
  <c r="AN67" i="16"/>
  <c r="AN68" i="16" s="1"/>
  <c r="K13" i="18"/>
  <c r="J13" i="18"/>
  <c r="F12" i="30"/>
  <c r="AN63" i="16"/>
  <c r="Q33" i="16"/>
  <c r="O33" i="16"/>
  <c r="P33" i="16"/>
  <c r="F12" i="18"/>
  <c r="S33" i="16"/>
  <c r="R33" i="16"/>
  <c r="K11" i="18"/>
  <c r="J11" i="18"/>
  <c r="H11" i="30"/>
  <c r="AN61" i="16"/>
  <c r="AN62" i="16" s="1"/>
  <c r="AQ62" i="16"/>
  <c r="AP62" i="16"/>
  <c r="AO62" i="16"/>
  <c r="AN58" i="16"/>
  <c r="AN59" i="16" s="1"/>
  <c r="AQ59" i="16"/>
  <c r="AP59" i="16"/>
  <c r="H10" i="30"/>
  <c r="J10" i="18"/>
  <c r="K10" i="18"/>
  <c r="J9" i="18"/>
  <c r="K9" i="18"/>
  <c r="AN55" i="16"/>
  <c r="AN56" i="16" s="1"/>
  <c r="AQ56" i="16"/>
  <c r="AP56" i="16"/>
  <c r="H9" i="30"/>
  <c r="L9" i="30" s="1"/>
  <c r="AO56" i="16"/>
  <c r="AN52" i="16"/>
  <c r="AN53" i="16" s="1"/>
  <c r="AQ53" i="16"/>
  <c r="AP53" i="16"/>
  <c r="H8" i="30"/>
  <c r="L8" i="30" s="1"/>
  <c r="H8" i="18"/>
  <c r="L8" i="18" s="1"/>
  <c r="AO53" i="16"/>
  <c r="K7" i="18"/>
  <c r="J7" i="18"/>
  <c r="AN49" i="16"/>
  <c r="AN50" i="16" s="1"/>
  <c r="AQ50" i="16"/>
  <c r="AP50" i="16"/>
  <c r="H7" i="30"/>
  <c r="AO50" i="16"/>
  <c r="AN46" i="16"/>
  <c r="AN47" i="16" s="1"/>
  <c r="AQ47" i="16"/>
  <c r="AP47" i="16"/>
  <c r="J6" i="18"/>
  <c r="K6" i="18"/>
  <c r="H6" i="30"/>
  <c r="L6" i="30" s="1"/>
  <c r="AO47" i="16"/>
  <c r="H5" i="30"/>
  <c r="AN43" i="16"/>
  <c r="AN44" i="16" s="1"/>
  <c r="AQ44" i="16"/>
  <c r="H5" i="18"/>
  <c r="L5" i="18" s="1"/>
  <c r="AO44" i="16"/>
  <c r="AN40" i="16"/>
  <c r="AN41" i="16" s="1"/>
  <c r="AQ41" i="16"/>
  <c r="AP41" i="16"/>
  <c r="H4" i="30"/>
  <c r="K4" i="18"/>
  <c r="J4" i="18"/>
  <c r="AN37" i="16"/>
  <c r="AN38" i="16" s="1"/>
  <c r="AQ38" i="16"/>
  <c r="AP38" i="16"/>
  <c r="H3" i="30"/>
  <c r="L3" i="30" s="1"/>
  <c r="K3" i="18"/>
  <c r="J3" i="18"/>
  <c r="AO38" i="16"/>
  <c r="F48" i="30"/>
  <c r="AF78" i="16"/>
  <c r="F47" i="30"/>
  <c r="AF75" i="16"/>
  <c r="K46" i="18"/>
  <c r="J46" i="18"/>
  <c r="L46" i="18"/>
  <c r="L46" i="30"/>
  <c r="J46" i="30"/>
  <c r="K46" i="30"/>
  <c r="F45" i="30"/>
  <c r="AF69" i="16"/>
  <c r="F44" i="30"/>
  <c r="AF66" i="16"/>
  <c r="F43" i="30"/>
  <c r="AF63" i="16"/>
  <c r="F42" i="30"/>
  <c r="AF60" i="16"/>
  <c r="F41" i="30"/>
  <c r="AF57" i="16"/>
  <c r="F40" i="30"/>
  <c r="AF54" i="16"/>
  <c r="F39" i="30"/>
  <c r="AF51" i="16"/>
  <c r="F37" i="30"/>
  <c r="AF45" i="16"/>
  <c r="F36" i="30"/>
  <c r="AF42" i="16"/>
  <c r="F35" i="30"/>
  <c r="AF39" i="16"/>
  <c r="F34" i="30"/>
  <c r="AF36" i="16"/>
  <c r="P8" i="16"/>
  <c r="Q8" i="16"/>
  <c r="O8" i="16"/>
  <c r="N8" i="16"/>
  <c r="P16" i="16"/>
  <c r="Q16" i="16"/>
  <c r="N16" i="16"/>
  <c r="O16" i="16"/>
  <c r="E113" i="16"/>
  <c r="D113" i="16" s="1"/>
  <c r="F23" i="30" s="1"/>
  <c r="AO5" i="16"/>
  <c r="Q11" i="16"/>
  <c r="N11" i="16"/>
  <c r="O11" i="16"/>
  <c r="P11" i="16"/>
  <c r="N13" i="16"/>
  <c r="Q13" i="16"/>
  <c r="P13" i="16"/>
  <c r="O13" i="16"/>
  <c r="P6" i="16"/>
  <c r="Q6" i="16"/>
  <c r="N6" i="16"/>
  <c r="O6" i="16"/>
  <c r="O9" i="16"/>
  <c r="N9" i="16"/>
  <c r="P9" i="16"/>
  <c r="Q9" i="16"/>
  <c r="Q10" i="16"/>
  <c r="N10" i="16"/>
  <c r="O10" i="16"/>
  <c r="P10" i="16"/>
  <c r="Q7" i="16"/>
  <c r="O7" i="16"/>
  <c r="N7" i="16"/>
  <c r="P7" i="16"/>
  <c r="O5" i="16"/>
  <c r="Q5" i="16"/>
  <c r="N5" i="16"/>
  <c r="P5" i="16"/>
  <c r="Q19" i="16"/>
  <c r="N19" i="16"/>
  <c r="O19" i="16"/>
  <c r="P19" i="16"/>
  <c r="N12" i="16"/>
  <c r="O12" i="16"/>
  <c r="P12" i="16"/>
  <c r="Q12" i="16"/>
  <c r="Q18" i="16"/>
  <c r="N18" i="16"/>
  <c r="O18" i="16"/>
  <c r="P18" i="16"/>
  <c r="O15" i="16"/>
  <c r="N15" i="16"/>
  <c r="Q15" i="16"/>
  <c r="P15" i="16"/>
  <c r="P14" i="16"/>
  <c r="Q14" i="16"/>
  <c r="N14" i="16"/>
  <c r="O14" i="16"/>
  <c r="F45" i="18"/>
  <c r="F41" i="18"/>
  <c r="K121" i="16"/>
  <c r="F36" i="18"/>
  <c r="F43" i="18"/>
  <c r="F22" i="18"/>
  <c r="F44" i="18"/>
  <c r="F40" i="18"/>
  <c r="F37" i="18"/>
  <c r="F34" i="18"/>
  <c r="F47" i="18"/>
  <c r="F39" i="18"/>
  <c r="F42" i="18"/>
  <c r="F35" i="18"/>
  <c r="F48" i="18"/>
  <c r="F38" i="18"/>
  <c r="F21" i="18"/>
  <c r="F24" i="18"/>
  <c r="J121" i="16"/>
  <c r="L127" i="16"/>
  <c r="M127" i="16"/>
  <c r="K130" i="16"/>
  <c r="M130" i="16"/>
  <c r="L130" i="16"/>
  <c r="K129" i="16"/>
  <c r="L129" i="16"/>
  <c r="M129" i="16"/>
  <c r="L128" i="16"/>
  <c r="M128" i="16"/>
  <c r="K128" i="16"/>
  <c r="N112" i="16"/>
  <c r="N111" i="16"/>
  <c r="R112" i="16"/>
  <c r="S114" i="16"/>
  <c r="S112" i="16"/>
  <c r="S111" i="16"/>
  <c r="R111" i="16"/>
  <c r="N114" i="16"/>
  <c r="Q114" i="16"/>
  <c r="Q112" i="16"/>
  <c r="Q111" i="16"/>
  <c r="P114" i="16"/>
  <c r="P112" i="16"/>
  <c r="P111" i="16"/>
  <c r="R114" i="16"/>
  <c r="O114" i="16"/>
  <c r="O112" i="16"/>
  <c r="O111" i="16"/>
  <c r="H38" i="18" l="1"/>
  <c r="L38" i="18" s="1"/>
  <c r="L38" i="30"/>
  <c r="K38" i="30"/>
  <c r="J38" i="30"/>
  <c r="H24" i="18"/>
  <c r="L24" i="18" s="1"/>
  <c r="H24" i="30"/>
  <c r="H23" i="30"/>
  <c r="H22" i="18"/>
  <c r="L22" i="18" s="1"/>
  <c r="H22" i="30"/>
  <c r="L22" i="30" s="1"/>
  <c r="H21" i="18"/>
  <c r="L21" i="18" s="1"/>
  <c r="H21" i="30"/>
  <c r="K17" i="30"/>
  <c r="J17" i="30"/>
  <c r="J16" i="30"/>
  <c r="K16" i="30"/>
  <c r="K14" i="30"/>
  <c r="J14" i="30"/>
  <c r="J13" i="30"/>
  <c r="K13" i="30"/>
  <c r="H12" i="30"/>
  <c r="H12" i="18"/>
  <c r="L12" i="18" s="1"/>
  <c r="AN64" i="16"/>
  <c r="AN65" i="16" s="1"/>
  <c r="AQ65" i="16"/>
  <c r="AP65" i="16"/>
  <c r="AO65" i="16"/>
  <c r="J11" i="30"/>
  <c r="K11" i="30"/>
  <c r="L11" i="30"/>
  <c r="L10" i="30"/>
  <c r="K10" i="30"/>
  <c r="J10" i="30"/>
  <c r="K9" i="30"/>
  <c r="J9" i="30"/>
  <c r="K8" i="18"/>
  <c r="J8" i="18"/>
  <c r="J8" i="30"/>
  <c r="K8" i="30"/>
  <c r="L7" i="30"/>
  <c r="K7" i="30"/>
  <c r="J7" i="30"/>
  <c r="K6" i="30"/>
  <c r="J6" i="30"/>
  <c r="K5" i="18"/>
  <c r="J5" i="18"/>
  <c r="L5" i="30"/>
  <c r="J5" i="30"/>
  <c r="K5" i="30"/>
  <c r="L4" i="30"/>
  <c r="J4" i="30"/>
  <c r="K4" i="30"/>
  <c r="K3" i="30"/>
  <c r="J3" i="30"/>
  <c r="H48" i="18"/>
  <c r="L48" i="18" s="1"/>
  <c r="H48" i="30"/>
  <c r="L48" i="30" s="1"/>
  <c r="H47" i="18"/>
  <c r="L47" i="18" s="1"/>
  <c r="H47" i="30"/>
  <c r="L47" i="30" s="1"/>
  <c r="H45" i="18"/>
  <c r="H45" i="30"/>
  <c r="L45" i="30" s="1"/>
  <c r="H44" i="18"/>
  <c r="L44" i="18" s="1"/>
  <c r="H44" i="30"/>
  <c r="L44" i="30" s="1"/>
  <c r="H43" i="18"/>
  <c r="L43" i="18" s="1"/>
  <c r="H43" i="30"/>
  <c r="H42" i="18"/>
  <c r="L42" i="18" s="1"/>
  <c r="H42" i="30"/>
  <c r="L42" i="30" s="1"/>
  <c r="H41" i="18"/>
  <c r="L41" i="18" s="1"/>
  <c r="H41" i="30"/>
  <c r="H40" i="18"/>
  <c r="L40" i="18" s="1"/>
  <c r="H40" i="30"/>
  <c r="H39" i="18"/>
  <c r="L39" i="18" s="1"/>
  <c r="H39" i="30"/>
  <c r="L39" i="30" s="1"/>
  <c r="H37" i="18"/>
  <c r="L37" i="18" s="1"/>
  <c r="H37" i="30"/>
  <c r="L37" i="30" s="1"/>
  <c r="H36" i="18"/>
  <c r="L36" i="18" s="1"/>
  <c r="H36" i="30"/>
  <c r="L36" i="30" s="1"/>
  <c r="H35" i="18"/>
  <c r="L35" i="18" s="1"/>
  <c r="H35" i="30"/>
  <c r="H34" i="18"/>
  <c r="L34" i="18" s="1"/>
  <c r="H34" i="30"/>
  <c r="L34" i="30" s="1"/>
  <c r="AN5" i="16"/>
  <c r="AN15" i="16"/>
  <c r="AN16" i="16" s="1"/>
  <c r="AQ16" i="16"/>
  <c r="AQ10" i="16"/>
  <c r="D104" i="16"/>
  <c r="F53" i="30" s="1"/>
  <c r="D106" i="16"/>
  <c r="F55" i="30" s="1"/>
  <c r="P113" i="16"/>
  <c r="AN9" i="16"/>
  <c r="AN10" i="16" s="1"/>
  <c r="F23" i="18"/>
  <c r="Q113" i="16"/>
  <c r="O113" i="16"/>
  <c r="R113" i="16"/>
  <c r="N113" i="16"/>
  <c r="S113" i="16"/>
  <c r="AP9" i="16"/>
  <c r="AP10" i="16" s="1"/>
  <c r="AO9" i="16"/>
  <c r="AO10" i="16" s="1"/>
  <c r="AP12" i="16"/>
  <c r="AP13" i="16" s="1"/>
  <c r="AO12" i="16"/>
  <c r="AO13" i="16" s="1"/>
  <c r="AP6" i="16"/>
  <c r="AO6" i="16"/>
  <c r="AP15" i="16"/>
  <c r="AP16" i="16" s="1"/>
  <c r="AO15" i="16"/>
  <c r="AO16" i="16" s="1"/>
  <c r="AN12" i="16"/>
  <c r="AN13" i="16" s="1"/>
  <c r="AQ13" i="16"/>
  <c r="B16" i="1"/>
  <c r="J38" i="18" l="1"/>
  <c r="K38" i="18"/>
  <c r="K24" i="18"/>
  <c r="J24" i="18"/>
  <c r="L24" i="30"/>
  <c r="K24" i="30"/>
  <c r="J24" i="30"/>
  <c r="H23" i="18"/>
  <c r="L23" i="18" s="1"/>
  <c r="L23" i="30"/>
  <c r="J23" i="30"/>
  <c r="K23" i="30"/>
  <c r="K22" i="18"/>
  <c r="J22" i="18"/>
  <c r="J22" i="30"/>
  <c r="K22" i="30"/>
  <c r="K21" i="18"/>
  <c r="J21" i="18"/>
  <c r="L21" i="30"/>
  <c r="J21" i="30"/>
  <c r="K21" i="30"/>
  <c r="J12" i="18"/>
  <c r="K12" i="18"/>
  <c r="L12" i="30"/>
  <c r="J12" i="30"/>
  <c r="K12" i="30"/>
  <c r="H55" i="30"/>
  <c r="L55" i="30" s="1"/>
  <c r="H53" i="30"/>
  <c r="L53" i="30" s="1"/>
  <c r="K48" i="18"/>
  <c r="J48" i="18"/>
  <c r="K48" i="30"/>
  <c r="J48" i="30"/>
  <c r="K47" i="18"/>
  <c r="J47" i="18"/>
  <c r="J47" i="30"/>
  <c r="K47" i="30"/>
  <c r="K45" i="18"/>
  <c r="J45" i="18"/>
  <c r="L45" i="18"/>
  <c r="K45" i="30"/>
  <c r="J45" i="30"/>
  <c r="K44" i="18"/>
  <c r="J44" i="18"/>
  <c r="J44" i="30"/>
  <c r="K44" i="30"/>
  <c r="J43" i="18"/>
  <c r="K43" i="18"/>
  <c r="L43" i="30"/>
  <c r="K43" i="30"/>
  <c r="J43" i="30"/>
  <c r="K42" i="18"/>
  <c r="J42" i="18"/>
  <c r="K42" i="30"/>
  <c r="J42" i="30"/>
  <c r="K41" i="18"/>
  <c r="J41" i="18"/>
  <c r="L41" i="30"/>
  <c r="J41" i="30"/>
  <c r="K41" i="30"/>
  <c r="K40" i="18"/>
  <c r="J40" i="18"/>
  <c r="L40" i="30"/>
  <c r="J40" i="30"/>
  <c r="K40" i="30"/>
  <c r="K39" i="18"/>
  <c r="J39" i="18"/>
  <c r="K39" i="30"/>
  <c r="J39" i="30"/>
  <c r="J37" i="18"/>
  <c r="K37" i="18"/>
  <c r="K37" i="30"/>
  <c r="J37" i="30"/>
  <c r="J36" i="18"/>
  <c r="K36" i="18"/>
  <c r="J36" i="30"/>
  <c r="K36" i="30"/>
  <c r="J35" i="18"/>
  <c r="K35" i="18"/>
  <c r="L35" i="30"/>
  <c r="J35" i="30"/>
  <c r="K35" i="30"/>
  <c r="J34" i="18"/>
  <c r="K34" i="18"/>
  <c r="K34" i="30"/>
  <c r="J34" i="30"/>
  <c r="O104" i="16"/>
  <c r="P104" i="16"/>
  <c r="N104" i="16"/>
  <c r="Q104" i="16"/>
  <c r="Q106" i="16"/>
  <c r="P106" i="16"/>
  <c r="O106" i="16"/>
  <c r="N106" i="16"/>
  <c r="AF11" i="16"/>
  <c r="F53" i="18"/>
  <c r="F55" i="18"/>
  <c r="AF14" i="16"/>
  <c r="D105" i="16"/>
  <c r="F54" i="30" s="1"/>
  <c r="AR10" i="16"/>
  <c r="AR16" i="16"/>
  <c r="AR13" i="16"/>
  <c r="C71" i="4"/>
  <c r="C70" i="4"/>
  <c r="C69" i="4"/>
  <c r="C57" i="4"/>
  <c r="C56" i="4"/>
  <c r="C55" i="4"/>
  <c r="J23" i="18" l="1"/>
  <c r="K23" i="18"/>
  <c r="J55" i="30"/>
  <c r="K55" i="30"/>
  <c r="H55" i="18"/>
  <c r="L55" i="18" s="1"/>
  <c r="H54" i="30"/>
  <c r="H53" i="18"/>
  <c r="L53" i="18" s="1"/>
  <c r="K53" i="30"/>
  <c r="J53" i="30"/>
  <c r="N105" i="16"/>
  <c r="P105" i="16"/>
  <c r="Q105" i="16"/>
  <c r="O105" i="16"/>
  <c r="AO7" i="16"/>
  <c r="F54" i="18"/>
  <c r="AF5" i="16"/>
  <c r="AN6" i="16"/>
  <c r="AN7" i="16" s="1"/>
  <c r="AQ7" i="16"/>
  <c r="AP7" i="16"/>
  <c r="C39" i="4"/>
  <c r="C47" i="4" s="1"/>
  <c r="AJ60" i="29" l="1"/>
  <c r="AJ61" i="29" s="1"/>
  <c r="AJ62" i="29" s="1"/>
  <c r="AJ75" i="28"/>
  <c r="AJ76" i="28" s="1"/>
  <c r="AJ77" i="28" s="1"/>
  <c r="AJ11" i="29"/>
  <c r="AJ12" i="29" s="1"/>
  <c r="AJ13" i="29" s="1"/>
  <c r="AJ39" i="29"/>
  <c r="AJ40" i="29" s="1"/>
  <c r="AJ41" i="29" s="1"/>
  <c r="AJ42" i="28"/>
  <c r="AJ43" i="28" s="1"/>
  <c r="AJ44" i="28" s="1"/>
  <c r="AJ57" i="29"/>
  <c r="AJ58" i="29" s="1"/>
  <c r="AJ59" i="29" s="1"/>
  <c r="AJ36" i="28"/>
  <c r="AJ37" i="28" s="1"/>
  <c r="AJ38" i="28" s="1"/>
  <c r="AI36" i="29"/>
  <c r="AI37" i="29" s="1"/>
  <c r="AI38" i="29" s="1"/>
  <c r="AI66" i="28"/>
  <c r="AJ5" i="29"/>
  <c r="AJ6" i="29" s="1"/>
  <c r="AJ7" i="29" s="1"/>
  <c r="AJ36" i="29"/>
  <c r="AJ37" i="29" s="1"/>
  <c r="AJ38" i="29" s="1"/>
  <c r="AJ14" i="28"/>
  <c r="AJ15" i="28" s="1"/>
  <c r="AJ16" i="28" s="1"/>
  <c r="AJ75" i="29"/>
  <c r="AJ76" i="29" s="1"/>
  <c r="AJ77" i="29" s="1"/>
  <c r="AJ8" i="28"/>
  <c r="AJ9" i="28" s="1"/>
  <c r="AJ10" i="28" s="1"/>
  <c r="AJ78" i="29"/>
  <c r="AJ79" i="29" s="1"/>
  <c r="AJ80" i="29" s="1"/>
  <c r="AJ11" i="28"/>
  <c r="AJ12" i="28" s="1"/>
  <c r="AJ13" i="28" s="1"/>
  <c r="AH75" i="29"/>
  <c r="AJ14" i="29"/>
  <c r="AJ15" i="29" s="1"/>
  <c r="AJ16" i="29" s="1"/>
  <c r="AJ48" i="28"/>
  <c r="AJ49" i="28" s="1"/>
  <c r="AJ50" i="28" s="1"/>
  <c r="AJ48" i="29"/>
  <c r="AJ49" i="29" s="1"/>
  <c r="AJ50" i="29" s="1"/>
  <c r="AJ63" i="29"/>
  <c r="AJ64" i="29" s="1"/>
  <c r="AJ65" i="29" s="1"/>
  <c r="AJ5" i="28"/>
  <c r="AJ6" i="28" s="1"/>
  <c r="AJ7" i="28" s="1"/>
  <c r="AJ66" i="28"/>
  <c r="AJ67" i="28" s="1"/>
  <c r="AJ68" i="28" s="1"/>
  <c r="AJ54" i="29"/>
  <c r="AJ55" i="29" s="1"/>
  <c r="AJ56" i="29" s="1"/>
  <c r="AJ63" i="28"/>
  <c r="AJ64" i="28" s="1"/>
  <c r="AJ65" i="28" s="1"/>
  <c r="AJ78" i="28"/>
  <c r="AJ79" i="28" s="1"/>
  <c r="AJ80" i="28" s="1"/>
  <c r="AJ69" i="28"/>
  <c r="AJ70" i="28" s="1"/>
  <c r="AJ71" i="28" s="1"/>
  <c r="AJ39" i="28"/>
  <c r="AJ40" i="28" s="1"/>
  <c r="AJ41" i="28" s="1"/>
  <c r="AJ57" i="28"/>
  <c r="AJ58" i="28" s="1"/>
  <c r="AJ59" i="28" s="1"/>
  <c r="AJ69" i="29"/>
  <c r="AJ70" i="29" s="1"/>
  <c r="AJ71" i="29" s="1"/>
  <c r="AJ51" i="29"/>
  <c r="AJ52" i="29" s="1"/>
  <c r="AJ53" i="29" s="1"/>
  <c r="AJ72" i="29"/>
  <c r="AJ73" i="29" s="1"/>
  <c r="AJ74" i="29" s="1"/>
  <c r="AI75" i="28"/>
  <c r="AJ60" i="28"/>
  <c r="AJ61" i="28" s="1"/>
  <c r="AJ62" i="28" s="1"/>
  <c r="AI75" i="29"/>
  <c r="AJ45" i="29"/>
  <c r="AJ46" i="29" s="1"/>
  <c r="AJ47" i="29" s="1"/>
  <c r="AJ8" i="29"/>
  <c r="AJ9" i="29" s="1"/>
  <c r="AJ10" i="29" s="1"/>
  <c r="AJ51" i="28"/>
  <c r="AJ52" i="28" s="1"/>
  <c r="AJ53" i="28" s="1"/>
  <c r="AJ45" i="28"/>
  <c r="AJ46" i="28" s="1"/>
  <c r="AJ47" i="28" s="1"/>
  <c r="AJ54" i="28"/>
  <c r="AJ55" i="28" s="1"/>
  <c r="AJ56" i="28" s="1"/>
  <c r="AJ66" i="29"/>
  <c r="AJ67" i="29" s="1"/>
  <c r="AJ68" i="29" s="1"/>
  <c r="AG75" i="29"/>
  <c r="AI36" i="28"/>
  <c r="AI37" i="28" s="1"/>
  <c r="AI38" i="28" s="1"/>
  <c r="AJ42" i="29"/>
  <c r="AJ43" i="29" s="1"/>
  <c r="AJ44" i="29" s="1"/>
  <c r="AJ72" i="28"/>
  <c r="AJ73" i="28" s="1"/>
  <c r="AJ74" i="28" s="1"/>
  <c r="AI69" i="28"/>
  <c r="AI70" i="28" s="1"/>
  <c r="AI71" i="28" s="1"/>
  <c r="AI5" i="28"/>
  <c r="AH36" i="28"/>
  <c r="AH37" i="28" s="1"/>
  <c r="AH38" i="28" s="1"/>
  <c r="AI5" i="29"/>
  <c r="AI45" i="29"/>
  <c r="AI46" i="29" s="1"/>
  <c r="AI47" i="29" s="1"/>
  <c r="AI63" i="28"/>
  <c r="AI64" i="28" s="1"/>
  <c r="AI65" i="28" s="1"/>
  <c r="AI66" i="29"/>
  <c r="AI67" i="29" s="1"/>
  <c r="AI68" i="29" s="1"/>
  <c r="AI45" i="28"/>
  <c r="AI46" i="28" s="1"/>
  <c r="AI47" i="28" s="1"/>
  <c r="AI39" i="28"/>
  <c r="AI40" i="28" s="1"/>
  <c r="AI41" i="28" s="1"/>
  <c r="AI42" i="29"/>
  <c r="AI43" i="29" s="1"/>
  <c r="AI44" i="29" s="1"/>
  <c r="AI78" i="29"/>
  <c r="AI79" i="29" s="1"/>
  <c r="AI80" i="29" s="1"/>
  <c r="AI51" i="28"/>
  <c r="AI51" i="29"/>
  <c r="AI52" i="29" s="1"/>
  <c r="AI53" i="29" s="1"/>
  <c r="AI72" i="29"/>
  <c r="AI57" i="28"/>
  <c r="AI48" i="28"/>
  <c r="AI49" i="28" s="1"/>
  <c r="AI50" i="28" s="1"/>
  <c r="AH66" i="28"/>
  <c r="AH67" i="28" s="1"/>
  <c r="AH68" i="28" s="1"/>
  <c r="AI72" i="28"/>
  <c r="AI48" i="29"/>
  <c r="AI49" i="29" s="1"/>
  <c r="AI50" i="29" s="1"/>
  <c r="AH75" i="28"/>
  <c r="AH76" i="28" s="1"/>
  <c r="AH77" i="28" s="1"/>
  <c r="AH36" i="29"/>
  <c r="AH37" i="29" s="1"/>
  <c r="AH38" i="29" s="1"/>
  <c r="AI57" i="29"/>
  <c r="AH69" i="29"/>
  <c r="AI78" i="28"/>
  <c r="AI42" i="28"/>
  <c r="AI43" i="28" s="1"/>
  <c r="AI44" i="28" s="1"/>
  <c r="AI60" i="28"/>
  <c r="AI14" i="29"/>
  <c r="AI8" i="28"/>
  <c r="AI69" i="29"/>
  <c r="AI60" i="29"/>
  <c r="AI61" i="29" s="1"/>
  <c r="AI62" i="29" s="1"/>
  <c r="AI8" i="29"/>
  <c r="AI54" i="28"/>
  <c r="AI55" i="28" s="1"/>
  <c r="AI56" i="28" s="1"/>
  <c r="AI14" i="28"/>
  <c r="AI15" i="28" s="1"/>
  <c r="AI16" i="28" s="1"/>
  <c r="AI54" i="29"/>
  <c r="AI11" i="28"/>
  <c r="AI12" i="28" s="1"/>
  <c r="AI13" i="28" s="1"/>
  <c r="AI11" i="29"/>
  <c r="AI12" i="29" s="1"/>
  <c r="AI13" i="29" s="1"/>
  <c r="AI39" i="29"/>
  <c r="AI40" i="29" s="1"/>
  <c r="AI41" i="29" s="1"/>
  <c r="AI63" i="29"/>
  <c r="AG14" i="28"/>
  <c r="AH51" i="29"/>
  <c r="AH78" i="29"/>
  <c r="AH79" i="29" s="1"/>
  <c r="AH80" i="29" s="1"/>
  <c r="AH66" i="29"/>
  <c r="AH67" i="29" s="1"/>
  <c r="AH68" i="29" s="1"/>
  <c r="AH14" i="28"/>
  <c r="AH5" i="29"/>
  <c r="AH6" i="29" s="1"/>
  <c r="AH7" i="29" s="1"/>
  <c r="AH51" i="28"/>
  <c r="AH52" i="28" s="1"/>
  <c r="AH53" i="28" s="1"/>
  <c r="AH57" i="28"/>
  <c r="AH58" i="28" s="1"/>
  <c r="AH59" i="28" s="1"/>
  <c r="AH5" i="28"/>
  <c r="AH6" i="28" s="1"/>
  <c r="AH7" i="28" s="1"/>
  <c r="AH45" i="28"/>
  <c r="AH46" i="28" s="1"/>
  <c r="AH47" i="28" s="1"/>
  <c r="AG36" i="29"/>
  <c r="AH45" i="29"/>
  <c r="AH48" i="28"/>
  <c r="AH49" i="28" s="1"/>
  <c r="AH50" i="28" s="1"/>
  <c r="AH72" i="29"/>
  <c r="AH42" i="29"/>
  <c r="AH43" i="29" s="1"/>
  <c r="AH44" i="29" s="1"/>
  <c r="AG66" i="28"/>
  <c r="AH63" i="28"/>
  <c r="AH64" i="28" s="1"/>
  <c r="AH65" i="28" s="1"/>
  <c r="AH39" i="28"/>
  <c r="AG36" i="28"/>
  <c r="AH69" i="28"/>
  <c r="AH54" i="29"/>
  <c r="AH55" i="29" s="1"/>
  <c r="AH56" i="29" s="1"/>
  <c r="AH11" i="28"/>
  <c r="AG72" i="28"/>
  <c r="AH54" i="28"/>
  <c r="AH72" i="28"/>
  <c r="AH73" i="28" s="1"/>
  <c r="AH74" i="28" s="1"/>
  <c r="AH14" i="29"/>
  <c r="AH15" i="29" s="1"/>
  <c r="AH16" i="29" s="1"/>
  <c r="AH48" i="29"/>
  <c r="AH49" i="29" s="1"/>
  <c r="AH50" i="29" s="1"/>
  <c r="AH11" i="29"/>
  <c r="AH12" i="29" s="1"/>
  <c r="AH13" i="29" s="1"/>
  <c r="AH8" i="29"/>
  <c r="AH9" i="29" s="1"/>
  <c r="AH10" i="29" s="1"/>
  <c r="AG69" i="29"/>
  <c r="AG75" i="28"/>
  <c r="AH42" i="28"/>
  <c r="AH8" i="28"/>
  <c r="AH9" i="28" s="1"/>
  <c r="AH10" i="28" s="1"/>
  <c r="AH63" i="29"/>
  <c r="AH64" i="29" s="1"/>
  <c r="AH65" i="29" s="1"/>
  <c r="AH60" i="28"/>
  <c r="AH61" i="28" s="1"/>
  <c r="AH62" i="28" s="1"/>
  <c r="AH39" i="29"/>
  <c r="AH60" i="29"/>
  <c r="AH61" i="29" s="1"/>
  <c r="AH62" i="29" s="1"/>
  <c r="AH57" i="29"/>
  <c r="AH58" i="29" s="1"/>
  <c r="AH59" i="29" s="1"/>
  <c r="AH78" i="28"/>
  <c r="AH79" i="28" s="1"/>
  <c r="AH80" i="28" s="1"/>
  <c r="AG51" i="29"/>
  <c r="AG78" i="29"/>
  <c r="AG42" i="29"/>
  <c r="AG5" i="28"/>
  <c r="AG54" i="29"/>
  <c r="AG51" i="28"/>
  <c r="AG5" i="29"/>
  <c r="AG57" i="28"/>
  <c r="AG66" i="29"/>
  <c r="AG42" i="28"/>
  <c r="AG48" i="28"/>
  <c r="AG69" i="28"/>
  <c r="AG63" i="28"/>
  <c r="AG72" i="29"/>
  <c r="AG45" i="29"/>
  <c r="AG39" i="28"/>
  <c r="AG45" i="28"/>
  <c r="AG11" i="28"/>
  <c r="AG8" i="28"/>
  <c r="AG78" i="28"/>
  <c r="AG60" i="29"/>
  <c r="AG14" i="29"/>
  <c r="AG8" i="29"/>
  <c r="AG63" i="29"/>
  <c r="AG60" i="28"/>
  <c r="AG54" i="28"/>
  <c r="AG39" i="29"/>
  <c r="AG11" i="29"/>
  <c r="AG48" i="29"/>
  <c r="AG57" i="29"/>
  <c r="K55" i="18"/>
  <c r="J55" i="18"/>
  <c r="H54" i="18"/>
  <c r="L54" i="18" s="1"/>
  <c r="L54" i="30"/>
  <c r="J54" i="30"/>
  <c r="K54" i="30"/>
  <c r="K53" i="18"/>
  <c r="J53" i="18"/>
  <c r="AJ5" i="27"/>
  <c r="AJ6" i="27" s="1"/>
  <c r="AJ7" i="27" s="1"/>
  <c r="AJ36" i="27"/>
  <c r="AJ37" i="27" s="1"/>
  <c r="AJ38" i="27" s="1"/>
  <c r="AJ11" i="27"/>
  <c r="AJ12" i="27" s="1"/>
  <c r="AJ13" i="27" s="1"/>
  <c r="AJ45" i="27"/>
  <c r="AJ46" i="27" s="1"/>
  <c r="AJ47" i="27" s="1"/>
  <c r="AI8" i="27"/>
  <c r="AJ14" i="27"/>
  <c r="AJ15" i="27" s="1"/>
  <c r="AJ16" i="27" s="1"/>
  <c r="AJ8" i="27"/>
  <c r="AJ9" i="27" s="1"/>
  <c r="AJ10" i="27" s="1"/>
  <c r="AJ72" i="27"/>
  <c r="AJ73" i="27" s="1"/>
  <c r="AJ74" i="27" s="1"/>
  <c r="AJ69" i="27"/>
  <c r="AJ70" i="27" s="1"/>
  <c r="AJ71" i="27" s="1"/>
  <c r="AI36" i="27"/>
  <c r="AI37" i="27" s="1"/>
  <c r="AI38" i="27" s="1"/>
  <c r="AJ60" i="27"/>
  <c r="AJ61" i="27" s="1"/>
  <c r="AJ62" i="27" s="1"/>
  <c r="AG75" i="23"/>
  <c r="AH72" i="23"/>
  <c r="AG60" i="23"/>
  <c r="AH45" i="23"/>
  <c r="AJ72" i="16"/>
  <c r="AJ73" i="16" s="1"/>
  <c r="AJ74" i="16" s="1"/>
  <c r="AG63" i="16"/>
  <c r="AI45" i="16"/>
  <c r="AJ78" i="23"/>
  <c r="AJ79" i="23" s="1"/>
  <c r="AJ80" i="23" s="1"/>
  <c r="AH48" i="23"/>
  <c r="AJ42" i="27"/>
  <c r="AJ43" i="27" s="1"/>
  <c r="AJ44" i="27" s="1"/>
  <c r="AG72" i="23"/>
  <c r="AI57" i="23"/>
  <c r="AH72" i="16"/>
  <c r="AJ60" i="16"/>
  <c r="AJ61" i="16" s="1"/>
  <c r="AJ62" i="16" s="1"/>
  <c r="AG45" i="16"/>
  <c r="AJ66" i="27"/>
  <c r="AJ67" i="27" s="1"/>
  <c r="AJ68" i="27" s="1"/>
  <c r="AH75" i="16"/>
  <c r="AJ36" i="16"/>
  <c r="AJ37" i="16" s="1"/>
  <c r="AJ38" i="16" s="1"/>
  <c r="AI14" i="27"/>
  <c r="AH60" i="23"/>
  <c r="AG48" i="23"/>
  <c r="AJ51" i="27"/>
  <c r="AJ52" i="27" s="1"/>
  <c r="AJ53" i="27" s="1"/>
  <c r="AJ48" i="27"/>
  <c r="AJ49" i="27" s="1"/>
  <c r="AJ50" i="27" s="1"/>
  <c r="AJ39" i="27"/>
  <c r="AJ40" i="27" s="1"/>
  <c r="AJ41" i="27" s="1"/>
  <c r="AI69" i="23"/>
  <c r="AH57" i="23"/>
  <c r="AJ42" i="23"/>
  <c r="AJ43" i="23" s="1"/>
  <c r="AJ44" i="23" s="1"/>
  <c r="AH60" i="16"/>
  <c r="AI57" i="16"/>
  <c r="AJ42" i="16"/>
  <c r="AJ43" i="16" s="1"/>
  <c r="AJ44" i="16" s="1"/>
  <c r="AJ63" i="23"/>
  <c r="AJ64" i="23" s="1"/>
  <c r="AJ65" i="23" s="1"/>
  <c r="AG51" i="23"/>
  <c r="AJ48" i="16"/>
  <c r="AJ49" i="16" s="1"/>
  <c r="AJ50" i="16" s="1"/>
  <c r="AJ75" i="27"/>
  <c r="AJ76" i="27" s="1"/>
  <c r="AJ77" i="27" s="1"/>
  <c r="AH69" i="23"/>
  <c r="AI42" i="23"/>
  <c r="AJ39" i="23"/>
  <c r="AJ40" i="23" s="1"/>
  <c r="AJ41" i="23" s="1"/>
  <c r="AJ69" i="16"/>
  <c r="AJ70" i="16" s="1"/>
  <c r="AJ71" i="16" s="1"/>
  <c r="AG57" i="16"/>
  <c r="AJ54" i="16"/>
  <c r="AJ55" i="16" s="1"/>
  <c r="AJ56" i="16" s="1"/>
  <c r="AH42" i="16"/>
  <c r="AI78" i="23"/>
  <c r="AI45" i="23"/>
  <c r="AI63" i="16"/>
  <c r="AH36" i="16"/>
  <c r="AJ63" i="27"/>
  <c r="AJ64" i="27" s="1"/>
  <c r="AJ65" i="27" s="1"/>
  <c r="AJ54" i="23"/>
  <c r="AJ55" i="23" s="1"/>
  <c r="AJ56" i="23" s="1"/>
  <c r="AG39" i="23"/>
  <c r="AH36" i="23"/>
  <c r="AI69" i="16"/>
  <c r="AH54" i="16"/>
  <c r="AI51" i="16"/>
  <c r="AI39" i="16"/>
  <c r="AJ57" i="27"/>
  <c r="AJ58" i="27" s="1"/>
  <c r="AJ59" i="27" s="1"/>
  <c r="AI66" i="23"/>
  <c r="AJ75" i="23"/>
  <c r="AJ76" i="23" s="1"/>
  <c r="AJ77" i="23" s="1"/>
  <c r="AG75" i="16"/>
  <c r="AJ45" i="16"/>
  <c r="AJ46" i="16" s="1"/>
  <c r="AJ47" i="16" s="1"/>
  <c r="AJ66" i="23"/>
  <c r="AJ67" i="23" s="1"/>
  <c r="AJ68" i="23" s="1"/>
  <c r="AI54" i="23"/>
  <c r="AJ51" i="23"/>
  <c r="AJ52" i="23" s="1"/>
  <c r="AJ53" i="23" s="1"/>
  <c r="AG36" i="23"/>
  <c r="AJ78" i="16"/>
  <c r="AJ79" i="16" s="1"/>
  <c r="AJ80" i="16" s="1"/>
  <c r="AI75" i="16"/>
  <c r="AG69" i="16"/>
  <c r="AG51" i="16"/>
  <c r="AG39" i="16"/>
  <c r="AJ78" i="27"/>
  <c r="AJ79" i="27" s="1"/>
  <c r="AJ80" i="27" s="1"/>
  <c r="AJ66" i="16"/>
  <c r="AJ67" i="16" s="1"/>
  <c r="AJ68" i="16" s="1"/>
  <c r="AJ54" i="27"/>
  <c r="AJ55" i="27" s="1"/>
  <c r="AJ56" i="27" s="1"/>
  <c r="AG63" i="23"/>
  <c r="AH66" i="16"/>
  <c r="AH48" i="16"/>
  <c r="AI39" i="23"/>
  <c r="AG66" i="16"/>
  <c r="AG66" i="23"/>
  <c r="AH78" i="16"/>
  <c r="AJ36" i="23"/>
  <c r="AJ37" i="23" s="1"/>
  <c r="AJ38" i="23" s="1"/>
  <c r="AG57" i="23"/>
  <c r="AI54" i="27"/>
  <c r="AJ45" i="23"/>
  <c r="AJ46" i="23" s="1"/>
  <c r="AJ47" i="23" s="1"/>
  <c r="AJ57" i="16"/>
  <c r="AJ58" i="16" s="1"/>
  <c r="AJ59" i="16" s="1"/>
  <c r="C101" i="5"/>
  <c r="AG72" i="16"/>
  <c r="AI60" i="16"/>
  <c r="AJ57" i="23"/>
  <c r="AJ58" i="23" s="1"/>
  <c r="AJ59" i="23" s="1"/>
  <c r="AJ72" i="23"/>
  <c r="AJ73" i="23" s="1"/>
  <c r="AJ74" i="23" s="1"/>
  <c r="AI48" i="23"/>
  <c r="AH39" i="16"/>
  <c r="AH69" i="16"/>
  <c r="AH70" i="16" s="1"/>
  <c r="AH71" i="16" s="1"/>
  <c r="AI45" i="27"/>
  <c r="AH8" i="27"/>
  <c r="AH51" i="23"/>
  <c r="AI48" i="16"/>
  <c r="AI42" i="16"/>
  <c r="AI43" i="16" s="1"/>
  <c r="AI44" i="16" s="1"/>
  <c r="AG45" i="23"/>
  <c r="AI72" i="23"/>
  <c r="AI75" i="23"/>
  <c r="AG54" i="23"/>
  <c r="AG54" i="16"/>
  <c r="AJ75" i="16"/>
  <c r="AJ76" i="16" s="1"/>
  <c r="AJ77" i="16" s="1"/>
  <c r="AI72" i="27"/>
  <c r="AI66" i="27"/>
  <c r="AI60" i="23"/>
  <c r="AI36" i="16"/>
  <c r="AG42" i="16"/>
  <c r="AI51" i="23"/>
  <c r="AG69" i="23"/>
  <c r="AH75" i="23"/>
  <c r="AI72" i="16"/>
  <c r="AH42" i="23"/>
  <c r="AH43" i="23" s="1"/>
  <c r="AH44" i="23" s="1"/>
  <c r="AG78" i="23"/>
  <c r="AH78" i="23"/>
  <c r="AH79" i="23" s="1"/>
  <c r="AH80" i="23" s="1"/>
  <c r="AJ60" i="23"/>
  <c r="AJ61" i="23" s="1"/>
  <c r="AJ62" i="23" s="1"/>
  <c r="AI78" i="16"/>
  <c r="AI79" i="16" s="1"/>
  <c r="AI80" i="16" s="1"/>
  <c r="AH39" i="23"/>
  <c r="AH40" i="23" s="1"/>
  <c r="AH41" i="23" s="1"/>
  <c r="AI51" i="27"/>
  <c r="AI52" i="27" s="1"/>
  <c r="AI53" i="27" s="1"/>
  <c r="AI42" i="27"/>
  <c r="AH66" i="23"/>
  <c r="AH67" i="23" s="1"/>
  <c r="AH68" i="23" s="1"/>
  <c r="AG36" i="16"/>
  <c r="AI54" i="16"/>
  <c r="AI55" i="16" s="1"/>
  <c r="AI56" i="16" s="1"/>
  <c r="AJ51" i="16"/>
  <c r="AJ52" i="16" s="1"/>
  <c r="AJ53" i="16" s="1"/>
  <c r="AI63" i="23"/>
  <c r="AJ48" i="23"/>
  <c r="AJ49" i="23" s="1"/>
  <c r="AJ50" i="23" s="1"/>
  <c r="AG42" i="23"/>
  <c r="AJ69" i="23"/>
  <c r="AJ70" i="23" s="1"/>
  <c r="AJ71" i="23" s="1"/>
  <c r="AH45" i="16"/>
  <c r="AG48" i="16"/>
  <c r="AG78" i="16"/>
  <c r="AJ63" i="16"/>
  <c r="AJ64" i="16" s="1"/>
  <c r="AJ65" i="16" s="1"/>
  <c r="AJ39" i="16"/>
  <c r="AJ40" i="16" s="1"/>
  <c r="AJ41" i="16" s="1"/>
  <c r="AH54" i="23"/>
  <c r="AH55" i="23" s="1"/>
  <c r="AH56" i="23" s="1"/>
  <c r="AI78" i="27"/>
  <c r="AI79" i="27" s="1"/>
  <c r="AI80" i="27" s="1"/>
  <c r="AI36" i="23"/>
  <c r="AH51" i="16"/>
  <c r="AH63" i="16"/>
  <c r="AH63" i="23"/>
  <c r="AI66" i="16"/>
  <c r="AH57" i="16"/>
  <c r="AG60" i="16"/>
  <c r="AH14" i="27"/>
  <c r="AI11" i="27"/>
  <c r="AI48" i="27"/>
  <c r="AI5" i="27"/>
  <c r="AI39" i="27"/>
  <c r="AI63" i="27"/>
  <c r="AI69" i="27"/>
  <c r="AI70" i="27" s="1"/>
  <c r="AI71" i="27" s="1"/>
  <c r="AH36" i="27"/>
  <c r="AG14" i="27"/>
  <c r="AI57" i="27"/>
  <c r="AI60" i="27"/>
  <c r="AI75" i="27"/>
  <c r="AH66" i="27"/>
  <c r="AH45" i="27"/>
  <c r="AH54" i="27"/>
  <c r="AH78" i="27"/>
  <c r="AH42" i="27"/>
  <c r="AH51" i="27"/>
  <c r="AG8" i="27"/>
  <c r="AH72" i="27"/>
  <c r="AH39" i="27"/>
  <c r="AH60" i="27"/>
  <c r="AH48" i="27"/>
  <c r="AH63" i="27"/>
  <c r="AH57" i="27"/>
  <c r="AH75" i="27"/>
  <c r="AH11" i="27"/>
  <c r="AG36" i="27"/>
  <c r="AH5" i="27"/>
  <c r="AH69" i="27"/>
  <c r="AG45" i="27"/>
  <c r="AG66" i="27"/>
  <c r="AG42" i="27"/>
  <c r="AG54" i="27"/>
  <c r="AG51" i="27"/>
  <c r="AG78" i="27"/>
  <c r="AG72" i="27"/>
  <c r="AJ8" i="23"/>
  <c r="AJ9" i="23" s="1"/>
  <c r="AJ10" i="23" s="1"/>
  <c r="AG48" i="27"/>
  <c r="AJ14" i="23"/>
  <c r="AJ15" i="23" s="1"/>
  <c r="AJ16" i="23" s="1"/>
  <c r="AG60" i="27"/>
  <c r="AG11" i="27"/>
  <c r="AG75" i="27"/>
  <c r="AJ11" i="23"/>
  <c r="AJ12" i="23" s="1"/>
  <c r="AJ13" i="23" s="1"/>
  <c r="AJ5" i="16"/>
  <c r="AG5" i="27"/>
  <c r="AG63" i="27"/>
  <c r="AJ5" i="23"/>
  <c r="AJ6" i="23" s="1"/>
  <c r="AJ7" i="23" s="1"/>
  <c r="AG39" i="27"/>
  <c r="AG69" i="27"/>
  <c r="AG57" i="27"/>
  <c r="AI5" i="23"/>
  <c r="AI11" i="23"/>
  <c r="AI5" i="16"/>
  <c r="AI14" i="23"/>
  <c r="AH8" i="23"/>
  <c r="AH5" i="23"/>
  <c r="AI8" i="23"/>
  <c r="AH11" i="23"/>
  <c r="AH14" i="23"/>
  <c r="AG14" i="23"/>
  <c r="AG8" i="23"/>
  <c r="AG11" i="23"/>
  <c r="AG5" i="23"/>
  <c r="AJ8" i="16"/>
  <c r="AJ9" i="16" s="1"/>
  <c r="AJ14" i="16"/>
  <c r="AJ15" i="16" s="1"/>
  <c r="AJ16" i="16" s="1"/>
  <c r="AJ11" i="16"/>
  <c r="AJ12" i="16" s="1"/>
  <c r="AJ13" i="16" s="1"/>
  <c r="AH11" i="16"/>
  <c r="AH14" i="16"/>
  <c r="AI14" i="16"/>
  <c r="AI11" i="16"/>
  <c r="AI8" i="16"/>
  <c r="AH8" i="16"/>
  <c r="AG14" i="16"/>
  <c r="AG8" i="16"/>
  <c r="AG11" i="16"/>
  <c r="AH5" i="16"/>
  <c r="AG5" i="16"/>
  <c r="AR7" i="16"/>
  <c r="AJ6" i="16" l="1"/>
  <c r="AJ7" i="16" s="1"/>
  <c r="AH58" i="16"/>
  <c r="AH59" i="16" s="1"/>
  <c r="AI52" i="23"/>
  <c r="AI53" i="23" s="1"/>
  <c r="AI46" i="27"/>
  <c r="AI47" i="27" s="1"/>
  <c r="AG58" i="29"/>
  <c r="AG59" i="29" s="1"/>
  <c r="AF58" i="29"/>
  <c r="AF59" i="29" s="1"/>
  <c r="AG15" i="29"/>
  <c r="AG16" i="29" s="1"/>
  <c r="AF15" i="29"/>
  <c r="AF16" i="29" s="1"/>
  <c r="AF73" i="29"/>
  <c r="AF74" i="29" s="1"/>
  <c r="AG73" i="29"/>
  <c r="AG74" i="29" s="1"/>
  <c r="AF52" i="28"/>
  <c r="AF53" i="28" s="1"/>
  <c r="AG52" i="28"/>
  <c r="AG53" i="28" s="1"/>
  <c r="AH15" i="28"/>
  <c r="AH16" i="28" s="1"/>
  <c r="AI15" i="29"/>
  <c r="AI16" i="29" s="1"/>
  <c r="AI76" i="23"/>
  <c r="AI77" i="23" s="1"/>
  <c r="AF49" i="29"/>
  <c r="AF50" i="29" s="1"/>
  <c r="AG49" i="29"/>
  <c r="AG50" i="29" s="1"/>
  <c r="AG61" i="29"/>
  <c r="AG62" i="29" s="1"/>
  <c r="AF61" i="29"/>
  <c r="AF62" i="29" s="1"/>
  <c r="AG64" i="28"/>
  <c r="AG65" i="28" s="1"/>
  <c r="AF64" i="28"/>
  <c r="AF65" i="28" s="1"/>
  <c r="AF55" i="29"/>
  <c r="AF56" i="29" s="1"/>
  <c r="AG55" i="29"/>
  <c r="AG56" i="29" s="1"/>
  <c r="AH40" i="29"/>
  <c r="AH41" i="29" s="1"/>
  <c r="AH70" i="28"/>
  <c r="AH71" i="28" s="1"/>
  <c r="AH46" i="29"/>
  <c r="AH47" i="29" s="1"/>
  <c r="AI55" i="29"/>
  <c r="AI56" i="29" s="1"/>
  <c r="AI61" i="28"/>
  <c r="AI62" i="28" s="1"/>
  <c r="AI73" i="28"/>
  <c r="AI74" i="28" s="1"/>
  <c r="AI6" i="28"/>
  <c r="AI7" i="28" s="1"/>
  <c r="AG70" i="28"/>
  <c r="AG71" i="28" s="1"/>
  <c r="AF70" i="28"/>
  <c r="AF71" i="28" s="1"/>
  <c r="AF37" i="29"/>
  <c r="AF38" i="29" s="1"/>
  <c r="AG37" i="29"/>
  <c r="AG38" i="29" s="1"/>
  <c r="AH40" i="28"/>
  <c r="AH41" i="28" s="1"/>
  <c r="AH52" i="29"/>
  <c r="AH53" i="29" s="1"/>
  <c r="AI61" i="27"/>
  <c r="AI62" i="27" s="1"/>
  <c r="AI67" i="27"/>
  <c r="AI68" i="27" s="1"/>
  <c r="AF55" i="28"/>
  <c r="AF56" i="28" s="1"/>
  <c r="AG55" i="28"/>
  <c r="AG56" i="28" s="1"/>
  <c r="AG12" i="28"/>
  <c r="AG13" i="28" s="1"/>
  <c r="AF12" i="28"/>
  <c r="AF13" i="28" s="1"/>
  <c r="AF43" i="28"/>
  <c r="AF44" i="28" s="1"/>
  <c r="AG43" i="28"/>
  <c r="AG44" i="28" s="1"/>
  <c r="AG79" i="29"/>
  <c r="AG80" i="29" s="1"/>
  <c r="AF79" i="29"/>
  <c r="AF80" i="29" s="1"/>
  <c r="AG15" i="28"/>
  <c r="AG16" i="28" s="1"/>
  <c r="AF15" i="28"/>
  <c r="AF16" i="28" s="1"/>
  <c r="AI9" i="29"/>
  <c r="AI10" i="29" s="1"/>
  <c r="AH70" i="29"/>
  <c r="AH71" i="29" s="1"/>
  <c r="AI58" i="28"/>
  <c r="AI59" i="28" s="1"/>
  <c r="AF12" i="29"/>
  <c r="AF13" i="29" s="1"/>
  <c r="AG12" i="29"/>
  <c r="AG13" i="29" s="1"/>
  <c r="AG79" i="28"/>
  <c r="AG80" i="28" s="1"/>
  <c r="AF79" i="28"/>
  <c r="AF80" i="28" s="1"/>
  <c r="AF6" i="28"/>
  <c r="AF7" i="28" s="1"/>
  <c r="AG6" i="28"/>
  <c r="AG7" i="28" s="1"/>
  <c r="AF37" i="28"/>
  <c r="AF38" i="28" s="1"/>
  <c r="AG37" i="28"/>
  <c r="AG38" i="28" s="1"/>
  <c r="AG40" i="29"/>
  <c r="AG41" i="29" s="1"/>
  <c r="AF40" i="29"/>
  <c r="AF41" i="29" s="1"/>
  <c r="AF9" i="28"/>
  <c r="AF10" i="28" s="1"/>
  <c r="AK10" i="28" s="1"/>
  <c r="AG9" i="28"/>
  <c r="AG10" i="28" s="1"/>
  <c r="AF49" i="28"/>
  <c r="AF50" i="28" s="1"/>
  <c r="AG49" i="28"/>
  <c r="AG50" i="28" s="1"/>
  <c r="AF43" i="29"/>
  <c r="AF44" i="29" s="1"/>
  <c r="AG43" i="29"/>
  <c r="AG44" i="29" s="1"/>
  <c r="AI79" i="28"/>
  <c r="AI80" i="28" s="1"/>
  <c r="AI73" i="16"/>
  <c r="AI74" i="16" s="1"/>
  <c r="AF61" i="28"/>
  <c r="AF62" i="28" s="1"/>
  <c r="AG61" i="28"/>
  <c r="AG62" i="28" s="1"/>
  <c r="AG46" i="28"/>
  <c r="AG47" i="28" s="1"/>
  <c r="AF46" i="28"/>
  <c r="AF47" i="28" s="1"/>
  <c r="AF67" i="29"/>
  <c r="AF68" i="29" s="1"/>
  <c r="AG67" i="29"/>
  <c r="AG68" i="29" s="1"/>
  <c r="AG52" i="29"/>
  <c r="AG53" i="29" s="1"/>
  <c r="AF52" i="29"/>
  <c r="AF53" i="29" s="1"/>
  <c r="AH43" i="28"/>
  <c r="AH44" i="28" s="1"/>
  <c r="AH55" i="28"/>
  <c r="AH56" i="28" s="1"/>
  <c r="AG67" i="28"/>
  <c r="AG68" i="28" s="1"/>
  <c r="AF67" i="28"/>
  <c r="AF68" i="28" s="1"/>
  <c r="AI64" i="29"/>
  <c r="AI65" i="29" s="1"/>
  <c r="AI58" i="29"/>
  <c r="AI59" i="29" s="1"/>
  <c r="AI73" i="29"/>
  <c r="AI74" i="29" s="1"/>
  <c r="AI76" i="29"/>
  <c r="AI77" i="29" s="1"/>
  <c r="AG64" i="29"/>
  <c r="AG65" i="29" s="1"/>
  <c r="AF64" i="29"/>
  <c r="AF65" i="29" s="1"/>
  <c r="AG40" i="28"/>
  <c r="AG41" i="28" s="1"/>
  <c r="AF40" i="28"/>
  <c r="AF41" i="28" s="1"/>
  <c r="AG58" i="28"/>
  <c r="AG59" i="28" s="1"/>
  <c r="AF58" i="28"/>
  <c r="AF59" i="28" s="1"/>
  <c r="AF76" i="28"/>
  <c r="AF77" i="28" s="1"/>
  <c r="AG76" i="28"/>
  <c r="AG77" i="28" s="1"/>
  <c r="AG73" i="28"/>
  <c r="AG74" i="28" s="1"/>
  <c r="AF73" i="28"/>
  <c r="AF74" i="28" s="1"/>
  <c r="AI70" i="29"/>
  <c r="AI71" i="29" s="1"/>
  <c r="AG76" i="29"/>
  <c r="AG77" i="29" s="1"/>
  <c r="AF76" i="29"/>
  <c r="AF77" i="29" s="1"/>
  <c r="AI55" i="23"/>
  <c r="AI56" i="23" s="1"/>
  <c r="AI43" i="23"/>
  <c r="AI44" i="23" s="1"/>
  <c r="AF9" i="29"/>
  <c r="AF10" i="29" s="1"/>
  <c r="AG9" i="29"/>
  <c r="AG10" i="29" s="1"/>
  <c r="AG46" i="29"/>
  <c r="AG47" i="29" s="1"/>
  <c r="AF46" i="29"/>
  <c r="AF47" i="29" s="1"/>
  <c r="AF6" i="29"/>
  <c r="AF7" i="29" s="1"/>
  <c r="AG6" i="29"/>
  <c r="AG7" i="29" s="1"/>
  <c r="AG70" i="29"/>
  <c r="AG71" i="29" s="1"/>
  <c r="AF70" i="29"/>
  <c r="AF71" i="29" s="1"/>
  <c r="AH12" i="28"/>
  <c r="AH13" i="28" s="1"/>
  <c r="AH73" i="29"/>
  <c r="AH74" i="29" s="1"/>
  <c r="AI9" i="28"/>
  <c r="AI10" i="28" s="1"/>
  <c r="AI52" i="28"/>
  <c r="AI53" i="28" s="1"/>
  <c r="AI6" i="29"/>
  <c r="AI7" i="29" s="1"/>
  <c r="AI76" i="28"/>
  <c r="AI77" i="28" s="1"/>
  <c r="AH76" i="29"/>
  <c r="AH77" i="29" s="1"/>
  <c r="AI67" i="28"/>
  <c r="AI68" i="28" s="1"/>
  <c r="AI55" i="27"/>
  <c r="AI56" i="27" s="1"/>
  <c r="AH58" i="23"/>
  <c r="AH59" i="23" s="1"/>
  <c r="AG6" i="16"/>
  <c r="AG7" i="16" s="1"/>
  <c r="AI67" i="16"/>
  <c r="AI68" i="16" s="1"/>
  <c r="K54" i="18"/>
  <c r="J54" i="18"/>
  <c r="AH76" i="27"/>
  <c r="AH77" i="27" s="1"/>
  <c r="AH43" i="27"/>
  <c r="AH44" i="27" s="1"/>
  <c r="AH40" i="27"/>
  <c r="AH41" i="27" s="1"/>
  <c r="AI6" i="27"/>
  <c r="AI7" i="27" s="1"/>
  <c r="AI58" i="27"/>
  <c r="AI59" i="27" s="1"/>
  <c r="AI73" i="27"/>
  <c r="AI74" i="27" s="1"/>
  <c r="AH52" i="27"/>
  <c r="AH53" i="27" s="1"/>
  <c r="AH46" i="27"/>
  <c r="AH47" i="27" s="1"/>
  <c r="AH15" i="27"/>
  <c r="AH16" i="27" s="1"/>
  <c r="AH12" i="27"/>
  <c r="AH13" i="27" s="1"/>
  <c r="AH52" i="16"/>
  <c r="AH53" i="16" s="1"/>
  <c r="AI12" i="27"/>
  <c r="AI13" i="27" s="1"/>
  <c r="AI61" i="16"/>
  <c r="AI62" i="16" s="1"/>
  <c r="AI64" i="27"/>
  <c r="AI65" i="27" s="1"/>
  <c r="AH9" i="23"/>
  <c r="AH10" i="23" s="1"/>
  <c r="AH70" i="27"/>
  <c r="AH71" i="27" s="1"/>
  <c r="AH46" i="16"/>
  <c r="AH47" i="16" s="1"/>
  <c r="AI6" i="16"/>
  <c r="AI7" i="16" s="1"/>
  <c r="AH64" i="27"/>
  <c r="AH65" i="27" s="1"/>
  <c r="AH37" i="27"/>
  <c r="AH38" i="27" s="1"/>
  <c r="AI79" i="23"/>
  <c r="AI80" i="23" s="1"/>
  <c r="AI76" i="27"/>
  <c r="AI77" i="27" s="1"/>
  <c r="AH6" i="23"/>
  <c r="AH7" i="23" s="1"/>
  <c r="AI49" i="27"/>
  <c r="AI50" i="27" s="1"/>
  <c r="AI61" i="23"/>
  <c r="AI62" i="23" s="1"/>
  <c r="AI49" i="23"/>
  <c r="AI50" i="23" s="1"/>
  <c r="AH49" i="16"/>
  <c r="AH50" i="16" s="1"/>
  <c r="AI40" i="16"/>
  <c r="AI41" i="16" s="1"/>
  <c r="AI70" i="23"/>
  <c r="AI71" i="23" s="1"/>
  <c r="AH46" i="23"/>
  <c r="AH47" i="23" s="1"/>
  <c r="AI37" i="23"/>
  <c r="AI38" i="23" s="1"/>
  <c r="AI9" i="16"/>
  <c r="AH79" i="27"/>
  <c r="AH80" i="27" s="1"/>
  <c r="AH76" i="23"/>
  <c r="AH77" i="23" s="1"/>
  <c r="AH9" i="27"/>
  <c r="AH10" i="27" s="1"/>
  <c r="AH15" i="23"/>
  <c r="AH16" i="23" s="1"/>
  <c r="AI64" i="23"/>
  <c r="AI65" i="23" s="1"/>
  <c r="AI40" i="23"/>
  <c r="AI41" i="23" s="1"/>
  <c r="AH73" i="27"/>
  <c r="AH74" i="27" s="1"/>
  <c r="AH64" i="16"/>
  <c r="AH65" i="16" s="1"/>
  <c r="AH67" i="16"/>
  <c r="AH68" i="16" s="1"/>
  <c r="AI52" i="16"/>
  <c r="AI53" i="16" s="1"/>
  <c r="AH37" i="16"/>
  <c r="AH38" i="16" s="1"/>
  <c r="AH52" i="23"/>
  <c r="AH53" i="23" s="1"/>
  <c r="AH79" i="16"/>
  <c r="AH80" i="16" s="1"/>
  <c r="AI12" i="23"/>
  <c r="AI13" i="23" s="1"/>
  <c r="AG9" i="16"/>
  <c r="AF70" i="27"/>
  <c r="AF71" i="27" s="1"/>
  <c r="AG70" i="27"/>
  <c r="AG71" i="27" s="1"/>
  <c r="AF37" i="16"/>
  <c r="AF38" i="16" s="1"/>
  <c r="AG37" i="16"/>
  <c r="AG38" i="16" s="1"/>
  <c r="AG46" i="23"/>
  <c r="AG47" i="23" s="1"/>
  <c r="AF46" i="23"/>
  <c r="AF47" i="23" s="1"/>
  <c r="AF61" i="23"/>
  <c r="AF62" i="23" s="1"/>
  <c r="AG61" i="23"/>
  <c r="AG62" i="23" s="1"/>
  <c r="AH9" i="16"/>
  <c r="AI15" i="23"/>
  <c r="AI16" i="23" s="1"/>
  <c r="AF61" i="27"/>
  <c r="AF62" i="27" s="1"/>
  <c r="AG61" i="27"/>
  <c r="AG62" i="27" s="1"/>
  <c r="AG43" i="27"/>
  <c r="AG44" i="27" s="1"/>
  <c r="AF43" i="27"/>
  <c r="AF44" i="27" s="1"/>
  <c r="AH58" i="27"/>
  <c r="AH59" i="27" s="1"/>
  <c r="AG15" i="27"/>
  <c r="AG16" i="27" s="1"/>
  <c r="AF15" i="27"/>
  <c r="AF16" i="27" s="1"/>
  <c r="AI43" i="27"/>
  <c r="AI44" i="27" s="1"/>
  <c r="AI49" i="16"/>
  <c r="AI50" i="16" s="1"/>
  <c r="AG64" i="23"/>
  <c r="AG65" i="23" s="1"/>
  <c r="AF64" i="23"/>
  <c r="AF65" i="23" s="1"/>
  <c r="AI76" i="16"/>
  <c r="AI77" i="16" s="1"/>
  <c r="AG76" i="16"/>
  <c r="AG77" i="16" s="1"/>
  <c r="AF76" i="16"/>
  <c r="AF77" i="16" s="1"/>
  <c r="AH55" i="16"/>
  <c r="AH56" i="16" s="1"/>
  <c r="AI64" i="16"/>
  <c r="AI65" i="16" s="1"/>
  <c r="AH76" i="16"/>
  <c r="AH77" i="16" s="1"/>
  <c r="AH73" i="23"/>
  <c r="AH74" i="23" s="1"/>
  <c r="AI9" i="27"/>
  <c r="AI10" i="27" s="1"/>
  <c r="AG9" i="27"/>
  <c r="AG10" i="27" s="1"/>
  <c r="AF9" i="27"/>
  <c r="AF10" i="27" s="1"/>
  <c r="AG15" i="16"/>
  <c r="AG16" i="16" s="1"/>
  <c r="AF15" i="16"/>
  <c r="AF16" i="16" s="1"/>
  <c r="AG67" i="27"/>
  <c r="AG68" i="27" s="1"/>
  <c r="AF67" i="27"/>
  <c r="AF68" i="27" s="1"/>
  <c r="AF61" i="16"/>
  <c r="AF62" i="16" s="1"/>
  <c r="AG61" i="16"/>
  <c r="AG62" i="16" s="1"/>
  <c r="AF43" i="23"/>
  <c r="AF44" i="23" s="1"/>
  <c r="AG43" i="23"/>
  <c r="AG44" i="23" s="1"/>
  <c r="AI70" i="16"/>
  <c r="AI71" i="16" s="1"/>
  <c r="AI46" i="23"/>
  <c r="AI47" i="23" s="1"/>
  <c r="AG46" i="16"/>
  <c r="AG47" i="16" s="1"/>
  <c r="AF46" i="16"/>
  <c r="AF47" i="16" s="1"/>
  <c r="AF76" i="23"/>
  <c r="AF77" i="23" s="1"/>
  <c r="AG76" i="23"/>
  <c r="AG77" i="23" s="1"/>
  <c r="AF12" i="27"/>
  <c r="AF13" i="27" s="1"/>
  <c r="AG12" i="27"/>
  <c r="AG13" i="27" s="1"/>
  <c r="AF58" i="23"/>
  <c r="AF59" i="23" s="1"/>
  <c r="AG58" i="23"/>
  <c r="AG59" i="23" s="1"/>
  <c r="AF52" i="23"/>
  <c r="AF53" i="23" s="1"/>
  <c r="AG52" i="23"/>
  <c r="AG53" i="23" s="1"/>
  <c r="AF64" i="27"/>
  <c r="AF65" i="27" s="1"/>
  <c r="AG64" i="27"/>
  <c r="AG65" i="27" s="1"/>
  <c r="AF6" i="16"/>
  <c r="AF7" i="16" s="1"/>
  <c r="AI12" i="16"/>
  <c r="AI13" i="16" s="1"/>
  <c r="AG6" i="23"/>
  <c r="AG7" i="23" s="1"/>
  <c r="AF6" i="23"/>
  <c r="AF7" i="23" s="1"/>
  <c r="AG15" i="23"/>
  <c r="AG16" i="23" s="1"/>
  <c r="AF15" i="23"/>
  <c r="AF16" i="23" s="1"/>
  <c r="AG6" i="27"/>
  <c r="AG7" i="27" s="1"/>
  <c r="AF6" i="27"/>
  <c r="AF7" i="27" s="1"/>
  <c r="AF49" i="27"/>
  <c r="AF50" i="27" s="1"/>
  <c r="AG49" i="27"/>
  <c r="AG50" i="27" s="1"/>
  <c r="AF46" i="27"/>
  <c r="AF47" i="27" s="1"/>
  <c r="AG46" i="27"/>
  <c r="AG47" i="27" s="1"/>
  <c r="AH49" i="27"/>
  <c r="AH50" i="27" s="1"/>
  <c r="AH55" i="27"/>
  <c r="AH56" i="27" s="1"/>
  <c r="AG70" i="23"/>
  <c r="AG71" i="23" s="1"/>
  <c r="AF70" i="23"/>
  <c r="AF71" i="23" s="1"/>
  <c r="AF55" i="16"/>
  <c r="AF56" i="16" s="1"/>
  <c r="AG55" i="16"/>
  <c r="AG56" i="16" s="1"/>
  <c r="AF73" i="16"/>
  <c r="AF74" i="16" s="1"/>
  <c r="AG73" i="16"/>
  <c r="AG74" i="16" s="1"/>
  <c r="AG67" i="23"/>
  <c r="AG68" i="23" s="1"/>
  <c r="AF67" i="23"/>
  <c r="AF68" i="23" s="1"/>
  <c r="AF37" i="23"/>
  <c r="AF38" i="23" s="1"/>
  <c r="AG37" i="23"/>
  <c r="AG38" i="23" s="1"/>
  <c r="AH37" i="23"/>
  <c r="AH38" i="23" s="1"/>
  <c r="AH70" i="23"/>
  <c r="AH71" i="23" s="1"/>
  <c r="AI58" i="16"/>
  <c r="AI59" i="16" s="1"/>
  <c r="AH49" i="23"/>
  <c r="AH50" i="23" s="1"/>
  <c r="AG52" i="27"/>
  <c r="AG53" i="27" s="1"/>
  <c r="AF52" i="27"/>
  <c r="AF53" i="27" s="1"/>
  <c r="AF79" i="23"/>
  <c r="AF80" i="23" s="1"/>
  <c r="AG79" i="23"/>
  <c r="AG80" i="23" s="1"/>
  <c r="AG58" i="16"/>
  <c r="AG59" i="16" s="1"/>
  <c r="AF58" i="16"/>
  <c r="AF59" i="16" s="1"/>
  <c r="AG12" i="23"/>
  <c r="AG13" i="23" s="1"/>
  <c r="AF12" i="23"/>
  <c r="AF13" i="23" s="1"/>
  <c r="AH61" i="27"/>
  <c r="AH62" i="27" s="1"/>
  <c r="AG55" i="23"/>
  <c r="AG56" i="23" s="1"/>
  <c r="AF55" i="23"/>
  <c r="AF56" i="23" s="1"/>
  <c r="AF67" i="16"/>
  <c r="AF68" i="16" s="1"/>
  <c r="AG67" i="16"/>
  <c r="AG68" i="16" s="1"/>
  <c r="AG40" i="23"/>
  <c r="AG41" i="23" s="1"/>
  <c r="AF40" i="23"/>
  <c r="AF41" i="23" s="1"/>
  <c r="AH61" i="16"/>
  <c r="AH62" i="16" s="1"/>
  <c r="AG49" i="23"/>
  <c r="AG50" i="23" s="1"/>
  <c r="AF49" i="23"/>
  <c r="AF50" i="23" s="1"/>
  <c r="AH73" i="16"/>
  <c r="AH74" i="16" s="1"/>
  <c r="AI46" i="16"/>
  <c r="AI47" i="16" s="1"/>
  <c r="AG9" i="23"/>
  <c r="AG10" i="23" s="1"/>
  <c r="AF9" i="23"/>
  <c r="AI15" i="16"/>
  <c r="AI16" i="16" s="1"/>
  <c r="AH6" i="16"/>
  <c r="AH7" i="16" s="1"/>
  <c r="AH15" i="16"/>
  <c r="AH16" i="16" s="1"/>
  <c r="AH12" i="23"/>
  <c r="AH13" i="23" s="1"/>
  <c r="AI6" i="23"/>
  <c r="AI7" i="23" s="1"/>
  <c r="AG73" i="27"/>
  <c r="AG74" i="27" s="1"/>
  <c r="AF73" i="27"/>
  <c r="AF74" i="27" s="1"/>
  <c r="AH6" i="27"/>
  <c r="AH7" i="27" s="1"/>
  <c r="AH67" i="27"/>
  <c r="AH68" i="27" s="1"/>
  <c r="AI40" i="27"/>
  <c r="AI41" i="27" s="1"/>
  <c r="AH64" i="23"/>
  <c r="AH65" i="23" s="1"/>
  <c r="AF79" i="16"/>
  <c r="AF80" i="16" s="1"/>
  <c r="AG79" i="16"/>
  <c r="AG80" i="16" s="1"/>
  <c r="AG43" i="16"/>
  <c r="AG44" i="16" s="1"/>
  <c r="AF43" i="16"/>
  <c r="AF44" i="16" s="1"/>
  <c r="AI67" i="23"/>
  <c r="AI68" i="23" s="1"/>
  <c r="AH43" i="16"/>
  <c r="AH44" i="16" s="1"/>
  <c r="AH61" i="23"/>
  <c r="AH62" i="23" s="1"/>
  <c r="AI58" i="23"/>
  <c r="AI59" i="23" s="1"/>
  <c r="AF64" i="16"/>
  <c r="AF65" i="16" s="1"/>
  <c r="AG64" i="16"/>
  <c r="AG65" i="16" s="1"/>
  <c r="AF52" i="16"/>
  <c r="AF53" i="16" s="1"/>
  <c r="AG52" i="16"/>
  <c r="AG53" i="16" s="1"/>
  <c r="AG40" i="27"/>
  <c r="AG41" i="27" s="1"/>
  <c r="AF40" i="27"/>
  <c r="AF41" i="27" s="1"/>
  <c r="AG55" i="27"/>
  <c r="AG56" i="27" s="1"/>
  <c r="AF55" i="27"/>
  <c r="AF56" i="27" s="1"/>
  <c r="AF70" i="16"/>
  <c r="AF71" i="16" s="1"/>
  <c r="AG70" i="16"/>
  <c r="AG71" i="16" s="1"/>
  <c r="AG12" i="16"/>
  <c r="AG13" i="16" s="1"/>
  <c r="AF12" i="16"/>
  <c r="AF13" i="16" s="1"/>
  <c r="AH12" i="16"/>
  <c r="AH13" i="16" s="1"/>
  <c r="AI9" i="23"/>
  <c r="AI10" i="23" s="1"/>
  <c r="AF58" i="27"/>
  <c r="AF59" i="27" s="1"/>
  <c r="AG58" i="27"/>
  <c r="AG59" i="27" s="1"/>
  <c r="AG76" i="27"/>
  <c r="AG77" i="27" s="1"/>
  <c r="AF76" i="27"/>
  <c r="AF77" i="27" s="1"/>
  <c r="AG79" i="27"/>
  <c r="AG80" i="27" s="1"/>
  <c r="AF79" i="27"/>
  <c r="AF80" i="27" s="1"/>
  <c r="AG37" i="27"/>
  <c r="AG38" i="27" s="1"/>
  <c r="AF37" i="27"/>
  <c r="AF38" i="27" s="1"/>
  <c r="AG49" i="16"/>
  <c r="AG50" i="16" s="1"/>
  <c r="AF49" i="16"/>
  <c r="AF50" i="16" s="1"/>
  <c r="AI37" i="16"/>
  <c r="AI38" i="16" s="1"/>
  <c r="AI73" i="23"/>
  <c r="AI74" i="23" s="1"/>
  <c r="AH40" i="16"/>
  <c r="AH41" i="16" s="1"/>
  <c r="AF40" i="16"/>
  <c r="AF41" i="16" s="1"/>
  <c r="AG40" i="16"/>
  <c r="AG41" i="16" s="1"/>
  <c r="AI15" i="27"/>
  <c r="AI16" i="27" s="1"/>
  <c r="AG73" i="23"/>
  <c r="AG74" i="23" s="1"/>
  <c r="AF73" i="23"/>
  <c r="AF74" i="23" s="1"/>
  <c r="AK7" i="29" l="1"/>
  <c r="AK7" i="28"/>
  <c r="AK16" i="28"/>
  <c r="AK16" i="29"/>
  <c r="AK10" i="29"/>
  <c r="AK13" i="29"/>
  <c r="AK13" i="28"/>
  <c r="AK7" i="27"/>
  <c r="AK16" i="27"/>
  <c r="AK13" i="27"/>
  <c r="AK10" i="27"/>
  <c r="AK7" i="16"/>
  <c r="AK16" i="23"/>
  <c r="AK7" i="23"/>
  <c r="AK10" i="23"/>
  <c r="AK13" i="23"/>
  <c r="AK13" i="16"/>
  <c r="AK16" i="16"/>
  <c r="C49" i="4"/>
  <c r="C50" i="4" s="1"/>
  <c r="C100" i="5" l="1"/>
  <c r="P6" i="4" l="1"/>
  <c r="Q6" i="4" s="1"/>
  <c r="O5" i="4"/>
  <c r="N5" i="4"/>
  <c r="D35" i="1" l="1"/>
  <c r="F33" i="1"/>
  <c r="D33" i="1"/>
  <c r="D31" i="1"/>
  <c r="D29" i="1"/>
  <c r="D27" i="1"/>
  <c r="I25" i="1"/>
  <c r="C42" i="4" l="1"/>
  <c r="C44" i="4" s="1"/>
  <c r="I204" i="1" l="1"/>
  <c r="W58" i="1" s="1"/>
  <c r="I208" i="1"/>
  <c r="C72" i="4" s="1"/>
  <c r="C77" i="4" s="1"/>
  <c r="C78" i="4" s="1"/>
  <c r="W61" i="1"/>
  <c r="C58" i="4" l="1"/>
  <c r="C63" i="4" s="1"/>
  <c r="C64" i="4" s="1"/>
  <c r="C204" i="1"/>
  <c r="D194" i="1"/>
  <c r="D195" i="1" s="1"/>
  <c r="M162" i="1"/>
  <c r="M161" i="1"/>
  <c r="Q160" i="1"/>
  <c r="O160" i="1" s="1"/>
  <c r="O164" i="1" s="1"/>
  <c r="M160" i="1"/>
  <c r="M164" i="1" s="1"/>
  <c r="Q159" i="1"/>
  <c r="Q163" i="1" s="1"/>
  <c r="O159" i="1"/>
  <c r="C158" i="1"/>
  <c r="C138" i="1"/>
  <c r="C137" i="1"/>
  <c r="K136" i="1"/>
  <c r="C136" i="1"/>
  <c r="C135" i="1"/>
  <c r="C134" i="1"/>
  <c r="C133" i="1"/>
  <c r="C132" i="1"/>
  <c r="M130" i="1"/>
  <c r="L131" i="1" s="1"/>
  <c r="M131" i="1" s="1"/>
  <c r="L127" i="1"/>
  <c r="L126" i="1"/>
  <c r="L124" i="1"/>
  <c r="L123" i="1"/>
  <c r="L125" i="1" s="1"/>
  <c r="C123" i="1"/>
  <c r="L120" i="1"/>
  <c r="M119" i="1"/>
  <c r="L118" i="1"/>
  <c r="L117" i="1"/>
  <c r="L116" i="1"/>
  <c r="L115" i="1"/>
  <c r="C115" i="1"/>
  <c r="E88" i="1"/>
  <c r="E87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C75" i="1" s="1"/>
  <c r="E75" i="1"/>
  <c r="C74" i="1"/>
  <c r="X73" i="1"/>
  <c r="X72" i="1"/>
  <c r="E72" i="1"/>
  <c r="K120" i="1"/>
  <c r="M120" i="1" s="1"/>
  <c r="C59" i="1"/>
  <c r="K58" i="1"/>
  <c r="R40" i="1"/>
  <c r="V38" i="1"/>
  <c r="Y27" i="1"/>
  <c r="R24" i="1"/>
  <c r="D20" i="1" s="1"/>
  <c r="D30" i="1" l="1"/>
  <c r="C48" i="1" s="1"/>
  <c r="N47" i="4"/>
  <c r="G20" i="1"/>
  <c r="G21" i="1" s="1"/>
  <c r="D28" i="1"/>
  <c r="D32" i="1"/>
  <c r="D21" i="1"/>
  <c r="D26" i="1"/>
  <c r="D34" i="1"/>
  <c r="C139" i="1"/>
  <c r="C140" i="1" s="1"/>
  <c r="O126" i="1" s="1"/>
  <c r="Q162" i="1"/>
  <c r="O162" i="1"/>
  <c r="P5" i="4"/>
  <c r="E71" i="1"/>
  <c r="E70" i="1"/>
  <c r="E69" i="1"/>
  <c r="E73" i="1"/>
  <c r="V28" i="1"/>
  <c r="C49" i="1"/>
  <c r="L132" i="1"/>
  <c r="M132" i="1" s="1"/>
  <c r="Q161" i="1"/>
  <c r="O163" i="1"/>
  <c r="Q164" i="1"/>
  <c r="F78" i="1"/>
  <c r="D22" i="1" l="1"/>
  <c r="Y5" i="4"/>
  <c r="N8" i="4"/>
  <c r="N9" i="4" s="1"/>
  <c r="U9" i="4" s="1"/>
  <c r="Q5" i="4"/>
  <c r="R8" i="4"/>
  <c r="R9" i="4" s="1"/>
  <c r="C9" i="4"/>
  <c r="C50" i="1"/>
  <c r="C58" i="1"/>
  <c r="V27" i="1"/>
  <c r="K78" i="1"/>
  <c r="M78" i="1" s="1"/>
  <c r="Y8" i="4" l="1"/>
  <c r="Y7" i="4"/>
  <c r="Y6" i="4"/>
  <c r="R5" i="4"/>
  <c r="H20" i="1"/>
  <c r="C10" i="4"/>
  <c r="C18" i="4" s="1"/>
  <c r="C19" i="4" s="1"/>
  <c r="N78" i="1"/>
  <c r="O78" i="1" s="1"/>
  <c r="Y28" i="1"/>
  <c r="C57" i="1"/>
  <c r="C124" i="1"/>
  <c r="C61" i="1"/>
  <c r="C20" i="4" l="1"/>
  <c r="C21" i="4" s="1"/>
  <c r="H21" i="1"/>
  <c r="H22" i="1" s="1"/>
  <c r="I20" i="1"/>
  <c r="B3" i="1" s="1"/>
  <c r="F70" i="1"/>
  <c r="F69" i="1"/>
  <c r="F72" i="1"/>
  <c r="C102" i="1"/>
  <c r="C103" i="1" s="1"/>
  <c r="L20" i="1" l="1"/>
  <c r="J20" i="1"/>
  <c r="I21" i="1"/>
  <c r="I22" i="1" s="1"/>
  <c r="I24" i="1"/>
  <c r="F20" i="1"/>
  <c r="F81" i="1"/>
  <c r="C119" i="1"/>
  <c r="G57" i="1"/>
  <c r="K72" i="1"/>
  <c r="M72" i="1" s="1"/>
  <c r="K69" i="1"/>
  <c r="M69" i="1" s="1"/>
  <c r="F73" i="1"/>
  <c r="K70" i="1"/>
  <c r="M70" i="1" s="1"/>
  <c r="F120" i="1" l="1"/>
  <c r="K117" i="1"/>
  <c r="N18" i="4"/>
  <c r="R13" i="4" s="1"/>
  <c r="R17" i="4" s="1"/>
  <c r="M20" i="1"/>
  <c r="L21" i="1"/>
  <c r="K20" i="1"/>
  <c r="N39" i="4" s="1"/>
  <c r="N41" i="4" s="1"/>
  <c r="N42" i="4" s="1"/>
  <c r="J32" i="1"/>
  <c r="J21" i="1"/>
  <c r="F21" i="1"/>
  <c r="F32" i="1"/>
  <c r="E20" i="1"/>
  <c r="I26" i="1"/>
  <c r="O62" i="1"/>
  <c r="F74" i="1"/>
  <c r="G60" i="1"/>
  <c r="G61" i="1" s="1"/>
  <c r="F80" i="1"/>
  <c r="K81" i="1"/>
  <c r="M81" i="1" s="1"/>
  <c r="K125" i="1"/>
  <c r="M125" i="1" s="1"/>
  <c r="O125" i="1"/>
  <c r="N72" i="1"/>
  <c r="O72" i="1" s="1"/>
  <c r="M117" i="1"/>
  <c r="R33" i="1"/>
  <c r="C127" i="1"/>
  <c r="F71" i="1" s="1"/>
  <c r="K115" i="1"/>
  <c r="M115" i="1" s="1"/>
  <c r="N70" i="1"/>
  <c r="O70" i="1" s="1"/>
  <c r="N69" i="1"/>
  <c r="O69" i="1" s="1"/>
  <c r="K73" i="1"/>
  <c r="M73" i="1" s="1"/>
  <c r="F82" i="1"/>
  <c r="R14" i="4" l="1"/>
  <c r="R15" i="4"/>
  <c r="R16" i="4"/>
  <c r="E21" i="1"/>
  <c r="L24" i="1"/>
  <c r="J24" i="1"/>
  <c r="G32" i="1"/>
  <c r="M21" i="1"/>
  <c r="I27" i="1"/>
  <c r="K21" i="1"/>
  <c r="K32" i="1"/>
  <c r="N81" i="1"/>
  <c r="K71" i="1"/>
  <c r="M71" i="1" s="1"/>
  <c r="K82" i="1"/>
  <c r="M82" i="1" s="1"/>
  <c r="K80" i="1"/>
  <c r="M80" i="1" s="1"/>
  <c r="K74" i="1"/>
  <c r="M74" i="1" s="1"/>
  <c r="F79" i="1"/>
  <c r="K116" i="1"/>
  <c r="M116" i="1" s="1"/>
  <c r="C51" i="1"/>
  <c r="F83" i="1"/>
  <c r="T67" i="1"/>
  <c r="N73" i="1"/>
  <c r="O73" i="1" s="1"/>
  <c r="O81" i="1"/>
  <c r="N21" i="1" l="1"/>
  <c r="T68" i="1"/>
  <c r="X70" i="1" s="1"/>
  <c r="X68" i="1" s="1"/>
  <c r="L26" i="1"/>
  <c r="M24" i="1"/>
  <c r="M22" i="1" s="1"/>
  <c r="L40" i="1"/>
  <c r="L38" i="1"/>
  <c r="L36" i="1"/>
  <c r="L25" i="1"/>
  <c r="N20" i="1"/>
  <c r="E22" i="1"/>
  <c r="J26" i="1"/>
  <c r="J40" i="1"/>
  <c r="J38" i="1"/>
  <c r="J36" i="1"/>
  <c r="J25" i="1"/>
  <c r="H32" i="1"/>
  <c r="I32" i="1" s="1"/>
  <c r="J22" i="1"/>
  <c r="L22" i="1"/>
  <c r="B204" i="1"/>
  <c r="N80" i="1"/>
  <c r="O80" i="1" s="1"/>
  <c r="N71" i="1"/>
  <c r="O71" i="1" s="1"/>
  <c r="K79" i="1"/>
  <c r="M79" i="1" s="1"/>
  <c r="K60" i="1"/>
  <c r="C111" i="1" s="1"/>
  <c r="C110" i="1" s="1"/>
  <c r="C105" i="1"/>
  <c r="C106" i="1" s="1"/>
  <c r="F76" i="1"/>
  <c r="F75" i="1"/>
  <c r="N74" i="1"/>
  <c r="O74" i="1" s="1"/>
  <c r="K83" i="1"/>
  <c r="M83" i="1" s="1"/>
  <c r="N82" i="1"/>
  <c r="O82" i="1" s="1"/>
  <c r="S6" i="4" l="1"/>
  <c r="S5" i="4" s="1"/>
  <c r="B4" i="1"/>
  <c r="X69" i="1"/>
  <c r="T72" i="1"/>
  <c r="L32" i="1"/>
  <c r="I33" i="1"/>
  <c r="E44" i="1"/>
  <c r="E50" i="1" s="1"/>
  <c r="M36" i="1"/>
  <c r="L37" i="1"/>
  <c r="M38" i="1"/>
  <c r="L39" i="1"/>
  <c r="K5" i="5"/>
  <c r="M40" i="1"/>
  <c r="L41" i="1"/>
  <c r="J27" i="1"/>
  <c r="K25" i="1"/>
  <c r="F25" i="1"/>
  <c r="N22" i="1"/>
  <c r="J41" i="1"/>
  <c r="F41" i="1" s="1"/>
  <c r="F40" i="1" s="1"/>
  <c r="I40" i="1"/>
  <c r="C107" i="1"/>
  <c r="J37" i="1"/>
  <c r="F37" i="1" s="1"/>
  <c r="F36" i="1" s="1"/>
  <c r="I36" i="1"/>
  <c r="M25" i="1"/>
  <c r="M26" i="1"/>
  <c r="N24" i="1"/>
  <c r="H33" i="1"/>
  <c r="K124" i="1"/>
  <c r="M124" i="1" s="1"/>
  <c r="J39" i="1"/>
  <c r="F39" i="1" s="1"/>
  <c r="F38" i="1" s="1"/>
  <c r="I38" i="1"/>
  <c r="L27" i="1"/>
  <c r="K76" i="1"/>
  <c r="M76" i="1" s="1"/>
  <c r="N83" i="1"/>
  <c r="O83" i="1" s="1"/>
  <c r="B208" i="1"/>
  <c r="K75" i="1"/>
  <c r="M75" i="1" s="1"/>
  <c r="C112" i="1"/>
  <c r="C116" i="1" s="1"/>
  <c r="C117" i="1" s="1"/>
  <c r="K126" i="1" s="1"/>
  <c r="M126" i="1" s="1"/>
  <c r="X76" i="1"/>
  <c r="O58" i="1"/>
  <c r="N79" i="1"/>
  <c r="O79" i="1" s="1"/>
  <c r="X78" i="1" l="1"/>
  <c r="X79" i="1" s="1"/>
  <c r="C113" i="1" s="1"/>
  <c r="T73" i="1"/>
  <c r="B15" i="1"/>
  <c r="N25" i="1"/>
  <c r="G6" i="5"/>
  <c r="C71" i="5"/>
  <c r="C35" i="5"/>
  <c r="C79" i="5"/>
  <c r="G5" i="5"/>
  <c r="C70" i="5"/>
  <c r="G9" i="5"/>
  <c r="C80" i="5"/>
  <c r="G7" i="5"/>
  <c r="C61" i="5"/>
  <c r="C60" i="5"/>
  <c r="G10" i="5"/>
  <c r="C81" i="5" s="1"/>
  <c r="C99" i="5"/>
  <c r="G8" i="5"/>
  <c r="C36" i="5"/>
  <c r="K17" i="5"/>
  <c r="L18" i="5"/>
  <c r="I25" i="5"/>
  <c r="L17" i="5"/>
  <c r="G22" i="5"/>
  <c r="C43" i="5" s="1"/>
  <c r="I24" i="5"/>
  <c r="M17" i="5"/>
  <c r="I17" i="5"/>
  <c r="K19" i="5"/>
  <c r="M16" i="5"/>
  <c r="C8" i="5"/>
  <c r="C82" i="5" s="1"/>
  <c r="N40" i="1"/>
  <c r="M41" i="1"/>
  <c r="L26" i="5"/>
  <c r="M18" i="5"/>
  <c r="N26" i="1"/>
  <c r="G24" i="5"/>
  <c r="D25" i="5"/>
  <c r="D18" i="5"/>
  <c r="D22" i="5"/>
  <c r="D26" i="5"/>
  <c r="D20" i="5"/>
  <c r="D21" i="5"/>
  <c r="G25" i="5"/>
  <c r="D24" i="5"/>
  <c r="C24" i="5"/>
  <c r="C9" i="5"/>
  <c r="C83" i="5" s="1"/>
  <c r="K7" i="5"/>
  <c r="C86" i="5" s="1"/>
  <c r="D19" i="5"/>
  <c r="D23" i="5"/>
  <c r="C26" i="5"/>
  <c r="C18" i="5"/>
  <c r="G18" i="5"/>
  <c r="G26" i="5"/>
  <c r="C25" i="5"/>
  <c r="G19" i="5"/>
  <c r="C21" i="5"/>
  <c r="C16" i="5"/>
  <c r="C5" i="5"/>
  <c r="C20" i="5"/>
  <c r="C17" i="5"/>
  <c r="F16" i="5"/>
  <c r="C19" i="5"/>
  <c r="C22" i="5"/>
  <c r="C23" i="5"/>
  <c r="C46" i="5" s="1"/>
  <c r="C10" i="5"/>
  <c r="C33" i="5" s="1"/>
  <c r="G16" i="5"/>
  <c r="G17" i="5"/>
  <c r="C41" i="5" s="1"/>
  <c r="H16" i="5"/>
  <c r="C38" i="5" s="1"/>
  <c r="H17" i="5"/>
  <c r="E16" i="5"/>
  <c r="I16" i="5"/>
  <c r="H18" i="5"/>
  <c r="C39" i="5" s="1"/>
  <c r="K16" i="5"/>
  <c r="C64" i="5" s="1"/>
  <c r="C69" i="5" s="1"/>
  <c r="C7" i="5"/>
  <c r="C34" i="5" s="1"/>
  <c r="E22" i="5"/>
  <c r="J16" i="5"/>
  <c r="D16" i="5"/>
  <c r="K6" i="5"/>
  <c r="C63" i="5" s="1"/>
  <c r="I22" i="5"/>
  <c r="L16" i="5"/>
  <c r="C73" i="5" s="1"/>
  <c r="C78" i="5" s="1"/>
  <c r="H19" i="5"/>
  <c r="I18" i="5"/>
  <c r="K18" i="5"/>
  <c r="J22" i="5"/>
  <c r="F22" i="5"/>
  <c r="C6" i="5"/>
  <c r="C32" i="5" s="1"/>
  <c r="K24" i="5"/>
  <c r="K27" i="1"/>
  <c r="K24" i="1"/>
  <c r="K25" i="5"/>
  <c r="H26" i="5"/>
  <c r="I41" i="1"/>
  <c r="I19" i="5"/>
  <c r="N38" i="1"/>
  <c r="M39" i="1"/>
  <c r="L25" i="5"/>
  <c r="M27" i="1"/>
  <c r="L19" i="5"/>
  <c r="F27" i="1"/>
  <c r="F24" i="1"/>
  <c r="E25" i="5"/>
  <c r="G38" i="1"/>
  <c r="K123" i="1"/>
  <c r="M123" i="1" s="1"/>
  <c r="O122" i="1" s="1"/>
  <c r="N36" i="1"/>
  <c r="M37" i="1"/>
  <c r="L24" i="5"/>
  <c r="H24" i="5"/>
  <c r="I37" i="1"/>
  <c r="I26" i="5"/>
  <c r="H22" i="5"/>
  <c r="H25" i="5"/>
  <c r="I39" i="1"/>
  <c r="G36" i="1"/>
  <c r="E24" i="5"/>
  <c r="E26" i="5"/>
  <c r="G40" i="1"/>
  <c r="K26" i="5"/>
  <c r="D17" i="5"/>
  <c r="K22" i="5"/>
  <c r="L33" i="1"/>
  <c r="M32" i="1"/>
  <c r="N75" i="1"/>
  <c r="O75" i="1" s="1"/>
  <c r="N76" i="1"/>
  <c r="O76" i="1" s="1"/>
  <c r="E48" i="1"/>
  <c r="E49" i="1"/>
  <c r="F84" i="1"/>
  <c r="C169" i="1"/>
  <c r="C186" i="1" s="1"/>
  <c r="S57" i="1"/>
  <c r="S59" i="1" s="1"/>
  <c r="F77" i="1" s="1"/>
  <c r="D51" i="1"/>
  <c r="K118" i="1"/>
  <c r="M118" i="1" s="1"/>
  <c r="M121" i="1" s="1"/>
  <c r="O60" i="1"/>
  <c r="K127" i="1"/>
  <c r="M127" i="1" s="1"/>
  <c r="C114" i="1"/>
  <c r="A79" i="5" l="1"/>
  <c r="A61" i="5"/>
  <c r="A71" i="5"/>
  <c r="A35" i="5"/>
  <c r="C59" i="5"/>
  <c r="C54" i="5"/>
  <c r="C85" i="5"/>
  <c r="C94" i="5" s="1"/>
  <c r="G41" i="1"/>
  <c r="F26" i="5"/>
  <c r="C45" i="5"/>
  <c r="E18" i="5"/>
  <c r="F26" i="1"/>
  <c r="G24" i="1"/>
  <c r="F22" i="1"/>
  <c r="L22" i="5"/>
  <c r="N32" i="1"/>
  <c r="M33" i="1"/>
  <c r="N37" i="1"/>
  <c r="M24" i="5"/>
  <c r="N41" i="1"/>
  <c r="M26" i="5"/>
  <c r="J18" i="5"/>
  <c r="K26" i="1"/>
  <c r="J19" i="5" s="1"/>
  <c r="K40" i="1"/>
  <c r="K38" i="1"/>
  <c r="K36" i="1"/>
  <c r="K22" i="1"/>
  <c r="K30" i="1" s="1"/>
  <c r="N27" i="1"/>
  <c r="M19" i="5"/>
  <c r="G37" i="1"/>
  <c r="F24" i="5"/>
  <c r="F25" i="5"/>
  <c r="G39" i="1"/>
  <c r="N39" i="1"/>
  <c r="M25" i="5"/>
  <c r="C31" i="5"/>
  <c r="C47" i="5"/>
  <c r="C49" i="5"/>
  <c r="C48" i="5"/>
  <c r="M128" i="1"/>
  <c r="K77" i="1"/>
  <c r="M77" i="1" s="1"/>
  <c r="D175" i="1"/>
  <c r="C185" i="1"/>
  <c r="K84" i="1"/>
  <c r="M84" i="1" s="1"/>
  <c r="N118" i="1"/>
  <c r="AA117" i="1" s="1"/>
  <c r="M22" i="5" l="1"/>
  <c r="N33" i="1"/>
  <c r="K31" i="1"/>
  <c r="J31" i="1" s="1"/>
  <c r="J21" i="5"/>
  <c r="K37" i="1"/>
  <c r="J24" i="5"/>
  <c r="K39" i="1"/>
  <c r="J25" i="5"/>
  <c r="J26" i="5"/>
  <c r="K41" i="1"/>
  <c r="J17" i="5"/>
  <c r="L30" i="1"/>
  <c r="L34" i="1"/>
  <c r="L28" i="1"/>
  <c r="K28" i="1"/>
  <c r="E17" i="5"/>
  <c r="G22" i="1"/>
  <c r="F17" i="5" s="1"/>
  <c r="E19" i="5"/>
  <c r="G26" i="1"/>
  <c r="K34" i="1"/>
  <c r="G25" i="1"/>
  <c r="F18" i="5"/>
  <c r="N77" i="1"/>
  <c r="O77" i="1" s="1"/>
  <c r="D50" i="1"/>
  <c r="K145" i="1"/>
  <c r="R115" i="1"/>
  <c r="N125" i="1"/>
  <c r="N123" i="1"/>
  <c r="N124" i="1"/>
  <c r="N126" i="1"/>
  <c r="N127" i="1"/>
  <c r="AC115" i="1" s="1"/>
  <c r="N84" i="1"/>
  <c r="O84" i="1" s="1"/>
  <c r="O85" i="1" s="1"/>
  <c r="R114" i="1"/>
  <c r="K144" i="1"/>
  <c r="L134" i="1"/>
  <c r="M134" i="1" s="1"/>
  <c r="L137" i="1"/>
  <c r="M137" i="1" s="1"/>
  <c r="N119" i="1"/>
  <c r="N120" i="1"/>
  <c r="AA118" i="1" s="1"/>
  <c r="N115" i="1"/>
  <c r="AA114" i="1" s="1"/>
  <c r="N117" i="1"/>
  <c r="AA116" i="1" s="1"/>
  <c r="N116" i="1"/>
  <c r="L175" i="1"/>
  <c r="F175" i="1"/>
  <c r="K175" i="1"/>
  <c r="J175" i="1"/>
  <c r="I175" i="1"/>
  <c r="H175" i="1"/>
  <c r="G175" i="1"/>
  <c r="M175" i="1"/>
  <c r="E175" i="1"/>
  <c r="J23" i="5" l="1"/>
  <c r="K35" i="1"/>
  <c r="J35" i="1" s="1"/>
  <c r="M30" i="1"/>
  <c r="K21" i="5"/>
  <c r="L31" i="1"/>
  <c r="J20" i="5"/>
  <c r="K29" i="1"/>
  <c r="J29" i="1" s="1"/>
  <c r="L29" i="1"/>
  <c r="M28" i="1"/>
  <c r="K20" i="5"/>
  <c r="G27" i="1"/>
  <c r="F19" i="5"/>
  <c r="F31" i="1"/>
  <c r="F30" i="1" s="1"/>
  <c r="J30" i="1"/>
  <c r="L35" i="1"/>
  <c r="M34" i="1"/>
  <c r="K23" i="5"/>
  <c r="N121" i="1"/>
  <c r="AA115" i="1"/>
  <c r="AC114" i="1"/>
  <c r="N128" i="1"/>
  <c r="P84" i="1"/>
  <c r="M35" i="1" l="1"/>
  <c r="N34" i="1"/>
  <c r="L23" i="5"/>
  <c r="F29" i="1"/>
  <c r="F28" i="1" s="1"/>
  <c r="J28" i="1"/>
  <c r="E21" i="5"/>
  <c r="G30" i="1"/>
  <c r="M31" i="1"/>
  <c r="L21" i="5"/>
  <c r="N30" i="1"/>
  <c r="I30" i="1"/>
  <c r="I21" i="5"/>
  <c r="F35" i="1"/>
  <c r="F34" i="1" s="1"/>
  <c r="J34" i="1"/>
  <c r="M29" i="1"/>
  <c r="N28" i="1"/>
  <c r="N29" i="1" s="1"/>
  <c r="L20" i="5"/>
  <c r="L133" i="1"/>
  <c r="M133" i="1" s="1"/>
  <c r="L89" i="1"/>
  <c r="P78" i="1"/>
  <c r="P72" i="1"/>
  <c r="P70" i="1"/>
  <c r="P69" i="1"/>
  <c r="P81" i="1"/>
  <c r="P73" i="1"/>
  <c r="P71" i="1"/>
  <c r="P80" i="1"/>
  <c r="P82" i="1"/>
  <c r="P74" i="1"/>
  <c r="P79" i="1"/>
  <c r="P83" i="1"/>
  <c r="P75" i="1"/>
  <c r="P76" i="1"/>
  <c r="P77" i="1"/>
  <c r="F21" i="5" l="1"/>
  <c r="H30" i="1"/>
  <c r="G31" i="1"/>
  <c r="G33" i="1" s="1"/>
  <c r="I23" i="5"/>
  <c r="I34" i="1"/>
  <c r="E23" i="5"/>
  <c r="G34" i="1"/>
  <c r="E20" i="5"/>
  <c r="G28" i="1"/>
  <c r="I28" i="1"/>
  <c r="I20" i="5"/>
  <c r="I31" i="1"/>
  <c r="H21" i="5"/>
  <c r="M20" i="5"/>
  <c r="M21" i="5"/>
  <c r="C88" i="5" s="1"/>
  <c r="N31" i="1"/>
  <c r="N35" i="1"/>
  <c r="M23" i="5"/>
  <c r="C89" i="5" s="1"/>
  <c r="P85" i="1"/>
  <c r="L158" i="1"/>
  <c r="L157" i="1"/>
  <c r="D48" i="1"/>
  <c r="L156" i="1"/>
  <c r="L100" i="1"/>
  <c r="L96" i="1"/>
  <c r="L92" i="1"/>
  <c r="L97" i="1"/>
  <c r="L93" i="1"/>
  <c r="L99" i="1"/>
  <c r="L95" i="1"/>
  <c r="L91" i="1"/>
  <c r="L98" i="1"/>
  <c r="L94" i="1"/>
  <c r="L90" i="1"/>
  <c r="L101" i="1"/>
  <c r="L135" i="1"/>
  <c r="M135" i="1" s="1"/>
  <c r="L138" i="1" s="1"/>
  <c r="M138" i="1" s="1"/>
  <c r="L136" i="1"/>
  <c r="M136" i="1" s="1"/>
  <c r="H20" i="5" l="1"/>
  <c r="I29" i="1"/>
  <c r="G21" i="5"/>
  <c r="H31" i="1"/>
  <c r="H34" i="1"/>
  <c r="F23" i="5"/>
  <c r="G35" i="1"/>
  <c r="H23" i="5"/>
  <c r="I35" i="1"/>
  <c r="G29" i="1"/>
  <c r="H28" i="1"/>
  <c r="F20" i="5"/>
  <c r="M139" i="1"/>
  <c r="N138" i="1" s="1"/>
  <c r="AE122" i="1" s="1"/>
  <c r="L161" i="1"/>
  <c r="L166" i="1"/>
  <c r="N156" i="1"/>
  <c r="N157" i="1"/>
  <c r="N6" i="4" s="1"/>
  <c r="L162" i="1"/>
  <c r="L102" i="1"/>
  <c r="M99" i="1" s="1"/>
  <c r="L110" i="1"/>
  <c r="N158" i="1"/>
  <c r="O6" i="4" s="1"/>
  <c r="L163" i="1"/>
  <c r="H29" i="1" l="1"/>
  <c r="G20" i="5"/>
  <c r="G23" i="5"/>
  <c r="H35" i="1"/>
  <c r="N135" i="1"/>
  <c r="AE119" i="1" s="1"/>
  <c r="D49" i="1"/>
  <c r="N136" i="1"/>
  <c r="AE120" i="1" s="1"/>
  <c r="P158" i="1"/>
  <c r="P163" i="1" s="1"/>
  <c r="N163" i="1"/>
  <c r="M100" i="1"/>
  <c r="M98" i="1"/>
  <c r="P156" i="1"/>
  <c r="P161" i="1" s="1"/>
  <c r="N161" i="1"/>
  <c r="P157" i="1"/>
  <c r="P162" i="1" s="1"/>
  <c r="N162" i="1"/>
  <c r="M92" i="1"/>
  <c r="M91" i="1"/>
  <c r="M93" i="1"/>
  <c r="M97" i="1"/>
  <c r="M90" i="1"/>
  <c r="M96" i="1"/>
  <c r="M94" i="1"/>
  <c r="L107" i="1"/>
  <c r="M89" i="1"/>
  <c r="M101" i="1"/>
  <c r="M95" i="1"/>
  <c r="K146" i="1"/>
  <c r="R116" i="1"/>
  <c r="N130" i="1"/>
  <c r="N131" i="1"/>
  <c r="AE115" i="1" s="1"/>
  <c r="N132" i="1"/>
  <c r="AE116" i="1" s="1"/>
  <c r="C156" i="1"/>
  <c r="N134" i="1"/>
  <c r="AE118" i="1" s="1"/>
  <c r="N137" i="1"/>
  <c r="AE121" i="1" s="1"/>
  <c r="N133" i="1"/>
  <c r="AE117" i="1" s="1"/>
  <c r="M102" i="1" l="1"/>
  <c r="L109" i="1"/>
  <c r="L108" i="1"/>
  <c r="V115" i="1"/>
  <c r="D176" i="1"/>
  <c r="AE114" i="1"/>
  <c r="N139" i="1"/>
  <c r="R117" i="1"/>
  <c r="L111" i="1" l="1"/>
  <c r="M107" i="1" s="1"/>
  <c r="J176" i="1"/>
  <c r="J177" i="1" s="1"/>
  <c r="J178" i="1" s="1"/>
  <c r="I176" i="1"/>
  <c r="I177" i="1" s="1"/>
  <c r="I178" i="1" s="1"/>
  <c r="L176" i="1"/>
  <c r="L177" i="1" s="1"/>
  <c r="L178" i="1" s="1"/>
  <c r="H176" i="1"/>
  <c r="H177" i="1" s="1"/>
  <c r="H178" i="1" s="1"/>
  <c r="G176" i="1"/>
  <c r="G177" i="1" s="1"/>
  <c r="G178" i="1" s="1"/>
  <c r="F176" i="1"/>
  <c r="F177" i="1" s="1"/>
  <c r="F178" i="1" s="1"/>
  <c r="M176" i="1"/>
  <c r="M177" i="1" s="1"/>
  <c r="M178" i="1" s="1"/>
  <c r="E176" i="1"/>
  <c r="E177" i="1" s="1"/>
  <c r="E178" i="1" s="1"/>
  <c r="K176" i="1"/>
  <c r="K177" i="1" s="1"/>
  <c r="K178" i="1" s="1"/>
  <c r="D177" i="1"/>
  <c r="D178" i="1" s="1"/>
  <c r="S115" i="1"/>
  <c r="S114" i="1"/>
  <c r="M108" i="1"/>
  <c r="C155" i="1"/>
  <c r="K143" i="1"/>
  <c r="M110" i="1"/>
  <c r="S116" i="1"/>
  <c r="M109" i="1"/>
  <c r="M111" i="1" l="1"/>
  <c r="K147" i="1"/>
  <c r="K151" i="1"/>
  <c r="C174" i="1"/>
  <c r="C180" i="1" s="1"/>
  <c r="V114" i="1"/>
  <c r="C160" i="1"/>
  <c r="C161" i="1" s="1"/>
  <c r="L160" i="1" l="1"/>
  <c r="C182" i="1"/>
  <c r="V116" i="1"/>
  <c r="W115" i="1" s="1"/>
  <c r="K149" i="1"/>
  <c r="K150" i="1" s="1"/>
  <c r="L144" i="1"/>
  <c r="L145" i="1"/>
  <c r="L146" i="1"/>
  <c r="L143" i="1"/>
  <c r="W114" i="1" l="1"/>
  <c r="L147" i="1"/>
  <c r="L164" i="1"/>
  <c r="N160" i="1"/>
  <c r="P160" i="1" l="1"/>
  <c r="P164" i="1" s="1"/>
  <c r="N164" i="1"/>
  <c r="D103" i="16" l="1"/>
  <c r="N103" i="16" s="1"/>
  <c r="Q103" i="16" l="1"/>
  <c r="P103" i="16"/>
  <c r="F52" i="18"/>
  <c r="AF8" i="16"/>
  <c r="F52" i="30"/>
  <c r="H52" i="18" l="1"/>
  <c r="H52" i="30"/>
  <c r="L52" i="30" s="1"/>
  <c r="AF9" i="16"/>
  <c r="AF10" i="16" s="1"/>
  <c r="AG10" i="16"/>
  <c r="AI10" i="16"/>
  <c r="AJ10" i="16"/>
  <c r="AH10" i="16"/>
  <c r="L52" i="18" l="1"/>
  <c r="K52" i="18"/>
  <c r="J52" i="18"/>
  <c r="J52" i="30"/>
  <c r="K52" i="30"/>
  <c r="AK1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tc={C8FBFDEC-DAA8-43E4-8F0E-6363C0AA6D93}</author>
    <author>tc={24310EFC-80C3-49E2-8589-87F552E31C10}</author>
    <author>tc={3D85E797-67C3-40CE-9973-EFB7A22C01A3}</author>
    <author>tc={3BC09842-A7E9-4598-930C-F76F9CBFB807}</author>
    <author>tc={A3F1F0D4-E0EA-4D9F-84BF-C2FB1046EA0D}</author>
    <author>tc={C54AFE69-460A-4CAE-BADC-D0928B3D4129}</author>
  </authors>
  <commentList>
    <comment ref="V56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LPS a 5 bar y 150ºC</t>
      </text>
    </comment>
    <comment ref="D104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https://powderprocess.net/Mixing/Power_Consumption.html</t>
      </text>
    </comment>
    <comment ref="Q155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https://fercampo.com/catalogo-de-productos/nutricion-vegetal/fertilizantes-liquidos/</t>
      </text>
    </comment>
    <comment ref="Q159" authorId="3" shapeId="0" xr:uid="{00000000-0006-0000-00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Al mes son 5L/ha</t>
      </text>
    </comment>
    <comment ref="O160" authorId="4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Estaba puesto antes 1.5</t>
      </text>
    </comment>
    <comment ref="Q160" authorId="5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https://www.collier-turf-care.co.uk/Catalogue/Turf-Care-Shop/Fertiliser/Liquid-Lawn-Fertiliser/Prestige-Liquid-Fertiliser/Prestige-NPK-Spring-Summer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tc={00C71CFA-2F56-4AB9-BD4E-8B5E142A4A70}</author>
    <author>tc={58682DE4-CE9B-42A7-AAA4-0D623053BCE4}</author>
    <author>tc={790FC3F1-5C1A-47DE-8911-98F5D1897593}</author>
    <author>tc={ABBF5C4C-4C38-4CAC-B3B4-0CE9C113E994}</author>
    <author>tc={756AE077-2DF5-4B98-BAE6-75A9C1960520}</author>
    <author>tc={55910175-2237-4F73-9BBF-DC99A645DEAB}</author>
    <author>tc={2387BB87-040E-4B21-A306-B146A1CB5DAC}</author>
    <author>tc={5096A4DF-EA42-4043-98DE-A7D2C9775CDD}</author>
    <author>tc={45584CD7-21E2-4DCD-A9CE-9DEA6AAD5DC2}</author>
    <author>tc={975F7711-9C7A-4B83-9042-1F94F2C2D453}</author>
    <author>tc={EECB0DE3-493B-4DC3-9011-B8BC3E1990C8}</author>
    <author>tc={0D9AE13D-6750-42F8-A08F-C8E2A5D966D3}</author>
    <author>tc={FEE28EF6-0345-4FA7-B3ED-3C36329E395D}</author>
    <author>tc={372A6D44-0DF7-4E88-83AA-F710FD4533D0}</author>
    <author>tc={179C37F7-9EA3-4C80-B0F8-716C4A090DC3}</author>
    <author>tc={FAA266FD-86B8-4ED5-9EE0-6E2D89371F83}</author>
    <author>tc={5243E588-96FC-4C83-B05A-3204050AF9EF}</author>
    <author>tc={10ABFA96-CC5C-4E6E-8B04-51CD952BE524}</author>
    <author>tc={EA763722-501C-4525-8365-5B2A4A8E4DA9}</author>
  </authors>
  <commentList>
    <comment ref="S4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Flujo total de producto (no tiene en cuenta la ha)</t>
      </text>
    </comment>
    <comment ref="B6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GFRP (glass fiber reinforced polymer)
Abreviatura de https://www.sciencedirect.com/science/article/pii/S2092678222000280</t>
      </text>
    </comment>
    <comment ref="M11" authorId="2" shapeId="0" xr:uid="{00000000-0006-0000-01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https://www.sciencedirect.com/science/article/pii/S0360544222006788</t>
      </text>
    </comment>
    <comment ref="B13" authorId="3" shapeId="0" xr:uid="{00000000-0006-0000-01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Low density polyethylene resin, at plant/RNA</t>
      </text>
    </comment>
    <comment ref="X14" authorId="4" shapeId="0" xr:uid="{00000000-0006-0000-01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https://www.sciencedirect.com/science/article/pii/S1161030115000714#tbl0010</t>
      </text>
    </comment>
    <comment ref="AA14" authorId="5" shapeId="0" xr:uid="{00000000-0006-0000-01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https://www.sciencedirect.com/science/article/pii/S1161030115000714#tbl0010</t>
      </text>
    </comment>
    <comment ref="X20" authorId="6" shapeId="0" xr:uid="{00000000-0006-0000-01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Hasler</t>
      </text>
    </comment>
    <comment ref="AA20" authorId="7" shapeId="0" xr:uid="{00000000-0006-0000-01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Hasler</t>
      </text>
    </comment>
    <comment ref="C40" authorId="8" shapeId="0" xr:uid="{00000000-0006-0000-01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Misma distancia para los dos escenarios</t>
      </text>
    </comment>
    <comment ref="E60" authorId="9" shapeId="0" xr:uid="{00000000-0006-0000-01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Página 35</t>
      </text>
    </comment>
    <comment ref="E74" authorId="10" shapeId="0" xr:uid="{00000000-0006-0000-01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Página 35</t>
      </text>
    </comment>
    <comment ref="B81" authorId="11" shapeId="0" xr:uid="{00000000-0006-0000-0100-00000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https://www.sciencedirect.com/science/article/pii/S2212982021000135
https://www.sciencedirect.com/science/article/pii/S1750583618301592#bib0060</t>
      </text>
    </comment>
    <comment ref="B103" authorId="12" shapeId="0" xr:uid="{00000000-0006-0000-0100-00000D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https://www.sciencedirect.com/science/article/pii/S2352484722025872</t>
      </text>
    </comment>
    <comment ref="L103" authorId="13" shapeId="0" xr:uid="{00000000-0006-0000-0100-00000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https://www.sciencedirect.com/science/article/pii/S0306261916312909?casa_token=Fd9jfg9rWXIAAAAA:irv2oGQLnV8n-OmABqXf2npO-YrAPQw3pTrcv1rhMyx_ZT0WCqAPe-CCkkGkcVnO4GP2HggRLg#s0010</t>
      </text>
    </comment>
    <comment ref="V104" authorId="14" shapeId="0" xr:uid="{00000000-0006-0000-0100-00000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https://www.mdpi.com/1996-1073/12/4/718</t>
      </text>
    </comment>
    <comment ref="M106" authorId="15" shapeId="0" xr:uid="{00000000-0006-0000-0100-000010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Según Collet, el producto es a 150ºC y 13 bar</t>
      </text>
    </comment>
    <comment ref="B113" authorId="16" shapeId="0" xr:uid="{00000000-0006-0000-0100-00001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https://www.sciencedirect.com/science/article/pii/S221298202100175X#bib0255</t>
      </text>
    </comment>
    <comment ref="L114" authorId="17" shapeId="0" xr:uid="{00000000-0006-0000-0100-00001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https://www.mdpi.com/1996-1073/12/4/718</t>
      </text>
    </comment>
    <comment ref="V115" authorId="18" shapeId="0" xr:uid="{00000000-0006-0000-0100-00001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https://www.mdpi.com/1996-1073/12/4/718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tc={3E1E4BE4-61AD-4D6B-8518-2951FE7A1C8B}</author>
    <author>tc={C7DB8B24-27D2-4E5D-8918-99A839FDB533}</author>
    <author>tc={90468D3F-6BD2-498E-BDFF-F002CC15A6A5}</author>
    <author>tc={CCED1CD6-299A-46B7-AFF7-486E3F50B224}</author>
    <author>tc={18FEA00B-BF3B-4949-BD13-ACFFA4AE39E6}</author>
    <author>tc={264CF089-5BFE-442F-B531-65A1CC3404F3}</author>
    <author>tc={9B14A3B4-121C-4B06-B6F2-CDDFD3C6F98B}</author>
    <author>tc={062C44F4-C37E-4051-978E-037DE591D5CE}</author>
    <author>tc={F62DBFAD-7514-4289-9785-CBDEB8BCFC0C}</author>
    <author>tc={16FF893D-9320-4CCC-9B03-591122AC4217}</author>
    <author>tc={7496416B-4706-4AB4-A437-8EE9C5A722A8}</author>
    <author>tc={A944B521-4BB8-4092-821F-D77440659D42}</author>
    <author>tc={E1EE7D55-E4E7-4D7D-9880-3BCBAFEB530A}</author>
  </authors>
  <commentList>
    <comment ref="G22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Cuadra con lo de Tua 2021</t>
      </text>
    </comment>
    <comment ref="B28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"Microalgae cultivation Q6"</t>
      </text>
    </comment>
    <comment ref="C39" authorId="2" shapeId="0" xr:uid="{00000000-0006-0000-02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hace falta meterlo, está incluido dentro del flujo Q6</t>
      </text>
    </comment>
    <comment ref="B40" authorId="3" shapeId="0" xr:uid="{00000000-0006-0000-02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https://www.mdpi.com/2304-8158/11/19/3053
Hernández 2022
</t>
      </text>
    </comment>
    <comment ref="C42" authorId="4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Venancio 2020, eficacia de fijación de CO2 = 62%
Yadav 2020 (es 0 porque cuenta como que el proceso coge el CO2 de otro proceso y no se emite, página 6)</t>
      </text>
    </comment>
    <comment ref="B44" authorId="5" shapeId="0" xr:uid="{00000000-0006-0000-02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https://www.sciencedirect.com/science/article/pii/S0921344922004116#sec0002
Silva 2022 "In the cultivation stage, total N, total P, and water avoided due to the use of effluent as a cultivation medium were considered".
Nutrientes no emitidos al medioambiente (tabla 3)</t>
      </text>
    </comment>
    <comment ref="B56" authorId="6" shapeId="0" xr:uid="{00000000-0006-0000-02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"Biomass Harvesting Q9"</t>
      </text>
    </comment>
    <comment ref="B63" authorId="7" shapeId="0" xr:uid="{00000000-0006-0000-02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Emisión evitada</t>
      </text>
    </comment>
    <comment ref="B66" authorId="8" shapeId="0" xr:uid="{00000000-0006-0000-02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"US pretreatment (Q10)"</t>
      </text>
    </comment>
    <comment ref="B75" authorId="9" shapeId="0" xr:uid="{00000000-0006-0000-02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"Biostimulant production (Q11)"</t>
      </text>
    </comment>
    <comment ref="B82" authorId="10" shapeId="0" xr:uid="{00000000-0006-0000-02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Pechrisi 2023, coger de la base de datos de EcoInvent la alpha-amilasa</t>
      </text>
    </comment>
    <comment ref="B83" authorId="11" shapeId="0" xr:uid="{00000000-0006-0000-0200-00000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Pechrisi 2023</t>
      </text>
    </comment>
    <comment ref="B87" authorId="12" shapeId="0" xr:uid="{00000000-0006-0000-0200-00000D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https://www.sciencedirect.com/science/article/pii/S0921344922004116#sec0002
Silva 2022
https://www.sciencedirect.com/science/article/pii/S2211926422000960#s0010
Nilsson 2022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tc={1462C051-2C56-448E-92CA-15FE5E3B8DC7}</author>
    <author>tc={6892003A-98E1-408D-9659-74B7003E5CC5}</author>
  </authors>
  <commentList>
    <comment ref="AM4" authorId="0" shapeId="0" xr:uid="{00000000-0006-0000-03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3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tc={77636B40-8D3C-4996-8512-D2817A0122B3}</author>
    <author>tc={79CDF6AB-723A-4117-8C86-703EB45F9739}</author>
    <author>tc={532E780C-2EE1-4C13-A64E-EE09FC487081}</author>
  </authors>
  <commentList>
    <comment ref="AM4" authorId="0" shapeId="0" xr:uid="{00000000-0006-0000-04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4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  <comment ref="E137" authorId="2" shapeId="0" xr:uid="{00000000-0006-0000-04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tc={425ED5F6-E316-4C03-86EB-2815CDEFC8D7}</author>
    <author>tc={A07DA89C-B16A-401E-9B79-D1A120B4F09A}</author>
    <author>tc={662DB236-EA85-4B74-90E5-E16F2A661D8A}</author>
  </authors>
  <commentList>
    <comment ref="AM4" authorId="0" shapeId="0" xr:uid="{00000000-0006-0000-05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5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  <comment ref="E137" authorId="2" shapeId="0" xr:uid="{00000000-0006-0000-05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tc={835D1B59-DF21-49F8-889E-90904172C849}</author>
    <author>tc={96C9D064-E4A7-4F32-AA2F-6FEE07FA1F84}</author>
    <author>tc={48B12062-EF9E-4287-9EE5-48BB817403BB}</author>
  </authors>
  <commentList>
    <comment ref="AM4" authorId="0" shapeId="0" xr:uid="{00000000-0006-0000-06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6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  <comment ref="E137" authorId="2" shapeId="0" xr:uid="{00000000-0006-0000-06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tc={C3243E35-FD6B-4656-AE41-9641A4A87D94}</author>
    <author>tc={46EB1EDC-AF34-47AE-87E3-403133ECDE6A}</author>
    <author>tc={15DCC7B9-01F5-4E54-8A87-4FC40D69261B}</author>
  </authors>
  <commentList>
    <comment ref="AM4" authorId="0" shapeId="0" xr:uid="{00000000-0006-0000-07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7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  <comment ref="E137" authorId="2" shapeId="0" xr:uid="{00000000-0006-0000-07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11,9</t>
      </text>
    </comment>
  </commentList>
</comments>
</file>

<file path=xl/sharedStrings.xml><?xml version="1.0" encoding="utf-8"?>
<sst xmlns="http://schemas.openxmlformats.org/spreadsheetml/2006/main" count="4779" uniqueCount="719">
  <si>
    <t>Rendimientos hidrólisis</t>
  </si>
  <si>
    <t>Proteínas (%)</t>
  </si>
  <si>
    <t>Carbohidratos (%)</t>
  </si>
  <si>
    <t>Lípidos (%)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</si>
  <si>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</si>
  <si>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</si>
  <si>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</si>
  <si>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</si>
  <si>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</si>
  <si>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</si>
  <si>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</si>
  <si>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</si>
  <si>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</si>
  <si>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</si>
  <si>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</si>
  <si>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Parámetros purín fresco</t>
  </si>
  <si>
    <t>Parámetros fertilizante</t>
  </si>
  <si>
    <t>Purín fresco</t>
  </si>
  <si>
    <t>Agua fresca</t>
  </si>
  <si>
    <t>Recirculación</t>
  </si>
  <si>
    <t>Entrada reactor</t>
  </si>
  <si>
    <t>Evaporación</t>
  </si>
  <si>
    <t>Salida reactor</t>
  </si>
  <si>
    <t>Permeado</t>
  </si>
  <si>
    <t>Purga</t>
  </si>
  <si>
    <t>Retenido</t>
  </si>
  <si>
    <t>Salida US</t>
  </si>
  <si>
    <t>Bioestimulante</t>
  </si>
  <si>
    <t>SST</t>
  </si>
  <si>
    <t>mg/L</t>
  </si>
  <si>
    <t>C</t>
  </si>
  <si>
    <t>%</t>
  </si>
  <si>
    <t>Q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</si>
  <si>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</si>
  <si>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TOC</t>
  </si>
  <si>
    <t>N</t>
  </si>
  <si>
    <t>kg/d</t>
  </si>
  <si>
    <t>TN</t>
  </si>
  <si>
    <t>P</t>
  </si>
  <si>
    <t>Agua</t>
  </si>
  <si>
    <t>Amonio</t>
  </si>
  <si>
    <t>-</t>
  </si>
  <si>
    <t>TP</t>
  </si>
  <si>
    <t>Membrana</t>
  </si>
  <si>
    <t>Microalga</t>
  </si>
  <si>
    <t>Pérdidas</t>
  </si>
  <si>
    <t>Parámetros fotobiorreactor</t>
  </si>
  <si>
    <t>Cálculo fotobiorreactor</t>
  </si>
  <si>
    <t>Dilución purín</t>
  </si>
  <si>
    <t>Area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</si>
  <si>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</si>
  <si>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Volumen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</si>
  <si>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</si>
  <si>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Tiempo</t>
  </si>
  <si>
    <t>d</t>
  </si>
  <si>
    <t>Altura</t>
  </si>
  <si>
    <t>cm</t>
  </si>
  <si>
    <t>Eliminaciones fotobiorreactor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</si>
  <si>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</si>
  <si>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[Alga seca]</t>
  </si>
  <si>
    <t>g/L</t>
  </si>
  <si>
    <t>Productividad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</si>
  <si>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</si>
  <si>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Composición microalga</t>
  </si>
  <si>
    <t>Proteínas</t>
  </si>
  <si>
    <t>Flujo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</si>
  <si>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</t>
    </r>
  </si>
  <si>
    <t>Carbohidratos</t>
  </si>
  <si>
    <t>[Retenido]</t>
  </si>
  <si>
    <t>Lípidos</t>
  </si>
  <si>
    <t>Factor []</t>
  </si>
  <si>
    <t>N-NH4 que se transforma en N-proteina</t>
  </si>
  <si>
    <t>Amonio: si no se ha transformado en P</t>
  </si>
  <si>
    <t>Comprobación del balance</t>
  </si>
  <si>
    <t>Entrada</t>
  </si>
  <si>
    <t>Salida</t>
  </si>
  <si>
    <t>Biomasa</t>
  </si>
  <si>
    <t>EQUIPOS</t>
  </si>
  <si>
    <t>Fotobiorreactor</t>
  </si>
  <si>
    <t>Ultrasonidos</t>
  </si>
  <si>
    <t>Reactor hidrólisis</t>
  </si>
  <si>
    <t>Tanque final</t>
  </si>
  <si>
    <t>Potencia</t>
  </si>
  <si>
    <t>W</t>
  </si>
  <si>
    <t>Enzima</t>
  </si>
  <si>
    <t>Caudal</t>
  </si>
  <si>
    <t>Tiempo uso</t>
  </si>
  <si>
    <t>h</t>
  </si>
  <si>
    <t>Total enzima</t>
  </si>
  <si>
    <t>m</t>
  </si>
  <si>
    <t>Modelo</t>
  </si>
  <si>
    <t>Energía</t>
  </si>
  <si>
    <t>MJ/kg</t>
  </si>
  <si>
    <t>Coste unitario</t>
  </si>
  <si>
    <t>€/kg</t>
  </si>
  <si>
    <r>
      <t>€/m</t>
    </r>
    <r>
      <rPr>
        <vertAlign val="superscript"/>
        <sz val="11"/>
        <color theme="1"/>
        <rFont val="Calibri"/>
        <family val="2"/>
        <scheme val="minor"/>
      </rPr>
      <t>3</t>
    </r>
  </si>
  <si>
    <t>Cantidad mín</t>
  </si>
  <si>
    <t>Energía total</t>
  </si>
  <si>
    <t>MJ/d</t>
  </si>
  <si>
    <t>Coste total</t>
  </si>
  <si>
    <t>€/d</t>
  </si>
  <si>
    <t>€</t>
  </si>
  <si>
    <t>Cantidad nec.</t>
  </si>
  <si>
    <t>Fosfato</t>
  </si>
  <si>
    <t>ESTUDIO TECNOECONÓMICO</t>
  </si>
  <si>
    <t>Calentamiento reactor</t>
  </si>
  <si>
    <t>COSTES Y EQUIPOS</t>
  </si>
  <si>
    <t>Flow</t>
  </si>
  <si>
    <t>Necesidades calorificas</t>
  </si>
  <si>
    <t>Equipo</t>
  </si>
  <si>
    <t>Tamaño mínimo unidad</t>
  </si>
  <si>
    <t>Coste (€/uni)</t>
  </si>
  <si>
    <t>Capacidad</t>
  </si>
  <si>
    <t>Item</t>
  </si>
  <si>
    <t>Descripción</t>
  </si>
  <si>
    <t>Unidades</t>
  </si>
  <si>
    <t>Total (€)</t>
  </si>
  <si>
    <t>kJ/día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</si>
  <si>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</si>
  <si>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Unidad de preparación de medio</t>
  </si>
  <si>
    <t>T inicial</t>
  </si>
  <si>
    <t>ºC</t>
  </si>
  <si>
    <t>kW</t>
  </si>
  <si>
    <t>Compresor de aire</t>
  </si>
  <si>
    <t>T final</t>
  </si>
  <si>
    <t>kg/h</t>
  </si>
  <si>
    <r>
      <t>Unidad de suministro de CO</t>
    </r>
    <r>
      <rPr>
        <vertAlign val="subscript"/>
        <sz val="11"/>
        <color theme="1"/>
        <rFont val="Calibri"/>
        <family val="2"/>
        <scheme val="minor"/>
      </rPr>
      <t>2</t>
    </r>
  </si>
  <si>
    <t>Cp</t>
  </si>
  <si>
    <t>J/kg·ºC</t>
  </si>
  <si>
    <t>T2</t>
  </si>
  <si>
    <t>Tanque de almacenamiento para cosecha</t>
  </si>
  <si>
    <t>T1</t>
  </si>
  <si>
    <t>Sistema de membranas</t>
  </si>
  <si>
    <t>Sistema de ultrasonidos</t>
  </si>
  <si>
    <t>Flujo vapor necesario (LPS a 2 bar)</t>
  </si>
  <si>
    <t>Reactor de hidrólisis</t>
  </si>
  <si>
    <t>Tanque final de almacenamiento</t>
  </si>
  <si>
    <t>λ</t>
  </si>
  <si>
    <t>kJ/kg</t>
  </si>
  <si>
    <t>Bomba corriente 1</t>
  </si>
  <si>
    <t>mf</t>
  </si>
  <si>
    <t>kg/s</t>
  </si>
  <si>
    <t>Bomba corriente 2</t>
  </si>
  <si>
    <t>kg/día</t>
  </si>
  <si>
    <t>Bomba corriente 3</t>
  </si>
  <si>
    <t>T</t>
  </si>
  <si>
    <t>Bomba corriente 6</t>
  </si>
  <si>
    <t>Bomba corriente 9</t>
  </si>
  <si>
    <t>Bomba corriente 10</t>
  </si>
  <si>
    <t>Bomba corriente 11</t>
  </si>
  <si>
    <t>Factor exponencial</t>
  </si>
  <si>
    <t>Tasa inflación EE.UU (2014 - 2022)</t>
  </si>
  <si>
    <t>CAPITAL FIJO</t>
  </si>
  <si>
    <t>Tasa inflación España (2014 - 2022)</t>
  </si>
  <si>
    <t>Factor</t>
  </si>
  <si>
    <t>Coste (€)</t>
  </si>
  <si>
    <t>Coste total de equipos</t>
  </si>
  <si>
    <t>COSTES RELEVANTES</t>
  </si>
  <si>
    <t>Horas</t>
  </si>
  <si>
    <t>Días</t>
  </si>
  <si>
    <t>Costes de instalación</t>
  </si>
  <si>
    <t>Instrumentación y control</t>
  </si>
  <si>
    <t>Tubería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</si>
  <si>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</si>
  <si>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Sistemas eléctricos</t>
  </si>
  <si>
    <t>Fertilizantes</t>
  </si>
  <si>
    <t>Edificios</t>
  </si>
  <si>
    <t>€/kWh</t>
  </si>
  <si>
    <t>Mejoras de terreno</t>
  </si>
  <si>
    <t>Enzimas</t>
  </si>
  <si>
    <t>Servicios</t>
  </si>
  <si>
    <t>Agua enfriamiento</t>
  </si>
  <si>
    <t>Terreno</t>
  </si>
  <si>
    <t>Ingeniería y supervisión</t>
  </si>
  <si>
    <t>LPS 2 bar</t>
  </si>
  <si>
    <t>Gastos de construcción</t>
  </si>
  <si>
    <t>CONSUMOS DE ENERGÍA</t>
  </si>
  <si>
    <t>Contratista</t>
  </si>
  <si>
    <t>Mezclado thin-layer</t>
  </si>
  <si>
    <r>
      <t>W/m</t>
    </r>
    <r>
      <rPr>
        <vertAlign val="superscript"/>
        <sz val="11"/>
        <color theme="1"/>
        <rFont val="Calibri"/>
        <family val="2"/>
        <scheme val="minor"/>
      </rPr>
      <t>3</t>
    </r>
  </si>
  <si>
    <t>Contingencia</t>
  </si>
  <si>
    <t>Energía TL</t>
  </si>
  <si>
    <t>kWh/d</t>
  </si>
  <si>
    <t>Mezclado reactor</t>
  </si>
  <si>
    <r>
      <t>kW/m</t>
    </r>
    <r>
      <rPr>
        <vertAlign val="superscript"/>
        <sz val="11"/>
        <color theme="1"/>
        <rFont val="Calibri"/>
        <family val="2"/>
        <scheme val="minor"/>
      </rPr>
      <t>3</t>
    </r>
  </si>
  <si>
    <t>CAPITAL FIJO ANUAL</t>
  </si>
  <si>
    <t>Energía reactor</t>
  </si>
  <si>
    <t>kWh</t>
  </si>
  <si>
    <t>Tiempo de vida</t>
  </si>
  <si>
    <t>Total mezclado</t>
  </si>
  <si>
    <t>Depreciación</t>
  </si>
  <si>
    <t>US</t>
  </si>
  <si>
    <t>Impuesto sobre bienes (1% depreciación)</t>
  </si>
  <si>
    <t>Energía US</t>
  </si>
  <si>
    <t>Seguros (0,6% depreciación)</t>
  </si>
  <si>
    <t>Impuesto IVA (21% items 1-12/tiempo)</t>
  </si>
  <si>
    <t>MJ</t>
  </si>
  <si>
    <t>Calor reactor</t>
  </si>
  <si>
    <t>Mantener a 50ºC y subir desde 30ºC</t>
  </si>
  <si>
    <t>Flujo LPS 120ºC y 2 bar</t>
  </si>
  <si>
    <t>COSTES PRODUCCIÓN DIRECTOS</t>
  </si>
  <si>
    <t>OPEX (OMC)</t>
  </si>
  <si>
    <t>Distribución</t>
  </si>
  <si>
    <t>Raw material</t>
  </si>
  <si>
    <t>Utilities</t>
  </si>
  <si>
    <t>Labor</t>
  </si>
  <si>
    <t>Materia prima</t>
  </si>
  <si>
    <t>Cantidad anual</t>
  </si>
  <si>
    <t>€/unidad</t>
  </si>
  <si>
    <t>IC</t>
  </si>
  <si>
    <t>Capex</t>
  </si>
  <si>
    <t>Fertilizers</t>
  </si>
  <si>
    <t>Energy</t>
  </si>
  <si>
    <t>Calor US</t>
  </si>
  <si>
    <t>Fertilizantes (kg)</t>
  </si>
  <si>
    <t>OMC</t>
  </si>
  <si>
    <t>Opex</t>
  </si>
  <si>
    <t>Water</t>
  </si>
  <si>
    <t>Heat water</t>
  </si>
  <si>
    <t>Supervision</t>
  </si>
  <si>
    <t>Flujo agua necesario US (enfriar)</t>
  </si>
  <si>
    <t>Sube de 20ºC a 35ºC (poco tiempo, no hace falta enfriar)</t>
  </si>
  <si>
    <r>
      <t>Agua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</si>
  <si>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Total</t>
  </si>
  <si>
    <t>Payroll charges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</si>
  <si>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(kg)</t>
    </r>
  </si>
  <si>
    <t>Enzymes</t>
  </si>
  <si>
    <t>Maintenance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</si>
  <si>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</si>
  <si>
    <t>Enzimas (kg)</t>
  </si>
  <si>
    <t>Phosphate</t>
  </si>
  <si>
    <t>Operating supplies</t>
  </si>
  <si>
    <t>Membranas</t>
  </si>
  <si>
    <t>General plant overheads</t>
  </si>
  <si>
    <t>Fosfato (kg)</t>
  </si>
  <si>
    <t>Tax</t>
  </si>
  <si>
    <t>CASO ESCENARIO 1</t>
  </si>
  <si>
    <t>TOTAL</t>
  </si>
  <si>
    <t>Contingency</t>
  </si>
  <si>
    <t>Tiempo operación</t>
  </si>
  <si>
    <t>Marketing</t>
  </si>
  <si>
    <t>Tasa dilución</t>
  </si>
  <si>
    <t>1/d</t>
  </si>
  <si>
    <t>Energía mezcla (kWh)</t>
  </si>
  <si>
    <t>Energía ultrasonidos (kWh)</t>
  </si>
  <si>
    <t>Flujo aire</t>
  </si>
  <si>
    <t>v/v/min</t>
  </si>
  <si>
    <t>Energía bombas y membrana (kWh)</t>
  </si>
  <si>
    <t>M</t>
  </si>
  <si>
    <r>
      <t>Consumo CO</t>
    </r>
    <r>
      <rPr>
        <vertAlign val="subscript"/>
        <sz val="11"/>
        <color theme="1"/>
        <rFont val="Calibri"/>
        <family val="2"/>
        <scheme val="minor"/>
      </rPr>
      <t>2</t>
    </r>
  </si>
  <si>
    <t>kg/kg alga</t>
  </si>
  <si>
    <r>
      <t>Agua enfriamiento US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</si>
  <si>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B</t>
  </si>
  <si>
    <t>g/L/d</t>
  </si>
  <si>
    <t>Consumo enzimas</t>
  </si>
  <si>
    <t>Personal y otros</t>
  </si>
  <si>
    <t>Personal</t>
  </si>
  <si>
    <t>CONSUMOS BOMBAS (eficacia del 75%, ASPEN)</t>
  </si>
  <si>
    <t>Supervision (20% de personal)</t>
  </si>
  <si>
    <t>P (Q1)</t>
  </si>
  <si>
    <t>Cargos de nómica (25% de personal + supervisión)</t>
  </si>
  <si>
    <t>P (Q2)</t>
  </si>
  <si>
    <t>Mantenimiento (4% de equipos totales)</t>
  </si>
  <si>
    <t>P (Q3)</t>
  </si>
  <si>
    <t>Suministros de operación (0,4% de materia prima)</t>
  </si>
  <si>
    <t>P (Q6)</t>
  </si>
  <si>
    <t>Gastos generales planta (55% de personal + supervision + mantenimiento)</t>
  </si>
  <si>
    <t>P (Q9)</t>
  </si>
  <si>
    <t>Impuestos (21% de materia prima + utilities + mantenimiento + suministros)</t>
  </si>
  <si>
    <t>P (Q10)</t>
  </si>
  <si>
    <t>Contingencia (5% de materia prima + utilities)</t>
  </si>
  <si>
    <t>P (Q11)</t>
  </si>
  <si>
    <t>Marketing (5% de materia prima + utilities + supervisicion + cargos + mantenimiento + suministros + gastos gener.)</t>
  </si>
  <si>
    <t>COSTES TOTALES</t>
  </si>
  <si>
    <t>Capital fijo anual</t>
  </si>
  <si>
    <t>COSTE DE PRODUCCIÓN TOTAL</t>
  </si>
  <si>
    <r>
      <t>COSTE UNITARIO PRODUCCIÓN BIOESTIMULANTE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</si>
  <si>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COSTE TOTAL TRATAMIENTO PURÍN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</si>
  <si>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BALANCE ECONÓMICO</t>
  </si>
  <si>
    <t>PRODUCTO OBTENIDO (uso en 1 año y 1 hectárea)</t>
  </si>
  <si>
    <t>CAPEX</t>
  </si>
  <si>
    <t>K (IC)</t>
  </si>
  <si>
    <t>Energrow Green</t>
  </si>
  <si>
    <t>NPK 12-24-12</t>
  </si>
  <si>
    <t>NPK 12-4-8 MO</t>
  </si>
  <si>
    <t>OPEX</t>
  </si>
  <si>
    <t>OMC (€/year)</t>
  </si>
  <si>
    <t>C (%)</t>
  </si>
  <si>
    <t>i</t>
  </si>
  <si>
    <t>N (%)</t>
  </si>
  <si>
    <t>j</t>
  </si>
  <si>
    <t>P (%)</t>
  </si>
  <si>
    <t>Uso (L/ha·year)</t>
  </si>
  <si>
    <t>TAEC</t>
  </si>
  <si>
    <t>€/año</t>
  </si>
  <si>
    <t>Coste unit (€/L)</t>
  </si>
  <si>
    <r>
      <t>€/m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</si>
  <si>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 (kg/ha)</t>
  </si>
  <si>
    <t>N (kg/ha)</t>
  </si>
  <si>
    <t>IC (€)</t>
  </si>
  <si>
    <t>Coste fijo total + coste fijo año - depreciación</t>
  </si>
  <si>
    <t>P (kg/ha)</t>
  </si>
  <si>
    <t>OMC (€/año)</t>
  </si>
  <si>
    <t>Costes de operación y mantenimiento</t>
  </si>
  <si>
    <t>Coste final (€/ha·year)</t>
  </si>
  <si>
    <t>i (%)</t>
  </si>
  <si>
    <t>interés</t>
  </si>
  <si>
    <t>j (años)</t>
  </si>
  <si>
    <t>vida útil</t>
  </si>
  <si>
    <t>C/N</t>
  </si>
  <si>
    <t>Dosis: fertiberia y fercampo</t>
  </si>
  <si>
    <t>Costes totales de producción</t>
  </si>
  <si>
    <t>Precio: fertiberia y enlace</t>
  </si>
  <si>
    <t>Coger NPK 12-24-12 con precio de 6,39</t>
  </si>
  <si>
    <t>Producción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</si>
  <si>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/año</t>
    </r>
  </si>
  <si>
    <t>Buscar en cuanto se diluyen los 60 L de fertilizante</t>
  </si>
  <si>
    <t>FLUJO DE CAJA (Sobra lo del VAN=0)</t>
  </si>
  <si>
    <t>Año</t>
  </si>
  <si>
    <t>Inversión</t>
  </si>
  <si>
    <t>Ingresos</t>
  </si>
  <si>
    <t>Costes</t>
  </si>
  <si>
    <t>Flujo caja</t>
  </si>
  <si>
    <t>Numerador VAN</t>
  </si>
  <si>
    <t>VAN</t>
  </si>
  <si>
    <t>Cuanto cuesta (€)</t>
  </si>
  <si>
    <t>Cuanto vendo (€)</t>
  </si>
  <si>
    <t>kg/año</t>
  </si>
  <si>
    <t>Precio sacado para VAN = 0 y comparar con otros fertilizantes</t>
  </si>
  <si>
    <t>EQUIPOS ASPEN</t>
  </si>
  <si>
    <t>Bombas</t>
  </si>
  <si>
    <t>Corriente</t>
  </si>
  <si>
    <t>Flujo (kg/h)</t>
  </si>
  <si>
    <t>P entrada (bar)</t>
  </si>
  <si>
    <t>P salida (bar)</t>
  </si>
  <si>
    <t>T (ºC)</t>
  </si>
  <si>
    <t>H (m)</t>
  </si>
  <si>
    <r>
      <t>Act. Volume flow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/h)</t>
    </r>
  </si>
  <si>
    <t>Adiabatic efficiency</t>
  </si>
  <si>
    <t>Price (€) año 2021</t>
  </si>
  <si>
    <t>Energía (W)</t>
  </si>
  <si>
    <t>Reactor</t>
  </si>
  <si>
    <t>Caudal (kg/h)</t>
  </si>
  <si>
    <t>Tiempo (h)</t>
  </si>
  <si>
    <r>
      <t>Volumen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</si>
  <si>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Altura (m)</t>
  </si>
  <si>
    <t>Diámetro (m)</t>
  </si>
  <si>
    <t>Electricidad (kW)</t>
  </si>
  <si>
    <t>LPS (KJ/h)</t>
  </si>
  <si>
    <t>Prices (€)</t>
  </si>
  <si>
    <t>Electricidad (W)</t>
  </si>
  <si>
    <t>TOTAL INPUTS</t>
  </si>
  <si>
    <t>Utility</t>
  </si>
  <si>
    <t>kg</t>
  </si>
  <si>
    <t>LPS</t>
  </si>
  <si>
    <t>Amount</t>
  </si>
  <si>
    <t>Units</t>
  </si>
  <si>
    <t>Product</t>
  </si>
  <si>
    <t>PWW</t>
  </si>
  <si>
    <t>Pumps</t>
  </si>
  <si>
    <t>Mixing</t>
  </si>
  <si>
    <t>Membrane</t>
  </si>
  <si>
    <t>Biostimulant</t>
  </si>
  <si>
    <t>Irrigation water</t>
  </si>
  <si>
    <t>Input</t>
  </si>
  <si>
    <t>Unit</t>
  </si>
  <si>
    <t>Output</t>
  </si>
  <si>
    <t>Pérdidas calor reactor CSTR</t>
  </si>
  <si>
    <r>
      <t>Q</t>
    </r>
    <r>
      <rPr>
        <vertAlign val="subscript"/>
        <sz val="11"/>
        <color theme="1"/>
        <rFont val="Calibri"/>
        <family val="2"/>
        <scheme val="minor"/>
      </rPr>
      <t>loss</t>
    </r>
  </si>
  <si>
    <r>
      <t>k</t>
    </r>
    <r>
      <rPr>
        <vertAlign val="subscript"/>
        <sz val="11"/>
        <color theme="1"/>
        <rFont val="Calibri"/>
        <family val="2"/>
        <scheme val="minor"/>
      </rPr>
      <t>a</t>
    </r>
  </si>
  <si>
    <t>W/m·K</t>
  </si>
  <si>
    <t>s</t>
  </si>
  <si>
    <t>ΔT</t>
  </si>
  <si>
    <t>K</t>
  </si>
  <si>
    <r>
      <t>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</si>
  <si>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TOTAL OUTPUTS</t>
  </si>
  <si>
    <t>Portner 2021</t>
  </si>
  <si>
    <t>Air</t>
  </si>
  <si>
    <t>Mix energy</t>
  </si>
  <si>
    <t>Biomass</t>
  </si>
  <si>
    <t>Water evaporation</t>
  </si>
  <si>
    <t>Slurry</t>
  </si>
  <si>
    <t>Recirculation</t>
  </si>
  <si>
    <t>Input reactor</t>
  </si>
  <si>
    <t>Evaporation</t>
  </si>
  <si>
    <t>Output reactor</t>
  </si>
  <si>
    <t>Permeate</t>
  </si>
  <si>
    <t>Purge</t>
  </si>
  <si>
    <t>Concentrated</t>
  </si>
  <si>
    <t>US output</t>
  </si>
  <si>
    <t>THIN-LAYER STRUCTURE</t>
  </si>
  <si>
    <t>Density</t>
  </si>
  <si>
    <t>Value</t>
  </si>
  <si>
    <t>Reference</t>
  </si>
  <si>
    <t>Compound</t>
  </si>
  <si>
    <t>Concrete</t>
  </si>
  <si>
    <t>Glass fiber</t>
  </si>
  <si>
    <t>https://www.sciencedirect.com/science/article/pii/B9780081022283000074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</si>
  <si>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</si>
  <si>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Volume</t>
  </si>
  <si>
    <t>Life time</t>
  </si>
  <si>
    <t>year</t>
  </si>
  <si>
    <t>Glass fiber demand</t>
  </si>
  <si>
    <t>Glass fiber per area</t>
  </si>
  <si>
    <t>Material input</t>
  </si>
  <si>
    <t>Material balance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</si>
  <si>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</si>
  <si>
    <t>Thickness</t>
  </si>
  <si>
    <t>mm</t>
  </si>
  <si>
    <t>https://www.mdpi.com/2076-3417/10/15/5130</t>
  </si>
  <si>
    <t>Data base SimaPro</t>
  </si>
  <si>
    <t>Pilot plant Almería</t>
  </si>
  <si>
    <t>HARVESTING WITH MEMBRANE</t>
  </si>
  <si>
    <t>Membrane energy</t>
  </si>
  <si>
    <t>PRETREATMENT</t>
  </si>
  <si>
    <t>US energy</t>
  </si>
  <si>
    <t>Heat losses</t>
  </si>
  <si>
    <t>Emissions air</t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</si>
  <si>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</si>
  <si>
    <t>DILUTION AND THIN-LAYER</t>
  </si>
  <si>
    <t>Avoided emission</t>
  </si>
  <si>
    <t>Output (product)</t>
  </si>
  <si>
    <t>Heavy metal</t>
  </si>
  <si>
    <t>Copper</t>
  </si>
  <si>
    <t>Zinc</t>
  </si>
  <si>
    <t>Arsenic</t>
  </si>
  <si>
    <t>Energy pumps (Q1, Q2, Q6)</t>
  </si>
  <si>
    <t>Energy pumps (Q3, Q9)</t>
  </si>
  <si>
    <t>Energy pump (Q10)</t>
  </si>
  <si>
    <t>Energy pumps (Q11)</t>
  </si>
  <si>
    <t>https://www.mdpi.com/2304-8158/11/19/3053</t>
  </si>
  <si>
    <t>kg/kg N</t>
  </si>
  <si>
    <t>https://www.mdpi.com/2079-7737/11/8/1176</t>
  </si>
  <si>
    <t>Entre 12 y 234</t>
  </si>
  <si>
    <t>Entre 4,7 y 148</t>
  </si>
  <si>
    <t>HEAVY METAL CONCENTRATION PWW</t>
  </si>
  <si>
    <t>Cu</t>
  </si>
  <si>
    <t>Zn</t>
  </si>
  <si>
    <t>Ar</t>
  </si>
  <si>
    <t>HM</t>
  </si>
  <si>
    <t>Concentración en el efluente líquido</t>
  </si>
  <si>
    <t>Entre 0,2 y 0,6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</si>
  <si>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</si>
  <si>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Variable</t>
  </si>
  <si>
    <t>Distance</t>
  </si>
  <si>
    <t>km</t>
  </si>
  <si>
    <t>https://www.sciencedirect.com/science/article/pii/S2211926415300898</t>
  </si>
  <si>
    <t>Greenfarm</t>
  </si>
  <si>
    <t>Diesel consume</t>
  </si>
  <si>
    <t>L/km</t>
  </si>
  <si>
    <t>https://www.sciencedirect.com/science/article/pii/S2352186422000748#b21</t>
  </si>
  <si>
    <t>Ammonia</t>
  </si>
  <si>
    <t>Glass fibre</t>
  </si>
  <si>
    <t>Flow (Q6)</t>
  </si>
  <si>
    <t>Irrigation water (Q8)</t>
  </si>
  <si>
    <t>Solid phase (Q9)</t>
  </si>
  <si>
    <t>Slurry (Q1)</t>
  </si>
  <si>
    <t>Flow (Q10)</t>
  </si>
  <si>
    <t>Flow (Q9)</t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</si>
  <si>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</si>
  <si>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t>MJ/kg diesel</t>
  </si>
  <si>
    <t>https://link.springer.com/article/10.1065/lca2004.10.181.10</t>
  </si>
  <si>
    <t>kg/km</t>
  </si>
  <si>
    <t>Biostimulant (10 T)</t>
  </si>
  <si>
    <t>MJ/km</t>
  </si>
  <si>
    <t>L (kg)</t>
  </si>
  <si>
    <t>Avoided chemical fertilizer</t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</si>
  <si>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</si>
  <si>
    <r>
      <t>BALANCE FUNCTIONAL UNIT (1 m</t>
    </r>
    <r>
      <rPr>
        <b/>
        <vertAlign val="superscript"/>
        <sz val="11"/>
        <color theme="3"/>
        <rFont val="Calibri"/>
        <family val="2"/>
        <scheme val="minor"/>
      </rPr>
      <t>3</t>
    </r>
    <r>
      <rPr>
        <b/>
        <sz val="11"/>
        <color theme="3"/>
        <rFont val="Calibri"/>
        <family val="2"/>
        <scheme val="minor"/>
      </rPr>
      <t xml:space="preserve"> biostimulant)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</si>
  <si>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</si>
  <si>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</si>
  <si>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</si>
  <si>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Tap water {Europe without Switzerland}| market for | Alloc Rec, U</t>
  </si>
  <si>
    <t>Air (in air)</t>
  </si>
  <si>
    <t>Ammonia, ES</t>
  </si>
  <si>
    <t>MICROALGAE CULTIVATION (Q6)</t>
  </si>
  <si>
    <t>BIOMASS HARVESTING (Q9)</t>
  </si>
  <si>
    <t>Tap water {RoW}| tap water production, underground water without treatment | Alloc Rec, U</t>
  </si>
  <si>
    <t>US PRETREATMENT (Q10)</t>
  </si>
  <si>
    <t>Process steam from natural gas, heat plant, consumption mix, at plant, MJ, ES S</t>
  </si>
  <si>
    <t>BIOSTIMULANT PRODUCTION (Q11)</t>
  </si>
  <si>
    <t>Heat, waste</t>
  </si>
  <si>
    <r>
      <t>MJ/m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</si>
  <si>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BIOSTIMULANT PRODUCTION</t>
  </si>
  <si>
    <t>Sodium phosphate {GLO}| market for | Alloc Rec, U</t>
  </si>
  <si>
    <t>Electricity, medium voltage {ES}| market for | Alloc Rec, U</t>
  </si>
  <si>
    <t>Carbon dioxide, liquid {RER}| production | Alloc Rec, U</t>
  </si>
  <si>
    <r>
      <t>CO</t>
    </r>
    <r>
      <rPr>
        <vertAlign val="subscript"/>
        <sz val="11"/>
        <rFont val="Calibri"/>
        <family val="2"/>
        <scheme val="minor"/>
      </rPr>
      <t>2</t>
    </r>
  </si>
  <si>
    <r>
      <t>kg/m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biostimulant</t>
    </r>
  </si>
  <si>
    <t>Enzyme, Alpha-amylase, Novozyme Liquozyme/kg/RER</t>
  </si>
  <si>
    <t>Nitrogen fertiliser, as N {GLO}| market for | Alloc Rec, U</t>
  </si>
  <si>
    <t>Phosphate fertiliser, as P2O5 {GLO}| market for | Alloc Rec, U</t>
  </si>
  <si>
    <t>Biostimulant production</t>
  </si>
  <si>
    <t>Biomass harvesting</t>
  </si>
  <si>
    <t>Biomass pretreatment</t>
  </si>
  <si>
    <t>Carcinogens</t>
  </si>
  <si>
    <t>Non-carcinogens</t>
  </si>
  <si>
    <t>Respiratory inorganics</t>
  </si>
  <si>
    <t>Ozone layer depletion</t>
  </si>
  <si>
    <t>Respiratory organics</t>
  </si>
  <si>
    <t>Aquatic ecotoxicity</t>
  </si>
  <si>
    <t>Terrestrial acid/nutri</t>
  </si>
  <si>
    <t>Land occupation</t>
  </si>
  <si>
    <t>Aquatic acidification</t>
  </si>
  <si>
    <t>Aquatic eutrophication</t>
  </si>
  <si>
    <t>Global warming</t>
  </si>
  <si>
    <t>Non-renewable energy</t>
  </si>
  <si>
    <t>Mineral extraction</t>
  </si>
  <si>
    <t>Human health</t>
  </si>
  <si>
    <t>Ecosystem quality</t>
  </si>
  <si>
    <t>Climate change</t>
  </si>
  <si>
    <t>Resources</t>
  </si>
  <si>
    <t>kg PM2.5 eq</t>
  </si>
  <si>
    <t>Bq C-14 eq</t>
  </si>
  <si>
    <t>kg CFC-11 eq</t>
  </si>
  <si>
    <t>kg TEG water</t>
  </si>
  <si>
    <t>kg TEG soil</t>
  </si>
  <si>
    <t>MJ primary</t>
  </si>
  <si>
    <t>MJ surplus</t>
  </si>
  <si>
    <t>NPK</t>
  </si>
  <si>
    <t>EQUIVALENT BIOSTIMULANT (1 ha)</t>
  </si>
  <si>
    <t>Volume (L)</t>
  </si>
  <si>
    <t>L/L</t>
  </si>
  <si>
    <r>
      <t>tkm/m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</si>
  <si>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Steel</t>
  </si>
  <si>
    <t>TFM Rubén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</si>
  <si>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</si>
  <si>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</t>
    </r>
    <r>
      <rPr>
        <vertAlign val="subscript"/>
        <sz val="11"/>
        <color theme="1"/>
        <rFont val="Calibri"/>
        <family val="2"/>
        <scheme val="minor"/>
      </rPr>
      <t>2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</si>
  <si>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</si>
  <si>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FLUE GAS COMPOSITION (FROM NATURAL GAS)</t>
  </si>
  <si>
    <r>
      <t>Required CO</t>
    </r>
    <r>
      <rPr>
        <vertAlign val="subscript"/>
        <sz val="11"/>
        <color theme="1"/>
        <rFont val="Calibri"/>
        <family val="2"/>
        <scheme val="minor"/>
      </rPr>
      <t>2</t>
    </r>
  </si>
  <si>
    <t>Flujo evitado en el thin layer</t>
  </si>
  <si>
    <t>1 ha</t>
  </si>
  <si>
    <t>Truck</t>
  </si>
  <si>
    <t>Balance total proceso</t>
  </si>
  <si>
    <t>units/d</t>
  </si>
  <si>
    <t>tkm</t>
  </si>
  <si>
    <t>TRANSPORT BIOSTIMULANT (10 T TRUCK)</t>
  </si>
  <si>
    <t>TRANSPORT IRRIGATION WATER (10 T TRUCK)</t>
  </si>
  <si>
    <t>TRANSPORT SLURRY (10 T TRUCK)</t>
  </si>
  <si>
    <t>REACTOR INFRASTRUCTURE</t>
  </si>
  <si>
    <t>TANKS INFRASTRUCTURE</t>
  </si>
  <si>
    <t>Glass fibre {GLO}| market for | Alloc Rec, U</t>
  </si>
  <si>
    <t>kg/year</t>
  </si>
  <si>
    <t>SimaPro = 1 p</t>
  </si>
  <si>
    <r>
      <t>p/m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</si>
  <si>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AIR EMISSIONS FACTOR BIOSTIMULANT</t>
  </si>
  <si>
    <t>SOLI EMISSIONS FACTOR BIOSTIMULANT</t>
  </si>
  <si>
    <t>Nitrate</t>
  </si>
  <si>
    <t>TFM María Maté</t>
  </si>
  <si>
    <t>Steel per area</t>
  </si>
  <si>
    <t>Height</t>
  </si>
  <si>
    <t>Diameter</t>
  </si>
  <si>
    <t>Technoeconomical assumption</t>
  </si>
  <si>
    <t>Steel demand</t>
  </si>
  <si>
    <t>REACTOR STRUCTURE</t>
  </si>
  <si>
    <t>Steel, stainless 304, scrap/kg/GLO</t>
  </si>
  <si>
    <t>TANK STRUCTURE</t>
  </si>
  <si>
    <t>LDPE per are</t>
  </si>
  <si>
    <t>LDPE demand</t>
  </si>
  <si>
    <t>Pechrisi 2023</t>
  </si>
  <si>
    <t>Ionizing radiation</t>
  </si>
  <si>
    <t>Terrestrial ecotoxicity</t>
  </si>
  <si>
    <t>m2org.arable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</si>
  <si>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Cl eq</t>
    </r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</si>
  <si>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eq</t>
    </r>
  </si>
  <si>
    <r>
      <t>kg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</t>
    </r>
  </si>
  <si>
    <r>
      <t>kg 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P-lim</t>
    </r>
  </si>
  <si>
    <t>Final tank</t>
  </si>
  <si>
    <t>Impact</t>
  </si>
  <si>
    <t>Enzyme</t>
  </si>
  <si>
    <t>Steam</t>
  </si>
  <si>
    <t>Electricity</t>
  </si>
  <si>
    <t>Transport</t>
  </si>
  <si>
    <t>Biomass cultivation</t>
  </si>
  <si>
    <t>Pig manure (transport)</t>
  </si>
  <si>
    <t>Thin-layer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</si>
  <si>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</si>
  <si>
    <r>
      <t>kg CO</t>
    </r>
    <r>
      <rPr>
        <b/>
        <vertAlign val="sub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eq</t>
    </r>
  </si>
  <si>
    <t>DALY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</si>
  <si>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·year</t>
    </r>
  </si>
  <si>
    <t>Fibra vidrio</t>
  </si>
  <si>
    <t>Worst</t>
  </si>
  <si>
    <r>
      <t>Q (m</t>
    </r>
    <r>
      <rPr>
        <vertAlign val="superscript"/>
        <sz val="11"/>
        <color theme="1"/>
        <rFont val="Calibri"/>
        <family val="2"/>
        <scheme val="minor"/>
      </rPr>
      <t>3/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</si>
  <si>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Water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</si>
  <si>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Microalgae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</si>
  <si>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TSS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</si>
  <si>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TOC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</si>
  <si>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</si>
  <si>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Ammonium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</si>
  <si>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TP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</si>
  <si>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Protein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</si>
  <si>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Carbohydrate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</si>
  <si>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Lipid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</si>
  <si>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t>Total (L)</t>
  </si>
  <si>
    <t>Ratio (L)</t>
  </si>
  <si>
    <t>Total real</t>
  </si>
  <si>
    <t>Cultivation</t>
  </si>
  <si>
    <t>Contribution (%)</t>
  </si>
  <si>
    <t>m3/year</t>
  </si>
  <si>
    <t>Transporte de purín a planta (menos de 15 km) - En SLURRY</t>
  </si>
  <si>
    <r>
      <t>CO</t>
    </r>
    <r>
      <rPr>
        <b/>
        <vertAlign val="subscript"/>
        <sz val="11"/>
        <color theme="3"/>
        <rFont val="Calibri"/>
        <family val="2"/>
        <scheme val="minor"/>
      </rPr>
      <t>2</t>
    </r>
    <r>
      <rPr>
        <b/>
        <sz val="11"/>
        <color theme="3"/>
        <rFont val="Calibri"/>
        <family val="2"/>
        <scheme val="minor"/>
      </rPr>
      <t xml:space="preserve"> PRODUCTION</t>
    </r>
  </si>
  <si>
    <t>Heat energy</t>
  </si>
  <si>
    <t>MEA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</si>
  <si>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</si>
  <si>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Batuecas 2021 - Table 1</t>
  </si>
  <si>
    <t>Feed</t>
  </si>
  <si>
    <r>
      <t>x</t>
    </r>
    <r>
      <rPr>
        <vertAlign val="subscript"/>
        <sz val="11"/>
        <color theme="1"/>
        <rFont val="Calibri"/>
        <family val="2"/>
        <scheme val="minor"/>
      </rPr>
      <t>molar</t>
    </r>
  </si>
  <si>
    <t>Ma 2018 - Table 1</t>
  </si>
  <si>
    <t>kmol/h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</si>
  <si>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purified</t>
    </r>
  </si>
  <si>
    <t>Behera 2021</t>
  </si>
  <si>
    <t>Carbon dioxide</t>
  </si>
  <si>
    <t>Cantidad de acero entre los años de vida y el caudal total de ese bloque</t>
  </si>
  <si>
    <t>Ma 2018 - Table 1 (mol)</t>
  </si>
  <si>
    <r>
      <t>x</t>
    </r>
    <r>
      <rPr>
        <i/>
        <vertAlign val="subscript"/>
        <sz val="11"/>
        <color rgb="FF7F7F7F"/>
        <rFont val="Calibri"/>
        <family val="2"/>
        <scheme val="minor"/>
      </rPr>
      <t>masa</t>
    </r>
  </si>
  <si>
    <r>
      <t>Input (UF = 1 kg 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</t>
    </r>
  </si>
  <si>
    <r>
      <t>Output (UF = 1 kg 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</t>
    </r>
  </si>
  <si>
    <t>Allocation</t>
  </si>
  <si>
    <t>Bibliografía</t>
  </si>
  <si>
    <t>https://www.sciencedirect.com/science/article/pii/S0959652617322539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</si>
  <si>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</t>
    </r>
  </si>
  <si>
    <t>Alga marina roja</t>
  </si>
  <si>
    <t>Ammonia, liquid</t>
  </si>
  <si>
    <t>Diesel</t>
  </si>
  <si>
    <t>Tap water</t>
  </si>
  <si>
    <t>Hosseini 2023 - Table 5</t>
  </si>
  <si>
    <t>Subtitution ammonium nitrate (N)</t>
  </si>
  <si>
    <t>Subtitution diammonium phosphate (P)</t>
  </si>
  <si>
    <t>L</t>
  </si>
  <si>
    <t>CHEMICAL FERTILIZER FOOTPRINT</t>
  </si>
  <si>
    <t>https://www.mdpi.com/2071-1050/13/1/148 (Table 4 y 6)</t>
  </si>
  <si>
    <t>NPK 15-15-15</t>
  </si>
  <si>
    <t>CAN (26,5% N)</t>
  </si>
  <si>
    <r>
      <t>MOP (40% 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</si>
  <si>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DAP (18% N / 46%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</si>
  <si>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t>Urea (46% N)</t>
  </si>
  <si>
    <r>
      <t>TSP (45%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</si>
  <si>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t>https://www.sciencedirect.com/science/article/pii/S1161030115000714 (table 2, 3 y 5)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</si>
  <si>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eq/T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</si>
  <si>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eq/300 kg</t>
    </r>
  </si>
  <si>
    <t>391-410</t>
  </si>
  <si>
    <t>NPK 15-15-15 (a)</t>
  </si>
  <si>
    <t>NPK 12-24-12 (a)</t>
  </si>
  <si>
    <t>NPK 15-15-15 (b)</t>
  </si>
  <si>
    <t>NPK 12-24-12 (b)</t>
  </si>
  <si>
    <t>Biostimulant delivery</t>
  </si>
  <si>
    <t>1,83-8</t>
  </si>
  <si>
    <t>ENVÍO</t>
  </si>
  <si>
    <t>SimaPro</t>
  </si>
  <si>
    <t>CONCLUSIÓN (giovanni 3/4): estudiando modelos de flue gas (Hossini y Batuecas), es muy similar al proceso incluido en SimaPro de pure CO2 (el cual también emplea waste gas). Así que usamos el database de SimaPro</t>
  </si>
  <si>
    <t>Necesidad para 1 ha</t>
  </si>
  <si>
    <t>TRANSPORT (100 km)</t>
  </si>
  <si>
    <t>Transporte de estimulante al campo (coger 100 km) - En Delivery</t>
  </si>
  <si>
    <t>tkm/ha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</si>
  <si>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</si>
  <si>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t>Impact (FU = 1 ha)</t>
  </si>
  <si>
    <r>
      <t>Impact (FU = 1 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)</t>
    </r>
  </si>
  <si>
    <t>WITH TRANSPORT (FU = 1 HA)</t>
  </si>
  <si>
    <r>
      <t>PRODUCTION (FU = 1 M</t>
    </r>
    <r>
      <rPr>
        <b/>
        <vertAlign val="superscript"/>
        <sz val="11"/>
        <color rgb="FFFF0000"/>
        <rFont val="Calibri"/>
        <family val="2"/>
        <scheme val="minor"/>
      </rPr>
      <t>3</t>
    </r>
    <r>
      <rPr>
        <b/>
        <sz val="11"/>
        <color rgb="FFFF0000"/>
        <rFont val="Calibri"/>
        <family val="2"/>
        <scheme val="minor"/>
      </rPr>
      <t>)</t>
    </r>
  </si>
  <si>
    <t>PRODUCTION</t>
  </si>
  <si>
    <t>DELIVERY</t>
  </si>
  <si>
    <r>
      <t>Impact (FU = 1 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)</t>
    </r>
  </si>
  <si>
    <t>BIOGAS UPGRADING BY HPWS</t>
  </si>
  <si>
    <t>Collet 2017 - Table 3</t>
  </si>
  <si>
    <t>Heat</t>
  </si>
  <si>
    <t>BIOGAS UPGRADING BY MEA ABSORPTION</t>
  </si>
  <si>
    <t>Biostimulant delivery (SimaPro) - UF = 1 ha of crops</t>
  </si>
  <si>
    <r>
      <t>Biostimulant production (SimaPro)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</si>
  <si>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Biomass pretreatment (SimaPro)</t>
  </si>
  <si>
    <t>Biomass harvesting (SimaPro)</t>
  </si>
  <si>
    <t>Biomass cultivation (SimaPro)</t>
  </si>
  <si>
    <t>Biostimulant aplication (SimaPro) - UF = 1 ha of crops</t>
  </si>
  <si>
    <r>
      <t>Biostimulant production (Flue gas - MEA)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of biostimulant</t>
    </r>
  </si>
  <si>
    <t>Biomass pretreatment (Flue gas - MEA)</t>
  </si>
  <si>
    <t>Biomass harvesting (Flue gas - MEA)</t>
  </si>
  <si>
    <t>Biomass cultivation (Flue gas - MEA)</t>
  </si>
  <si>
    <t>Biostimulant delivery (Flue gas - MEA) - UF = 1 ha of crops</t>
  </si>
  <si>
    <t>Flue gas - MEA</t>
  </si>
  <si>
    <r>
      <t>Biostimulant production (Biogas - MEA)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of biostimulant</t>
    </r>
  </si>
  <si>
    <t>Biomass pretreatment (Biogas - MEA)</t>
  </si>
  <si>
    <t>Biomass harvesting (Biogas - MEA)</t>
  </si>
  <si>
    <t>Biomass cultivation (Biogas - MEA)</t>
  </si>
  <si>
    <t>Biostimulant delivery (Biogas - MEA) - UF = 1 ha of crops</t>
  </si>
  <si>
    <t>Biogas - MEA</t>
  </si>
  <si>
    <t>Florio 2019 - Table 1</t>
  </si>
  <si>
    <t>Acetaldehyde</t>
  </si>
  <si>
    <t>Collet 2017 - Table 3 (emisión)</t>
  </si>
  <si>
    <t>Florio 2019 - Table 1 (emisión)</t>
  </si>
  <si>
    <t>Biogas MEA</t>
  </si>
  <si>
    <t>Flue MEA</t>
  </si>
  <si>
    <r>
      <t>CO</t>
    </r>
    <r>
      <rPr>
        <b/>
        <vertAlign val="subscript"/>
        <sz val="11"/>
        <color theme="3"/>
        <rFont val="Calibri"/>
        <family val="2"/>
        <scheme val="minor"/>
      </rPr>
      <t>2</t>
    </r>
    <r>
      <rPr>
        <b/>
        <sz val="11"/>
        <color theme="3"/>
        <rFont val="Calibri"/>
        <family val="2"/>
        <scheme val="minor"/>
      </rPr>
      <t xml:space="preserve"> FROM FLUE GAS BY MEA ABSORPTION</t>
    </r>
  </si>
  <si>
    <r>
      <t>CO</t>
    </r>
    <r>
      <rPr>
        <b/>
        <vertAlign val="subscript"/>
        <sz val="11"/>
        <color theme="3"/>
        <rFont val="Calibri"/>
        <family val="2"/>
        <scheme val="minor"/>
      </rPr>
      <t>2</t>
    </r>
    <r>
      <rPr>
        <b/>
        <sz val="11"/>
        <color theme="3"/>
        <rFont val="Calibri"/>
        <family val="2"/>
        <scheme val="minor"/>
      </rPr>
      <t xml:space="preserve"> FROM FLUE GAS BY MEMBRANE</t>
    </r>
  </si>
  <si>
    <t>BIOGAS UPGRADING BY MEMBRANE</t>
  </si>
  <si>
    <t>OK = 0,37</t>
  </si>
  <si>
    <t>OK = 0,033</t>
  </si>
  <si>
    <t>OK = 0,257</t>
  </si>
  <si>
    <t>OK = 0,163</t>
  </si>
  <si>
    <t>Flue gas - membrane</t>
  </si>
  <si>
    <t>Biogas - membrane</t>
  </si>
  <si>
    <t>Hossaini</t>
  </si>
  <si>
    <t>Florio</t>
  </si>
  <si>
    <t>m2</t>
  </si>
  <si>
    <t>Khojasteh 2021 - Table 3</t>
  </si>
  <si>
    <t>OK = 0,15</t>
  </si>
  <si>
    <t>Khojasteh</t>
  </si>
  <si>
    <t>Biostimulant delivery (Biogas MEA) - UF = 1 ha of crops</t>
  </si>
  <si>
    <t>OK = 0,582</t>
  </si>
  <si>
    <t>Transport, freight, lorry 7.5-16 metric ton, EURO6 {RER}| transport, freight, lorry 7.5-16 metric ton, EURO6 | Alloc Rec, U</t>
  </si>
  <si>
    <t>Biostimulant delivery (Flue gas - membrane) - UF = 1 ha of crops</t>
  </si>
  <si>
    <r>
      <t>Biostimulant production (Flue gas - membrane)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of biostimulant</t>
    </r>
  </si>
  <si>
    <t>Biomass pretreatment (Flue gas - membrane)</t>
  </si>
  <si>
    <t>Biomass harvesting (Flue gas - membrane)</t>
  </si>
  <si>
    <t>Biomass cultivation (Flue gas - membrane)</t>
  </si>
  <si>
    <t>Biostimulant delivery (Biogas - membrane) - UF = 1 ha of crops</t>
  </si>
  <si>
    <r>
      <t>Biostimulant production (Biogas - membrane)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of biostimulant</t>
    </r>
  </si>
  <si>
    <t>Biomass pretreatment (Biogas - membrane)</t>
  </si>
  <si>
    <t>Biomass harvesting (Biogas - membrane)</t>
  </si>
  <si>
    <t>Biomass cultivation (Biogas - membrane)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</si>
</sst>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0.000"/>
    <numFmt numFmtId="167" formatCode="0.0000"/>
    <numFmt numFmtId="168" formatCode="0.0%"/>
    <numFmt numFmtId="169" formatCode="0.0000E+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vertAlign val="subscript"/>
      <sz val="11"/>
      <color rgb="FFFF0000"/>
      <name val="Calibri"/>
      <family val="2"/>
      <scheme val="minor"/>
    </font>
    <font>
      <b/>
      <vertAlign val="subscript"/>
      <sz val="11"/>
      <color theme="3"/>
      <name val="Calibri"/>
      <family val="2"/>
      <scheme val="minor"/>
    </font>
    <font>
      <i/>
      <vertAlign val="subscript"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3" borderId="2" applyNumberFormat="0" applyFont="0" applyAlignment="0" applyProtection="0"/>
    <xf numFmtId="0" fontId="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5" borderId="0" applyNumberFormat="0" applyBorder="0" applyAlignment="0" applyProtection="0"/>
    <xf numFmtId="0" fontId="1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24" fillId="0" borderId="0"/>
    <xf numFmtId="0" fontId="28" fillId="22" borderId="0" applyNumberFormat="0" applyBorder="0" applyAlignment="0" applyProtection="0"/>
  </cellStyleXfs>
  <cellXfs count="326">
    <xf numFmtId="0" fontId="0" fillId="0" borderId="0" xfId="0"/>
    <xf numFmtId="0" fontId="5" fillId="0" borderId="0" xfId="4"/>
    <xf numFmtId="0" fontId="1" fillId="13" borderId="3" xfId="16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8" fillId="4" borderId="3" xfId="7" applyBorder="1" applyAlignment="1">
      <alignment horizontal="center"/>
    </xf>
    <xf numFmtId="0" fontId="1" fillId="5" borderId="3" xfId="8" applyBorder="1" applyAlignment="1">
      <alignment horizontal="center"/>
    </xf>
    <xf numFmtId="0" fontId="0" fillId="5" borderId="3" xfId="8" applyFont="1" applyBorder="1" applyAlignment="1">
      <alignment horizontal="center"/>
    </xf>
    <xf numFmtId="0" fontId="1" fillId="5" borderId="3" xfId="8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3" xfId="12" applyFont="1" applyBorder="1" applyAlignment="1">
      <alignment horizontal="center" vertical="center"/>
    </xf>
    <xf numFmtId="2" fontId="3" fillId="2" borderId="3" xfId="3" applyNumberFormat="1" applyBorder="1" applyAlignment="1">
      <alignment horizontal="center" vertical="center"/>
    </xf>
    <xf numFmtId="2" fontId="1" fillId="9" borderId="3" xfId="12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9" borderId="3" xfId="12" applyBorder="1" applyAlignment="1">
      <alignment horizontal="center" vertical="center"/>
    </xf>
    <xf numFmtId="2" fontId="10" fillId="9" borderId="3" xfId="12" applyNumberFormat="1" applyFont="1" applyBorder="1" applyAlignment="1">
      <alignment horizontal="center" vertical="center"/>
    </xf>
    <xf numFmtId="2" fontId="10" fillId="3" borderId="3" xfId="5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10" fillId="3" borderId="3" xfId="5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3" borderId="4" xfId="5" applyFont="1" applyBorder="1" applyAlignment="1">
      <alignment horizontal="center" vertical="center"/>
    </xf>
    <xf numFmtId="0" fontId="0" fillId="5" borderId="3" xfId="8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18" borderId="3" xfId="21" applyBorder="1" applyAlignment="1">
      <alignment horizontal="center"/>
    </xf>
    <xf numFmtId="0" fontId="6" fillId="0" borderId="0" xfId="6" applyNumberFormat="1" applyAlignment="1">
      <alignment horizontal="left"/>
    </xf>
    <xf numFmtId="16" fontId="0" fillId="0" borderId="0" xfId="0" applyNumberFormat="1"/>
    <xf numFmtId="0" fontId="1" fillId="16" borderId="3" xfId="19" applyBorder="1" applyAlignment="1">
      <alignment horizontal="center"/>
    </xf>
    <xf numFmtId="0" fontId="1" fillId="16" borderId="3" xfId="19" applyBorder="1" applyAlignment="1">
      <alignment horizontal="center" vertical="center"/>
    </xf>
    <xf numFmtId="0" fontId="8" fillId="6" borderId="3" xfId="9" applyBorder="1" applyAlignment="1">
      <alignment horizontal="center" vertical="center"/>
    </xf>
    <xf numFmtId="0" fontId="1" fillId="19" borderId="3" xfId="22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/>
    <xf numFmtId="9" fontId="0" fillId="0" borderId="3" xfId="1" applyFont="1" applyBorder="1" applyAlignment="1">
      <alignment horizontal="center"/>
    </xf>
    <xf numFmtId="0" fontId="1" fillId="7" borderId="3" xfId="10" applyBorder="1" applyAlignment="1">
      <alignment horizontal="center"/>
    </xf>
    <xf numFmtId="44" fontId="0" fillId="0" borderId="0" xfId="0" applyNumberFormat="1"/>
    <xf numFmtId="0" fontId="10" fillId="0" borderId="3" xfId="0" applyFont="1" applyBorder="1"/>
    <xf numFmtId="0" fontId="8" fillId="6" borderId="3" xfId="9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44" fontId="7" fillId="0" borderId="9" xfId="0" applyNumberFormat="1" applyFont="1" applyBorder="1"/>
    <xf numFmtId="9" fontId="7" fillId="0" borderId="10" xfId="1" applyFont="1" applyFill="1" applyBorder="1" applyAlignment="1">
      <alignment horizontal="center"/>
    </xf>
    <xf numFmtId="44" fontId="0" fillId="0" borderId="3" xfId="0" applyNumberFormat="1" applyBorder="1"/>
    <xf numFmtId="0" fontId="3" fillId="2" borderId="3" xfId="3" applyBorder="1" applyAlignment="1">
      <alignment horizontal="center"/>
    </xf>
    <xf numFmtId="0" fontId="1" fillId="10" borderId="3" xfId="13" applyBorder="1"/>
    <xf numFmtId="0" fontId="0" fillId="10" borderId="3" xfId="13" applyFont="1" applyBorder="1"/>
    <xf numFmtId="0" fontId="6" fillId="0" borderId="0" xfId="6"/>
    <xf numFmtId="0" fontId="1" fillId="10" borderId="3" xfId="13" applyBorder="1" applyAlignment="1">
      <alignment horizontal="center"/>
    </xf>
    <xf numFmtId="44" fontId="0" fillId="0" borderId="8" xfId="0" applyNumberFormat="1" applyBorder="1"/>
    <xf numFmtId="9" fontId="0" fillId="0" borderId="8" xfId="1" applyFont="1" applyBorder="1" applyAlignment="1">
      <alignment horizontal="center"/>
    </xf>
    <xf numFmtId="9" fontId="7" fillId="0" borderId="10" xfId="1" applyFont="1" applyBorder="1" applyAlignment="1">
      <alignment horizontal="center"/>
    </xf>
    <xf numFmtId="0" fontId="1" fillId="19" borderId="8" xfId="22" applyBorder="1" applyAlignment="1">
      <alignment horizontal="center"/>
    </xf>
    <xf numFmtId="0" fontId="1" fillId="19" borderId="13" xfId="22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10" borderId="12" xfId="13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7" borderId="12" xfId="10" applyBorder="1" applyAlignment="1">
      <alignment horizontal="center"/>
    </xf>
    <xf numFmtId="44" fontId="0" fillId="0" borderId="12" xfId="0" applyNumberFormat="1" applyBorder="1" applyAlignment="1">
      <alignment horizontal="center"/>
    </xf>
    <xf numFmtId="9" fontId="0" fillId="0" borderId="3" xfId="1" applyFont="1" applyBorder="1"/>
    <xf numFmtId="9" fontId="0" fillId="0" borderId="3" xfId="0" applyNumberFormat="1" applyBorder="1" applyAlignment="1">
      <alignment horizontal="center"/>
    </xf>
    <xf numFmtId="0" fontId="1" fillId="10" borderId="3" xfId="13" applyBorder="1" applyAlignment="1">
      <alignment horizontal="center" vertical="center"/>
    </xf>
    <xf numFmtId="2" fontId="0" fillId="0" borderId="3" xfId="0" applyNumberFormat="1" applyBorder="1"/>
    <xf numFmtId="0" fontId="0" fillId="13" borderId="3" xfId="16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/>
    <xf numFmtId="0" fontId="7" fillId="0" borderId="9" xfId="0" applyFont="1" applyBorder="1" applyAlignment="1">
      <alignment horizontal="right"/>
    </xf>
    <xf numFmtId="44" fontId="7" fillId="0" borderId="17" xfId="0" applyNumberFormat="1" applyFont="1" applyBorder="1"/>
    <xf numFmtId="0" fontId="1" fillId="19" borderId="12" xfId="22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13" borderId="8" xfId="16" applyFont="1" applyBorder="1" applyAlignment="1">
      <alignment horizontal="center" vertical="center"/>
    </xf>
    <xf numFmtId="44" fontId="7" fillId="0" borderId="17" xfId="0" applyNumberFormat="1" applyFont="1" applyBorder="1" applyAlignment="1">
      <alignment horizontal="center"/>
    </xf>
    <xf numFmtId="0" fontId="0" fillId="13" borderId="12" xfId="16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/>
    </xf>
    <xf numFmtId="0" fontId="4" fillId="17" borderId="18" xfId="20" applyFont="1" applyBorder="1"/>
    <xf numFmtId="44" fontId="12" fillId="0" borderId="19" xfId="0" applyNumberFormat="1" applyFont="1" applyBorder="1"/>
    <xf numFmtId="0" fontId="4" fillId="17" borderId="20" xfId="20" applyFont="1" applyBorder="1"/>
    <xf numFmtId="44" fontId="12" fillId="0" borderId="21" xfId="0" applyNumberFormat="1" applyFont="1" applyBorder="1"/>
    <xf numFmtId="0" fontId="4" fillId="17" borderId="22" xfId="20" applyFont="1" applyBorder="1"/>
    <xf numFmtId="44" fontId="12" fillId="0" borderId="23" xfId="0" applyNumberFormat="1" applyFont="1" applyBorder="1"/>
    <xf numFmtId="0" fontId="2" fillId="0" borderId="0" xfId="2" applyFill="1" applyBorder="1" applyAlignment="1"/>
    <xf numFmtId="0" fontId="6" fillId="0" borderId="0" xfId="6" applyAlignment="1">
      <alignment horizontal="right"/>
    </xf>
    <xf numFmtId="0" fontId="0" fillId="0" borderId="0" xfId="0" applyAlignment="1">
      <alignment horizontal="center" vertical="center"/>
    </xf>
    <xf numFmtId="0" fontId="8" fillId="15" borderId="18" xfId="18" applyBorder="1" applyAlignment="1">
      <alignment horizontal="center" vertical="center"/>
    </xf>
    <xf numFmtId="0" fontId="8" fillId="4" borderId="19" xfId="7" applyBorder="1" applyAlignment="1">
      <alignment horizontal="center" vertical="center"/>
    </xf>
    <xf numFmtId="0" fontId="14" fillId="0" borderId="0" xfId="23"/>
    <xf numFmtId="0" fontId="1" fillId="5" borderId="24" xfId="8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1" fillId="5" borderId="25" xfId="8" applyBorder="1" applyAlignment="1">
      <alignment horizontal="center" vertical="center"/>
    </xf>
    <xf numFmtId="0" fontId="0" fillId="5" borderId="25" xfId="8" applyFont="1" applyBorder="1" applyAlignment="1">
      <alignment horizontal="center" vertical="center"/>
    </xf>
    <xf numFmtId="2" fontId="7" fillId="9" borderId="20" xfId="12" applyNumberFormat="1" applyFont="1" applyBorder="1" applyAlignment="1">
      <alignment horizontal="center" vertical="center"/>
    </xf>
    <xf numFmtId="0" fontId="7" fillId="9" borderId="21" xfId="12" applyFont="1" applyBorder="1" applyAlignment="1">
      <alignment horizontal="center" vertical="center"/>
    </xf>
    <xf numFmtId="0" fontId="4" fillId="6" borderId="26" xfId="9" applyFont="1" applyBorder="1" applyAlignment="1">
      <alignment horizontal="center"/>
    </xf>
    <xf numFmtId="44" fontId="7" fillId="0" borderId="27" xfId="0" applyNumberFormat="1" applyFont="1" applyBorder="1"/>
    <xf numFmtId="0" fontId="7" fillId="0" borderId="19" xfId="0" applyFon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4" fillId="6" borderId="28" xfId="9" applyFont="1" applyBorder="1" applyAlignment="1">
      <alignment horizontal="center"/>
    </xf>
    <xf numFmtId="44" fontId="7" fillId="0" borderId="16" xfId="0" applyNumberFormat="1" applyFont="1" applyBorder="1"/>
    <xf numFmtId="0" fontId="7" fillId="0" borderId="29" xfId="0" applyFont="1" applyBorder="1" applyAlignment="1">
      <alignment horizontal="center"/>
    </xf>
    <xf numFmtId="166" fontId="0" fillId="0" borderId="2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0" fontId="0" fillId="7" borderId="3" xfId="10" applyFont="1" applyBorder="1"/>
    <xf numFmtId="166" fontId="0" fillId="0" borderId="30" xfId="0" applyNumberFormat="1" applyBorder="1" applyAlignment="1">
      <alignment horizontal="center" vertical="center"/>
    </xf>
    <xf numFmtId="0" fontId="1" fillId="7" borderId="3" xfId="10" applyBorder="1"/>
    <xf numFmtId="0" fontId="0" fillId="5" borderId="31" xfId="8" applyFont="1" applyBorder="1" applyAlignment="1">
      <alignment horizontal="center" vertical="center"/>
    </xf>
    <xf numFmtId="2" fontId="7" fillId="9" borderId="28" xfId="12" applyNumberFormat="1" applyFont="1" applyBorder="1" applyAlignment="1">
      <alignment horizontal="center" vertical="center"/>
    </xf>
    <xf numFmtId="2" fontId="7" fillId="9" borderId="29" xfId="12" applyNumberFormat="1" applyFont="1" applyBorder="1" applyAlignment="1">
      <alignment horizontal="center" vertical="center"/>
    </xf>
    <xf numFmtId="0" fontId="7" fillId="9" borderId="29" xfId="12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6" borderId="9" xfId="9" applyFont="1" applyBorder="1" applyAlignment="1">
      <alignment horizontal="center"/>
    </xf>
    <xf numFmtId="44" fontId="7" fillId="0" borderId="10" xfId="0" applyNumberFormat="1" applyFont="1" applyBorder="1"/>
    <xf numFmtId="8" fontId="0" fillId="0" borderId="0" xfId="0" applyNumberFormat="1"/>
    <xf numFmtId="165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18" borderId="3" xfId="21" applyFont="1" applyBorder="1" applyAlignment="1">
      <alignment horizontal="center"/>
    </xf>
    <xf numFmtId="0" fontId="10" fillId="9" borderId="3" xfId="1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20" borderId="3" xfId="25" applyBorder="1" applyAlignment="1">
      <alignment horizontal="center"/>
    </xf>
    <xf numFmtId="0" fontId="8" fillId="4" borderId="3" xfId="7" applyBorder="1" applyAlignment="1">
      <alignment horizontal="center" vertical="center"/>
    </xf>
    <xf numFmtId="0" fontId="8" fillId="17" borderId="3" xfId="20" applyBorder="1" applyAlignment="1">
      <alignment horizontal="center" vertical="center"/>
    </xf>
    <xf numFmtId="0" fontId="1" fillId="18" borderId="3" xfId="21" applyBorder="1" applyAlignment="1">
      <alignment horizontal="center" vertical="center"/>
    </xf>
    <xf numFmtId="0" fontId="0" fillId="18" borderId="3" xfId="21" applyFont="1" applyBorder="1" applyAlignment="1">
      <alignment horizontal="center" vertical="center"/>
    </xf>
    <xf numFmtId="0" fontId="8" fillId="8" borderId="3" xfId="11" applyBorder="1" applyAlignment="1">
      <alignment horizontal="center" vertical="center"/>
    </xf>
    <xf numFmtId="0" fontId="8" fillId="12" borderId="3" xfId="15" applyBorder="1" applyAlignment="1">
      <alignment horizontal="center" vertical="center"/>
    </xf>
    <xf numFmtId="0" fontId="1" fillId="13" borderId="3" xfId="16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8" xfId="7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0" xfId="0" applyNumberFormat="1"/>
    <xf numFmtId="0" fontId="0" fillId="20" borderId="3" xfId="25" applyFont="1" applyBorder="1" applyAlignment="1">
      <alignment horizontal="center" vertical="center"/>
    </xf>
    <xf numFmtId="0" fontId="8" fillId="15" borderId="3" xfId="18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7" fillId="18" borderId="3" xfId="21" applyFont="1" applyBorder="1" applyAlignment="1">
      <alignment horizontal="center" vertical="center"/>
    </xf>
    <xf numFmtId="0" fontId="7" fillId="16" borderId="3" xfId="19" applyFont="1" applyBorder="1" applyAlignment="1">
      <alignment horizontal="center" vertical="center"/>
    </xf>
    <xf numFmtId="0" fontId="0" fillId="20" borderId="3" xfId="25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19" fillId="0" borderId="0" xfId="0" applyFont="1"/>
    <xf numFmtId="0" fontId="5" fillId="0" borderId="0" xfId="0" applyFont="1" applyAlignment="1">
      <alignment horizontal="right"/>
    </xf>
    <xf numFmtId="167" fontId="10" fillId="0" borderId="3" xfId="0" applyNumberFormat="1" applyFont="1" applyBorder="1" applyAlignment="1">
      <alignment horizontal="center" vertical="center"/>
    </xf>
    <xf numFmtId="0" fontId="0" fillId="0" borderId="37" xfId="0" applyBorder="1"/>
    <xf numFmtId="0" fontId="10" fillId="18" borderId="3" xfId="21" applyFont="1" applyBorder="1" applyAlignment="1">
      <alignment horizontal="center" vertical="center"/>
    </xf>
    <xf numFmtId="167" fontId="19" fillId="0" borderId="3" xfId="0" applyNumberFormat="1" applyFont="1" applyBorder="1" applyAlignment="1">
      <alignment horizontal="center" vertical="center"/>
    </xf>
    <xf numFmtId="0" fontId="1" fillId="20" borderId="3" xfId="25" applyBorder="1" applyAlignment="1">
      <alignment horizontal="center" vertical="center"/>
    </xf>
    <xf numFmtId="0" fontId="14" fillId="0" borderId="0" xfId="23" applyBorder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0" fillId="0" borderId="37" xfId="0" applyBorder="1" applyAlignment="1">
      <alignment vertical="center"/>
    </xf>
    <xf numFmtId="166" fontId="0" fillId="0" borderId="0" xfId="0" applyNumberFormat="1"/>
    <xf numFmtId="0" fontId="5" fillId="0" borderId="0" xfId="4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" xfId="0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8" fillId="17" borderId="3" xfId="20" applyBorder="1" applyAlignment="1">
      <alignment horizontal="center" vertical="center" wrapText="1"/>
    </xf>
    <xf numFmtId="166" fontId="6" fillId="0" borderId="0" xfId="6" applyNumberFormat="1" applyAlignment="1">
      <alignment horizontal="center"/>
    </xf>
    <xf numFmtId="2" fontId="0" fillId="0" borderId="37" xfId="0" applyNumberFormat="1" applyBorder="1" applyAlignment="1">
      <alignment horizontal="center"/>
    </xf>
    <xf numFmtId="2" fontId="5" fillId="0" borderId="37" xfId="0" applyNumberFormat="1" applyFont="1" applyBorder="1" applyAlignment="1">
      <alignment horizontal="left"/>
    </xf>
    <xf numFmtId="2" fontId="0" fillId="0" borderId="37" xfId="0" applyNumberFormat="1" applyBorder="1" applyAlignment="1">
      <alignment horizontal="center" vertical="center"/>
    </xf>
    <xf numFmtId="0" fontId="5" fillId="0" borderId="37" xfId="0" applyFont="1" applyBorder="1" applyAlignment="1">
      <alignment horizontal="right"/>
    </xf>
    <xf numFmtId="0" fontId="5" fillId="0" borderId="37" xfId="4" applyBorder="1"/>
    <xf numFmtId="0" fontId="6" fillId="0" borderId="37" xfId="6" applyBorder="1"/>
    <xf numFmtId="167" fontId="6" fillId="0" borderId="0" xfId="6" applyNumberFormat="1" applyAlignment="1">
      <alignment horizontal="center"/>
    </xf>
    <xf numFmtId="0" fontId="19" fillId="18" borderId="3" xfId="21" applyFont="1" applyBorder="1" applyAlignment="1">
      <alignment horizontal="center" vertical="center"/>
    </xf>
    <xf numFmtId="0" fontId="6" fillId="0" borderId="0" xfId="6" applyAlignment="1">
      <alignment horizontal="center"/>
    </xf>
    <xf numFmtId="167" fontId="29" fillId="0" borderId="0" xfId="6" applyNumberFormat="1" applyFont="1" applyAlignment="1">
      <alignment horizontal="center"/>
    </xf>
    <xf numFmtId="0" fontId="29" fillId="0" borderId="0" xfId="6" applyFont="1" applyAlignment="1">
      <alignment horizontal="center"/>
    </xf>
    <xf numFmtId="0" fontId="8" fillId="6" borderId="8" xfId="9" applyBorder="1" applyAlignment="1">
      <alignment horizontal="center"/>
    </xf>
    <xf numFmtId="0" fontId="8" fillId="6" borderId="0" xfId="9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3" applyFont="1" applyBorder="1" applyAlignment="1">
      <alignment horizontal="center" vertical="center"/>
    </xf>
    <xf numFmtId="0" fontId="28" fillId="22" borderId="3" xfId="27" applyBorder="1" applyAlignment="1">
      <alignment horizontal="center"/>
    </xf>
    <xf numFmtId="9" fontId="0" fillId="0" borderId="3" xfId="1" applyFont="1" applyBorder="1" applyAlignment="1">
      <alignment horizontal="center" vertical="center"/>
    </xf>
    <xf numFmtId="0" fontId="1" fillId="18" borderId="3" xfId="21" applyBorder="1" applyAlignment="1">
      <alignment horizontal="center" vertical="center" wrapText="1"/>
    </xf>
    <xf numFmtId="0" fontId="5" fillId="0" borderId="0" xfId="4" applyAlignment="1">
      <alignment horizontal="center" vertical="center"/>
    </xf>
    <xf numFmtId="0" fontId="0" fillId="0" borderId="13" xfId="0" applyBorder="1" applyAlignment="1">
      <alignment vertical="center"/>
    </xf>
    <xf numFmtId="11" fontId="0" fillId="0" borderId="3" xfId="0" applyNumberFormat="1" applyBorder="1" applyAlignment="1">
      <alignment horizontal="center" vertical="center"/>
    </xf>
    <xf numFmtId="2" fontId="6" fillId="0" borderId="0" xfId="6" applyNumberFormat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68" fontId="0" fillId="0" borderId="3" xfId="1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2" fontId="19" fillId="0" borderId="3" xfId="0" applyNumberFormat="1" applyFont="1" applyBorder="1" applyAlignment="1">
      <alignment horizontal="center" vertical="center"/>
    </xf>
    <xf numFmtId="11" fontId="19" fillId="0" borderId="3" xfId="0" applyNumberFormat="1" applyFont="1" applyBorder="1" applyAlignment="1">
      <alignment horizontal="center" vertical="center"/>
    </xf>
    <xf numFmtId="0" fontId="5" fillId="18" borderId="3" xfId="2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3" xfId="1" applyFont="1" applyBorder="1" applyAlignment="1">
      <alignment horizontal="center" vertical="center"/>
    </xf>
    <xf numFmtId="11" fontId="28" fillId="22" borderId="3" xfId="27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9" fontId="19" fillId="0" borderId="3" xfId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/>
    </xf>
    <xf numFmtId="0" fontId="0" fillId="20" borderId="14" xfId="25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0" xfId="0" applyNumberFormat="1" applyAlignment="1">
      <alignment vertical="center"/>
    </xf>
    <xf numFmtId="0" fontId="0" fillId="0" borderId="42" xfId="0" applyBorder="1" applyAlignment="1">
      <alignment vertical="center"/>
    </xf>
    <xf numFmtId="0" fontId="6" fillId="0" borderId="0" xfId="6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35" xfId="0" applyBorder="1" applyAlignment="1">
      <alignment vertical="center"/>
    </xf>
    <xf numFmtId="0" fontId="0" fillId="0" borderId="43" xfId="0" applyBorder="1" applyAlignment="1">
      <alignment vertical="center"/>
    </xf>
    <xf numFmtId="0" fontId="19" fillId="0" borderId="42" xfId="0" applyFont="1" applyBorder="1" applyAlignment="1">
      <alignment vertical="center"/>
    </xf>
    <xf numFmtId="11" fontId="0" fillId="0" borderId="0" xfId="0" applyNumberFormat="1" applyAlignment="1">
      <alignment horizontal="center" vertical="center"/>
    </xf>
    <xf numFmtId="0" fontId="6" fillId="0" borderId="0" xfId="6" applyAlignment="1">
      <alignment horizontal="center" vertical="center"/>
    </xf>
    <xf numFmtId="0" fontId="6" fillId="0" borderId="0" xfId="6" applyAlignment="1">
      <alignment vertical="center"/>
    </xf>
    <xf numFmtId="169" fontId="0" fillId="0" borderId="14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69" fontId="0" fillId="0" borderId="3" xfId="0" applyNumberForma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10" fillId="0" borderId="0" xfId="0" applyFont="1"/>
    <xf numFmtId="11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1" fillId="5" borderId="3" xfId="8" applyBorder="1" applyAlignment="1">
      <alignment horizontal="center" vertical="center"/>
    </xf>
    <xf numFmtId="0" fontId="8" fillId="17" borderId="5" xfId="20" applyBorder="1" applyAlignment="1">
      <alignment horizontal="center"/>
    </xf>
    <xf numFmtId="0" fontId="8" fillId="17" borderId="11" xfId="20" applyBorder="1" applyAlignment="1">
      <alignment horizontal="center"/>
    </xf>
    <xf numFmtId="0" fontId="8" fillId="17" borderId="6" xfId="20" applyBorder="1" applyAlignment="1">
      <alignment horizontal="center"/>
    </xf>
    <xf numFmtId="0" fontId="8" fillId="12" borderId="3" xfId="15" applyBorder="1" applyAlignment="1">
      <alignment horizontal="center"/>
    </xf>
    <xf numFmtId="0" fontId="8" fillId="4" borderId="3" xfId="7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5" borderId="3" xfId="8" applyFont="1" applyBorder="1" applyAlignment="1">
      <alignment horizontal="center" vertical="center"/>
    </xf>
    <xf numFmtId="0" fontId="8" fillId="17" borderId="3" xfId="20" applyBorder="1" applyAlignment="1">
      <alignment horizontal="center"/>
    </xf>
    <xf numFmtId="0" fontId="2" fillId="0" borderId="1" xfId="2" applyFill="1" applyAlignment="1">
      <alignment horizontal="center"/>
    </xf>
    <xf numFmtId="0" fontId="8" fillId="15" borderId="3" xfId="18" applyBorder="1" applyAlignment="1">
      <alignment horizontal="center"/>
    </xf>
    <xf numFmtId="0" fontId="8" fillId="17" borderId="3" xfId="20" applyBorder="1" applyAlignment="1">
      <alignment horizontal="left"/>
    </xf>
    <xf numFmtId="0" fontId="8" fillId="6" borderId="3" xfId="9" applyBorder="1" applyAlignment="1">
      <alignment horizontal="center" vertical="center"/>
    </xf>
    <xf numFmtId="0" fontId="1" fillId="19" borderId="3" xfId="22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2" fillId="0" borderId="1" xfId="2" applyAlignment="1">
      <alignment horizontal="center"/>
    </xf>
    <xf numFmtId="0" fontId="1" fillId="10" borderId="8" xfId="13" applyBorder="1" applyAlignment="1">
      <alignment horizontal="center" vertical="center"/>
    </xf>
    <xf numFmtId="0" fontId="1" fillId="10" borderId="12" xfId="13" applyBorder="1" applyAlignment="1">
      <alignment horizontal="center" vertical="center"/>
    </xf>
    <xf numFmtId="0" fontId="1" fillId="7" borderId="3" xfId="10" applyBorder="1" applyAlignment="1">
      <alignment horizontal="center" vertical="center"/>
    </xf>
    <xf numFmtId="0" fontId="8" fillId="6" borderId="3" xfId="9" applyBorder="1" applyAlignment="1">
      <alignment horizontal="center"/>
    </xf>
    <xf numFmtId="0" fontId="8" fillId="8" borderId="3" xfId="11" applyBorder="1" applyAlignment="1">
      <alignment horizontal="center"/>
    </xf>
    <xf numFmtId="0" fontId="1" fillId="11" borderId="3" xfId="14" applyBorder="1" applyAlignment="1">
      <alignment horizontal="center"/>
    </xf>
    <xf numFmtId="0" fontId="8" fillId="8" borderId="5" xfId="11" applyBorder="1" applyAlignment="1">
      <alignment horizontal="center"/>
    </xf>
    <xf numFmtId="0" fontId="8" fillId="8" borderId="11" xfId="11" applyBorder="1" applyAlignment="1">
      <alignment horizontal="center"/>
    </xf>
    <xf numFmtId="0" fontId="8" fillId="8" borderId="6" xfId="11" applyBorder="1" applyAlignment="1">
      <alignment horizontal="center"/>
    </xf>
    <xf numFmtId="0" fontId="1" fillId="10" borderId="14" xfId="13" applyBorder="1" applyAlignment="1">
      <alignment horizontal="center" vertical="center"/>
    </xf>
    <xf numFmtId="0" fontId="1" fillId="10" borderId="15" xfId="13" applyBorder="1" applyAlignment="1">
      <alignment horizontal="center" vertical="center"/>
    </xf>
    <xf numFmtId="0" fontId="0" fillId="10" borderId="8" xfId="13" applyFont="1" applyBorder="1" applyAlignment="1">
      <alignment horizontal="center" vertical="center" wrapText="1"/>
    </xf>
    <xf numFmtId="0" fontId="0" fillId="10" borderId="12" xfId="13" applyFon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/>
    </xf>
    <xf numFmtId="0" fontId="8" fillId="6" borderId="5" xfId="9" applyBorder="1" applyAlignment="1">
      <alignment horizontal="center"/>
    </xf>
    <xf numFmtId="0" fontId="8" fillId="6" borderId="11" xfId="9" applyBorder="1" applyAlignment="1">
      <alignment horizontal="center"/>
    </xf>
    <xf numFmtId="0" fontId="8" fillId="6" borderId="6" xfId="9" applyBorder="1" applyAlignment="1">
      <alignment horizontal="center"/>
    </xf>
    <xf numFmtId="0" fontId="1" fillId="14" borderId="5" xfId="17" applyBorder="1" applyAlignment="1">
      <alignment horizontal="center"/>
    </xf>
    <xf numFmtId="0" fontId="1" fillId="14" borderId="11" xfId="17" applyBorder="1" applyAlignment="1">
      <alignment horizontal="center"/>
    </xf>
    <xf numFmtId="0" fontId="1" fillId="14" borderId="6" xfId="17" applyBorder="1" applyAlignment="1">
      <alignment horizontal="center"/>
    </xf>
    <xf numFmtId="0" fontId="0" fillId="0" borderId="3" xfId="0" applyBorder="1" applyAlignment="1">
      <alignment horizontal="center"/>
    </xf>
    <xf numFmtId="0" fontId="8" fillId="6" borderId="8" xfId="9" applyBorder="1" applyAlignment="1">
      <alignment horizontal="center" vertical="center"/>
    </xf>
    <xf numFmtId="0" fontId="8" fillId="6" borderId="12" xfId="9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3" xfId="24" applyBorder="1" applyAlignment="1">
      <alignment horizontal="center"/>
    </xf>
    <xf numFmtId="0" fontId="14" fillId="0" borderId="3" xfId="23" applyBorder="1" applyAlignment="1">
      <alignment horizontal="center"/>
    </xf>
    <xf numFmtId="0" fontId="14" fillId="0" borderId="5" xfId="23" applyBorder="1" applyAlignment="1">
      <alignment horizontal="center"/>
    </xf>
    <xf numFmtId="0" fontId="14" fillId="0" borderId="11" xfId="23" applyBorder="1" applyAlignment="1">
      <alignment horizontal="center"/>
    </xf>
    <xf numFmtId="0" fontId="14" fillId="0" borderId="6" xfId="23" applyBorder="1" applyAlignment="1">
      <alignment horizontal="center"/>
    </xf>
    <xf numFmtId="0" fontId="10" fillId="0" borderId="5" xfId="23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0" xfId="4" applyAlignment="1">
      <alignment horizontal="center"/>
    </xf>
    <xf numFmtId="0" fontId="1" fillId="20" borderId="3" xfId="25" applyBorder="1" applyAlignment="1">
      <alignment horizontal="center" vertical="center"/>
    </xf>
    <xf numFmtId="0" fontId="14" fillId="0" borderId="32" xfId="23" applyBorder="1" applyAlignment="1">
      <alignment horizontal="center" vertical="center"/>
    </xf>
    <xf numFmtId="0" fontId="14" fillId="0" borderId="7" xfId="23" applyBorder="1" applyAlignment="1">
      <alignment horizontal="center" vertical="center"/>
    </xf>
    <xf numFmtId="0" fontId="14" fillId="0" borderId="33" xfId="23" applyBorder="1" applyAlignment="1">
      <alignment horizontal="center" vertical="center"/>
    </xf>
    <xf numFmtId="0" fontId="14" fillId="0" borderId="34" xfId="23" applyBorder="1" applyAlignment="1">
      <alignment horizontal="center" vertical="center"/>
    </xf>
    <xf numFmtId="0" fontId="14" fillId="0" borderId="35" xfId="23" applyBorder="1" applyAlignment="1">
      <alignment horizontal="center" vertical="center"/>
    </xf>
    <xf numFmtId="0" fontId="14" fillId="0" borderId="36" xfId="23" applyBorder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" fillId="20" borderId="3" xfId="25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0" borderId="8" xfId="25" applyBorder="1" applyAlignment="1">
      <alignment horizontal="center" vertical="center"/>
    </xf>
    <xf numFmtId="0" fontId="1" fillId="20" borderId="12" xfId="25" applyBorder="1" applyAlignment="1">
      <alignment horizontal="center" vertical="center"/>
    </xf>
    <xf numFmtId="0" fontId="16" fillId="0" borderId="3" xfId="24" applyBorder="1" applyAlignment="1">
      <alignment horizontal="center" vertical="center"/>
    </xf>
    <xf numFmtId="0" fontId="8" fillId="17" borderId="3" xfId="20" applyBorder="1" applyAlignment="1">
      <alignment horizontal="center" vertical="center"/>
    </xf>
    <xf numFmtId="0" fontId="16" fillId="0" borderId="9" xfId="24" applyBorder="1" applyAlignment="1">
      <alignment horizontal="center" vertical="center"/>
    </xf>
    <xf numFmtId="0" fontId="16" fillId="0" borderId="17" xfId="24" applyBorder="1" applyAlignment="1">
      <alignment horizontal="center" vertical="center"/>
    </xf>
    <xf numFmtId="0" fontId="16" fillId="0" borderId="10" xfId="24" applyBorder="1" applyAlignment="1">
      <alignment horizontal="center" vertical="center"/>
    </xf>
    <xf numFmtId="0" fontId="8" fillId="12" borderId="5" xfId="15" applyBorder="1" applyAlignment="1">
      <alignment horizontal="center" vertical="center"/>
    </xf>
    <xf numFmtId="0" fontId="8" fillId="12" borderId="11" xfId="15" applyBorder="1" applyAlignment="1">
      <alignment horizontal="center" vertical="center"/>
    </xf>
    <xf numFmtId="0" fontId="8" fillId="12" borderId="6" xfId="15" applyBorder="1" applyAlignment="1">
      <alignment horizontal="center" vertical="center"/>
    </xf>
    <xf numFmtId="0" fontId="8" fillId="15" borderId="5" xfId="18" applyBorder="1" applyAlignment="1">
      <alignment horizontal="center" vertical="center"/>
    </xf>
    <xf numFmtId="0" fontId="8" fillId="15" borderId="11" xfId="18" applyBorder="1" applyAlignment="1">
      <alignment horizontal="center" vertical="center"/>
    </xf>
    <xf numFmtId="0" fontId="8" fillId="15" borderId="6" xfId="18" applyBorder="1" applyAlignment="1">
      <alignment horizontal="center" vertical="center"/>
    </xf>
    <xf numFmtId="0" fontId="8" fillId="8" borderId="5" xfId="11" applyBorder="1" applyAlignment="1">
      <alignment horizontal="center" vertical="center"/>
    </xf>
    <xf numFmtId="0" fontId="8" fillId="8" borderId="11" xfId="11" applyBorder="1" applyAlignment="1">
      <alignment horizontal="center" vertical="center"/>
    </xf>
    <xf numFmtId="0" fontId="8" fillId="8" borderId="6" xfId="1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5" xfId="24" applyBorder="1" applyAlignment="1">
      <alignment horizontal="center"/>
    </xf>
    <xf numFmtId="0" fontId="16" fillId="0" borderId="11" xfId="24" applyBorder="1" applyAlignment="1">
      <alignment horizontal="center"/>
    </xf>
    <xf numFmtId="0" fontId="16" fillId="0" borderId="6" xfId="24" applyBorder="1" applyAlignment="1">
      <alignment horizontal="center"/>
    </xf>
    <xf numFmtId="0" fontId="8" fillId="6" borderId="5" xfId="9" applyBorder="1" applyAlignment="1">
      <alignment horizontal="center" vertical="center"/>
    </xf>
    <xf numFmtId="0" fontId="8" fillId="6" borderId="11" xfId="9" applyBorder="1" applyAlignment="1">
      <alignment horizontal="center" vertical="center"/>
    </xf>
    <xf numFmtId="0" fontId="8" fillId="6" borderId="6" xfId="9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" fillId="18" borderId="3" xfId="21" applyBorder="1" applyAlignment="1">
      <alignment horizontal="center" vertical="center"/>
    </xf>
    <xf numFmtId="0" fontId="1" fillId="18" borderId="3" xfId="2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17" borderId="5" xfId="20" applyBorder="1" applyAlignment="1">
      <alignment horizontal="center" vertical="center" wrapText="1"/>
    </xf>
    <xf numFmtId="0" fontId="8" fillId="17" borderId="6" xfId="20" applyBorder="1" applyAlignment="1">
      <alignment horizontal="center" vertical="center" wrapText="1"/>
    </xf>
    <xf numFmtId="0" fontId="14" fillId="0" borderId="3" xfId="23" applyBorder="1" applyAlignment="1">
      <alignment horizontal="center" vertical="center"/>
    </xf>
  </cellXfs>
  <cellStyles count="28">
    <cellStyle name="20% - Accent1" xfId="8" builtinId="30"/>
    <cellStyle name="20% - Accent2" xfId="25" builtinId="34"/>
    <cellStyle name="20% - Accent3" xfId="12" builtinId="38"/>
    <cellStyle name="20% - Accent4" xfId="16" builtinId="42"/>
    <cellStyle name="20% - Accent5" xfId="19" builtinId="46"/>
    <cellStyle name="20% - Accent6" xfId="21" builtinId="50"/>
    <cellStyle name="40% - Accent2" xfId="10" builtinId="35"/>
    <cellStyle name="40% - Accent3" xfId="13" builtinId="39"/>
    <cellStyle name="40% - Accent6" xfId="22" builtinId="51"/>
    <cellStyle name="60% - Accent3" xfId="14" builtinId="40"/>
    <cellStyle name="60% - Accent4" xfId="17" builtinId="44"/>
    <cellStyle name="Accent1" xfId="7" builtinId="29"/>
    <cellStyle name="Accent2" xfId="9" builtinId="33"/>
    <cellStyle name="Accent3" xfId="11" builtinId="37"/>
    <cellStyle name="Accent4" xfId="15" builtinId="41"/>
    <cellStyle name="Accent5" xfId="18" builtinId="45"/>
    <cellStyle name="Accent6" xfId="20" builtinId="49"/>
    <cellStyle name="Bad" xfId="27" builtinId="27"/>
    <cellStyle name="Explanatory Text" xfId="6" builtinId="53"/>
    <cellStyle name="Heading 1" xfId="2" builtinId="16"/>
    <cellStyle name="Heading 4" xfId="24" builtinId="19"/>
    <cellStyle name="Hyperlink" xfId="23" builtinId="8"/>
    <cellStyle name="Neutral" xfId="3" builtinId="28"/>
    <cellStyle name="Normal" xfId="0" builtinId="0"/>
    <cellStyle name="Normal 2" xfId="26" xr:uid="{00000000-0005-0000-0000-000017000000}"/>
    <cellStyle name="Note" xfId="5" builtinId="10"/>
    <cellStyle name="Per cent" xfId="1" builtinId="5"/>
    <cellStyle name="Warning Text" xfId="4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OMC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BB-4B3C-99AC-82539FC397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BB-4B3C-99AC-82539FC397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BB-4B3C-99AC-82539FC397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'Scenario 1'!$Q$114:$Q$116</c:f>
              <c:strCache>
                <c:ptCount val="3"/>
                <c:pt idx="0">
                  <c:v>Raw material</c:v>
                </c:pt>
                <c:pt idx="1">
                  <c:v>Utilities</c:v>
                </c:pt>
                <c:pt idx="2">
                  <c:v>Labor</c:v>
                </c:pt>
              </c:strCache>
            </c:strRef>
          </c:cat>
          <c:val>
            <c:numRef>
              <c:f>'Scenario 1'!$S$114:$S$116</c:f>
              <c:numCache>
                <c:formatCode>0%</c:formatCode>
                <c:ptCount val="3"/>
                <c:pt idx="0">
                  <c:v>0.20425345041547821</c:v>
                </c:pt>
                <c:pt idx="1">
                  <c:v>0.2692465816709817</c:v>
                </c:pt>
                <c:pt idx="2">
                  <c:v>0.52649996791354003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BB-4B3C-99AC-82539FC397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(GF)'!$J$119:$J$122</c:f>
              <c:numCache>
                <c:formatCode>0%</c:formatCode>
                <c:ptCount val="4"/>
                <c:pt idx="0">
                  <c:v>0.96704438468506781</c:v>
                </c:pt>
                <c:pt idx="1">
                  <c:v>0.98684212376582381</c:v>
                </c:pt>
                <c:pt idx="2">
                  <c:v>0.97557781532832921</c:v>
                </c:pt>
                <c:pt idx="3">
                  <c:v>0.97109054579221132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C-4C15-A672-7597959E53EC}"/>
            </c:ext>
          </c:extLst>
        </c:ser>
        <c:ser>
          <c:idx val="1"/>
          <c:order val="1"/>
          <c:tx>
            <c:strRef>
              <c:f>'Results SimaPro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(GF)'!$K$119:$K$122</c:f>
              <c:numCache>
                <c:formatCode>0%</c:formatCode>
                <c:ptCount val="4"/>
                <c:pt idx="0">
                  <c:v>3.2955615314932102E-2</c:v>
                </c:pt>
                <c:pt idx="1">
                  <c:v>1.315787623417625E-2</c:v>
                </c:pt>
                <c:pt idx="2">
                  <c:v>2.4422184671670646E-2</c:v>
                </c:pt>
                <c:pt idx="3">
                  <c:v>2.8909454207788579E-2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FC-4C15-A672-7597959E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(GF)'!$K$127:$K$130</c:f>
              <c:numCache>
                <c:formatCode>0%</c:formatCode>
                <c:ptCount val="4"/>
                <c:pt idx="0">
                  <c:v>0.97024145215807533</c:v>
                </c:pt>
                <c:pt idx="1">
                  <c:v>0.98745854994807536</c:v>
                </c:pt>
                <c:pt idx="2">
                  <c:v>0.97693932056925437</c:v>
                </c:pt>
                <c:pt idx="3">
                  <c:v>0.97235732362091076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D-44AD-8776-B7C84E855761}"/>
            </c:ext>
          </c:extLst>
        </c:ser>
        <c:ser>
          <c:idx val="1"/>
          <c:order val="1"/>
          <c:tx>
            <c:strRef>
              <c:f>'Results SimaPro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(GF)'!$L$127:$L$130</c:f>
              <c:numCache>
                <c:formatCode>0%</c:formatCode>
                <c:ptCount val="4"/>
                <c:pt idx="0">
                  <c:v>2.9758547841924627E-2</c:v>
                </c:pt>
                <c:pt idx="1">
                  <c:v>1.2541450051924686E-2</c:v>
                </c:pt>
                <c:pt idx="2">
                  <c:v>2.3060679430745579E-2</c:v>
                </c:pt>
                <c:pt idx="3">
                  <c:v>2.7642676379089209E-2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D-44AD-8776-B7C84E855761}"/>
            </c:ext>
          </c:extLst>
        </c:ser>
        <c:ser>
          <c:idx val="2"/>
          <c:order val="2"/>
          <c:tx>
            <c:strRef>
              <c:f>'Results SimaPro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(GF)'!$M$127:$M$130</c:f>
              <c:numCache>
                <c:formatCode>0%</c:formatCode>
                <c:ptCount val="4"/>
                <c:pt idx="0">
                  <c:v>-8.4166270859114184E-2</c:v>
                </c:pt>
                <c:pt idx="1">
                  <c:v>-1.3496738152529929E-2</c:v>
                </c:pt>
                <c:pt idx="2">
                  <c:v>-3.3863727420888771E-2</c:v>
                </c:pt>
                <c:pt idx="3">
                  <c:v>-2.6157320369271909E-2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D-44AD-8776-B7C84E85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(GF)'!$O$135:$O$138</c:f>
              <c:numCache>
                <c:formatCode>0%</c:formatCode>
                <c:ptCount val="4"/>
                <c:pt idx="0">
                  <c:v>0.15704095920061981</c:v>
                </c:pt>
                <c:pt idx="1">
                  <c:v>0.50014746313861036</c:v>
                </c:pt>
                <c:pt idx="2">
                  <c:v>0.22539337324521735</c:v>
                </c:pt>
                <c:pt idx="3">
                  <c:v>0.21974391448016445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9D-4696-991A-59DA89D30365}"/>
            </c:ext>
          </c:extLst>
        </c:ser>
        <c:ser>
          <c:idx val="1"/>
          <c:order val="1"/>
          <c:tx>
            <c:strRef>
              <c:f>'Results SimaPro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(GF)'!$P$135:$P$138</c:f>
              <c:numCache>
                <c:formatCode>0%</c:formatCode>
                <c:ptCount val="4"/>
                <c:pt idx="0">
                  <c:v>0.34733846843372485</c:v>
                </c:pt>
                <c:pt idx="1">
                  <c:v>0.28017633454524787</c:v>
                </c:pt>
                <c:pt idx="2">
                  <c:v>0.41505502917502152</c:v>
                </c:pt>
                <c:pt idx="3">
                  <c:v>0.36476623951644271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D-4696-991A-59DA89D30365}"/>
            </c:ext>
          </c:extLst>
        </c:ser>
        <c:ser>
          <c:idx val="2"/>
          <c:order val="2"/>
          <c:tx>
            <c:strRef>
              <c:f>'Results SimaPro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(GF)'!$Q$135:$Q$138</c:f>
              <c:numCache>
                <c:formatCode>0%</c:formatCode>
                <c:ptCount val="4"/>
                <c:pt idx="0">
                  <c:v>0.13448543028180512</c:v>
                </c:pt>
                <c:pt idx="1">
                  <c:v>7.2076735087595017E-2</c:v>
                </c:pt>
                <c:pt idx="2">
                  <c:v>9.2368270849085318E-2</c:v>
                </c:pt>
                <c:pt idx="3">
                  <c:v>9.7280065862788728E-2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9D-4696-991A-59DA89D30365}"/>
            </c:ext>
          </c:extLst>
        </c:ser>
        <c:ser>
          <c:idx val="3"/>
          <c:order val="3"/>
          <c:tx>
            <c:strRef>
              <c:f>'Results SimaPro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(GF)'!$R$135:$R$138</c:f>
              <c:numCache>
                <c:formatCode>0%</c:formatCode>
                <c:ptCount val="4"/>
                <c:pt idx="0">
                  <c:v>2.9000462089548089E-2</c:v>
                </c:pt>
                <c:pt idx="1">
                  <c:v>1.0065338915180013E-2</c:v>
                </c:pt>
                <c:pt idx="2">
                  <c:v>1.1568463336781703E-2</c:v>
                </c:pt>
                <c:pt idx="3">
                  <c:v>1.0362167868596275E-2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9D-4696-991A-59DA89D30365}"/>
            </c:ext>
          </c:extLst>
        </c:ser>
        <c:ser>
          <c:idx val="4"/>
          <c:order val="4"/>
          <c:tx>
            <c:strRef>
              <c:f>'Results SimaPro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(GF)'!$S$135:$S$138</c:f>
              <c:numCache>
                <c:formatCode>0%</c:formatCode>
                <c:ptCount val="4"/>
                <c:pt idx="0">
                  <c:v>0.33213467999430202</c:v>
                </c:pt>
                <c:pt idx="1">
                  <c:v>0.13753412831336678</c:v>
                </c:pt>
                <c:pt idx="2">
                  <c:v>0.25561486339389417</c:v>
                </c:pt>
                <c:pt idx="3">
                  <c:v>0.30784761227200791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9D-4696-991A-59DA89D3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(GF)'!$AF$7,'Results SimaPro (GF)'!$AF$10,'Results SimaPro (GF)'!$AF$13,'Results SimaPro (GF)'!$AF$16)</c:f>
              <c:numCache>
                <c:formatCode>0.00%</c:formatCode>
                <c:ptCount val="4"/>
                <c:pt idx="0">
                  <c:v>0.25088644216914452</c:v>
                </c:pt>
                <c:pt idx="1">
                  <c:v>0.17751120220973951</c:v>
                </c:pt>
                <c:pt idx="2">
                  <c:v>0.42548911598279515</c:v>
                </c:pt>
                <c:pt idx="3">
                  <c:v>0.25420812981842361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6B3-86FF-C96719AE8A5B}"/>
            </c:ext>
          </c:extLst>
        </c:ser>
        <c:ser>
          <c:idx val="1"/>
          <c:order val="1"/>
          <c:tx>
            <c:strRef>
              <c:f>'Results SimaPro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(GF)'!$AG$7,'Results SimaPro (GF)'!$AG$10,'Results SimaPro (GF)'!$AG$13,'Results SimaPro (GF)'!$AG$16)</c:f>
              <c:numCache>
                <c:formatCode>0.00%</c:formatCode>
                <c:ptCount val="4"/>
                <c:pt idx="0">
                  <c:v>0.27594507015255526</c:v>
                </c:pt>
                <c:pt idx="1">
                  <c:v>0.35516813677927128</c:v>
                </c:pt>
                <c:pt idx="2">
                  <c:v>0.21148497057847143</c:v>
                </c:pt>
                <c:pt idx="3">
                  <c:v>0.23815746799523119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07-46B3-86FF-C96719AE8A5B}"/>
            </c:ext>
          </c:extLst>
        </c:ser>
        <c:ser>
          <c:idx val="2"/>
          <c:order val="2"/>
          <c:tx>
            <c:strRef>
              <c:f>'Results SimaPro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(GF)'!$AH$7,'Results SimaPro (GF)'!$AH$10,'Results SimaPro (GF)'!$AH$13,'Results SimaPro (GF)'!$AH$16)</c:f>
              <c:numCache>
                <c:formatCode>0.00%</c:formatCode>
                <c:ptCount val="4"/>
                <c:pt idx="0">
                  <c:v>1.155580818689461E-2</c:v>
                </c:pt>
                <c:pt idx="1">
                  <c:v>1.5400839932998003E-2</c:v>
                </c:pt>
                <c:pt idx="2">
                  <c:v>4.7766500388256193E-3</c:v>
                </c:pt>
                <c:pt idx="3">
                  <c:v>1.4675433504304284E-2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07-46B3-86FF-C96719AE8A5B}"/>
            </c:ext>
          </c:extLst>
        </c:ser>
        <c:ser>
          <c:idx val="3"/>
          <c:order val="3"/>
          <c:tx>
            <c:strRef>
              <c:f>'Results SimaPro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(GF)'!$AI$7,'Results SimaPro (GF)'!$AI$10,'Results SimaPro (GF)'!$AI$13,'Results SimaPro (GF)'!$AI$16)</c:f>
              <c:numCache>
                <c:formatCode>0.00%</c:formatCode>
                <c:ptCount val="4"/>
                <c:pt idx="0">
                  <c:v>-5.1616154686873316E-3</c:v>
                </c:pt>
                <c:pt idx="1">
                  <c:v>-2.6847589981485346E-2</c:v>
                </c:pt>
                <c:pt idx="2">
                  <c:v>-3.4691345848733888E-4</c:v>
                </c:pt>
                <c:pt idx="3">
                  <c:v>7.51886913605825E-4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07-46B3-86FF-C96719AE8A5B}"/>
            </c:ext>
          </c:extLst>
        </c:ser>
        <c:ser>
          <c:idx val="4"/>
          <c:order val="4"/>
          <c:tx>
            <c:strRef>
              <c:f>'Results SimaPro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(GF)'!$AJ$7,'Results SimaPro (GF)'!$AJ$10,'Results SimaPro (GF)'!$AJ$13,'Results SimaPro (GF)'!$AJ$16)</c:f>
              <c:numCache>
                <c:formatCode>0.00%</c:formatCode>
                <c:ptCount val="4"/>
                <c:pt idx="0">
                  <c:v>0.46677429496009293</c:v>
                </c:pt>
                <c:pt idx="1">
                  <c:v>0.47876741105947657</c:v>
                </c:pt>
                <c:pt idx="2">
                  <c:v>0.35859617685839518</c:v>
                </c:pt>
                <c:pt idx="3">
                  <c:v>0.49220708176843508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07-46B3-86FF-C96719AE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(GF)'!$AN$7,'Results SimaPro (GF)'!$AN$10,'Results SimaPro (GF)'!$AN$13,'Results SimaPro (GF)'!$AN$16)</c:f>
              <c:numCache>
                <c:formatCode>0.0%</c:formatCode>
                <c:ptCount val="4"/>
                <c:pt idx="0">
                  <c:v>0.36836213584437849</c:v>
                </c:pt>
                <c:pt idx="1">
                  <c:v>0.43182124514459497</c:v>
                </c:pt>
                <c:pt idx="2">
                  <c:v>0.36811307925045</c:v>
                </c:pt>
                <c:pt idx="3">
                  <c:v>0.31933502833337063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3-4D4B-99DD-F92941664200}"/>
            </c:ext>
          </c:extLst>
        </c:ser>
        <c:ser>
          <c:idx val="1"/>
          <c:order val="1"/>
          <c:tx>
            <c:strRef>
              <c:f>'Results SimaPro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(GF)'!$AO$7,'Results SimaPro (GF)'!$AO$10,'Results SimaPro (GF)'!$AO$13,'Results SimaPro (GF)'!$AO$16)</c:f>
              <c:numCache>
                <c:formatCode>0.0%</c:formatCode>
                <c:ptCount val="4"/>
                <c:pt idx="0">
                  <c:v>1.5425976564028261E-2</c:v>
                </c:pt>
                <c:pt idx="1">
                  <c:v>1.8724680475131865E-2</c:v>
                </c:pt>
                <c:pt idx="2">
                  <c:v>8.3142898972172821E-3</c:v>
                </c:pt>
                <c:pt idx="3">
                  <c:v>1.9677652829242165E-2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73-4D4B-99DD-F92941664200}"/>
            </c:ext>
          </c:extLst>
        </c:ser>
        <c:ser>
          <c:idx val="2"/>
          <c:order val="2"/>
          <c:tx>
            <c:strRef>
              <c:f>'Results SimaPro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(GF)'!$AP$7,'Results SimaPro (GF)'!$AP$10,'Results SimaPro (GF)'!$AP$13,'Results SimaPro (GF)'!$AP$16)</c:f>
              <c:numCache>
                <c:formatCode>0.0%</c:formatCode>
                <c:ptCount val="4"/>
                <c:pt idx="0">
                  <c:v>-6.8902977589050231E-3</c:v>
                </c:pt>
                <c:pt idx="1">
                  <c:v>-3.264189135902569E-2</c:v>
                </c:pt>
                <c:pt idx="2">
                  <c:v>-6.0384140342402046E-4</c:v>
                </c:pt>
                <c:pt idx="3">
                  <c:v>1.0081725796002312E-3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3-4D4B-99DD-F92941664200}"/>
            </c:ext>
          </c:extLst>
        </c:ser>
        <c:ser>
          <c:idx val="3"/>
          <c:order val="3"/>
          <c:tx>
            <c:strRef>
              <c:f>'Results SimaPro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(GF)'!$AQ$7,'Results SimaPro (GF)'!$AQ$10,'Results SimaPro (GF)'!$AQ$13,'Results SimaPro (GF)'!$AQ$16)</c:f>
              <c:numCache>
                <c:formatCode>0.0%</c:formatCode>
                <c:ptCount val="4"/>
                <c:pt idx="0">
                  <c:v>0.62310218535049822</c:v>
                </c:pt>
                <c:pt idx="1">
                  <c:v>0.58209596573929878</c:v>
                </c:pt>
                <c:pt idx="2">
                  <c:v>0.62417647225575679</c:v>
                </c:pt>
                <c:pt idx="3">
                  <c:v>0.65997914625778697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3-4D4B-99DD-F9294166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(GF)'!$AN$38,'Results SimaPro (GF)'!$AN$41,'Results SimaPro (GF)'!$AN$44,'Results SimaPro (GF)'!$AN$47,'Results SimaPro (GF)'!$AN$50,'Results SimaPro (GF)'!$AN$53,'Results SimaPro (GF)'!$AN$56,'Results SimaPro (GF)'!$AN$59,'Results SimaPro (GF)'!$AN$62,'Results SimaPro (GF)'!$AN$65,'Results SimaPro (GF)'!$AN$68,'Results SimaPro (GF)'!$AN$71,'Results SimaPro (GF)'!$AN$74,'Results SimaPro (GF)'!$AN$77,'Results SimaPro (GF)'!$AN$80)</c:f>
              <c:numCache>
                <c:formatCode>0.0%</c:formatCode>
                <c:ptCount val="15"/>
                <c:pt idx="0">
                  <c:v>0.28996975700562833</c:v>
                </c:pt>
                <c:pt idx="1">
                  <c:v>0.65890906513420011</c:v>
                </c:pt>
                <c:pt idx="2">
                  <c:v>0.41641892793766505</c:v>
                </c:pt>
                <c:pt idx="3">
                  <c:v>0.15210184787852601</c:v>
                </c:pt>
                <c:pt idx="4">
                  <c:v>0.24485399966567192</c:v>
                </c:pt>
                <c:pt idx="5">
                  <c:v>0.37865677292994543</c:v>
                </c:pt>
                <c:pt idx="6">
                  <c:v>0.3413113900513769</c:v>
                </c:pt>
                <c:pt idx="7">
                  <c:v>0.27582525919769846</c:v>
                </c:pt>
                <c:pt idx="8">
                  <c:v>0.41973613045160896</c:v>
                </c:pt>
                <c:pt idx="9">
                  <c:v>0.70681310991307134</c:v>
                </c:pt>
                <c:pt idx="10">
                  <c:v>6.5575735575139555E-4</c:v>
                </c:pt>
                <c:pt idx="11">
                  <c:v>0.7325044037057995</c:v>
                </c:pt>
                <c:pt idx="12">
                  <c:v>0.36836213584437849</c:v>
                </c:pt>
                <c:pt idx="13">
                  <c:v>0.31917237941578747</c:v>
                </c:pt>
                <c:pt idx="14">
                  <c:v>0.42977939444735541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1-45D7-AC54-A3DC0B47BC6B}"/>
            </c:ext>
          </c:extLst>
        </c:ser>
        <c:ser>
          <c:idx val="1"/>
          <c:order val="1"/>
          <c:tx>
            <c:strRef>
              <c:f>'Results SimaPro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(GF)'!$AO$38,'Results SimaPro (GF)'!$AO$41,'Results SimaPro (GF)'!$AO$44,'Results SimaPro (GF)'!$AO$47,'Results SimaPro (GF)'!$AO$50,'Results SimaPro (GF)'!$AO$53,'Results SimaPro (GF)'!$AO$56,'Results SimaPro (GF)'!$AO$59,'Results SimaPro (GF)'!$AO$62,'Results SimaPro (GF)'!$AO$65,'Results SimaPro (GF)'!$AO$68,'Results SimaPro (GF)'!$AO$71,'Results SimaPro (GF)'!$AO$74,'Results SimaPro (GF)'!$AO$77,'Results SimaPro (GF)'!$AO$80)</c:f>
              <c:numCache>
                <c:formatCode>0.0%</c:formatCode>
                <c:ptCount val="15"/>
                <c:pt idx="0">
                  <c:v>1.5133906295256525E-2</c:v>
                </c:pt>
                <c:pt idx="1">
                  <c:v>3.1768685910957767E-3</c:v>
                </c:pt>
                <c:pt idx="2">
                  <c:v>2.0672366531589707E-2</c:v>
                </c:pt>
                <c:pt idx="3">
                  <c:v>3.5361614978967469E-2</c:v>
                </c:pt>
                <c:pt idx="4">
                  <c:v>2.0134392545183091E-2</c:v>
                </c:pt>
                <c:pt idx="5">
                  <c:v>7.4924280812508053E-3</c:v>
                </c:pt>
                <c:pt idx="6">
                  <c:v>1.3322397800234349E-2</c:v>
                </c:pt>
                <c:pt idx="7">
                  <c:v>8.1611962533086613E-3</c:v>
                </c:pt>
                <c:pt idx="8">
                  <c:v>2.0820698788765832E-2</c:v>
                </c:pt>
                <c:pt idx="9">
                  <c:v>4.7178479890094245E-3</c:v>
                </c:pt>
                <c:pt idx="10">
                  <c:v>3.0505576098179266E-5</c:v>
                </c:pt>
                <c:pt idx="11">
                  <c:v>3.7228170202109737E-3</c:v>
                </c:pt>
                <c:pt idx="12">
                  <c:v>1.5425976564028261E-2</c:v>
                </c:pt>
                <c:pt idx="13">
                  <c:v>1.9759376082939897E-2</c:v>
                </c:pt>
                <c:pt idx="14">
                  <c:v>2.8406975219423649E-3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21-45D7-AC54-A3DC0B47BC6B}"/>
            </c:ext>
          </c:extLst>
        </c:ser>
        <c:ser>
          <c:idx val="2"/>
          <c:order val="2"/>
          <c:tx>
            <c:strRef>
              <c:f>'Results SimaPro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(GF)'!$AP$38,'Results SimaPro (GF)'!$AP$41,'Results SimaPro (GF)'!$AP$44,'Results SimaPro (GF)'!$AP$47,'Results SimaPro (GF)'!$AP$50,'Results SimaPro (GF)'!$AP$53,'Results SimaPro (GF)'!$AP$56,'Results SimaPro (GF)'!$AP$59,'Results SimaPro (GF)'!$AP$62,'Results SimaPro (GF)'!$AP$65,'Results SimaPro (GF)'!$AP$68,'Results SimaPro (GF)'!$AP$71,'Results SimaPro (GF)'!$AP$74,'Results SimaPro (GF)'!$AP$77,'Results SimaPro (GF)'!$AP$80)</c:f>
              <c:numCache>
                <c:formatCode>0.0%</c:formatCode>
                <c:ptCount val="15"/>
                <c:pt idx="0">
                  <c:v>-1.4809672227031409E-2</c:v>
                </c:pt>
                <c:pt idx="1">
                  <c:v>-3.5011378513900519E-3</c:v>
                </c:pt>
                <c:pt idx="2">
                  <c:v>-3.7563194393236819E-2</c:v>
                </c:pt>
                <c:pt idx="3">
                  <c:v>2.2005463193748947E-2</c:v>
                </c:pt>
                <c:pt idx="4">
                  <c:v>9.3498456907090115E-3</c:v>
                </c:pt>
                <c:pt idx="5">
                  <c:v>-2.9073399391767469E-3</c:v>
                </c:pt>
                <c:pt idx="6">
                  <c:v>-5.4725401576420705E-8</c:v>
                </c:pt>
                <c:pt idx="7">
                  <c:v>-2.4751565803098714E-4</c:v>
                </c:pt>
                <c:pt idx="8">
                  <c:v>-3.7142593525584032E-3</c:v>
                </c:pt>
                <c:pt idx="9">
                  <c:v>-1.0404477815776755E-3</c:v>
                </c:pt>
                <c:pt idx="10">
                  <c:v>-4.7497810878995815E-6</c:v>
                </c:pt>
                <c:pt idx="11">
                  <c:v>-4.2646072443969915E-3</c:v>
                </c:pt>
                <c:pt idx="12">
                  <c:v>-6.8902977589050231E-3</c:v>
                </c:pt>
                <c:pt idx="13">
                  <c:v>1.0153123191585824E-3</c:v>
                </c:pt>
                <c:pt idx="14">
                  <c:v>-6.1538194202086075E-4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21-45D7-AC54-A3DC0B47BC6B}"/>
            </c:ext>
          </c:extLst>
        </c:ser>
        <c:ser>
          <c:idx val="3"/>
          <c:order val="3"/>
          <c:tx>
            <c:strRef>
              <c:f>'Results SimaPro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(GF)'!$AQ$38,'Results SimaPro (GF)'!$AQ$41,'Results SimaPro (GF)'!$AQ$44,'Results SimaPro (GF)'!$AQ$47,'Results SimaPro (GF)'!$AQ$50,'Results SimaPro (GF)'!$AQ$53,'Results SimaPro (GF)'!$AQ$56,'Results SimaPro (GF)'!$AQ$59,'Results SimaPro (GF)'!$AQ$62,'Results SimaPro (GF)'!$AQ$65,'Results SimaPro (GF)'!$AQ$68,'Results SimaPro (GF)'!$AQ$71,'Results SimaPro (GF)'!$AQ$74,'Results SimaPro (GF)'!$AQ$77,'Results SimaPro (GF)'!$AQ$80)</c:f>
              <c:numCache>
                <c:formatCode>0.0%</c:formatCode>
                <c:ptCount val="15"/>
                <c:pt idx="0">
                  <c:v>0.70970600892614655</c:v>
                </c:pt>
                <c:pt idx="1">
                  <c:v>0.34141520412609411</c:v>
                </c:pt>
                <c:pt idx="2">
                  <c:v>0.60047189992398209</c:v>
                </c:pt>
                <c:pt idx="3">
                  <c:v>0.79053107394875755</c:v>
                </c:pt>
                <c:pt idx="4">
                  <c:v>0.72566176209843603</c:v>
                </c:pt>
                <c:pt idx="5">
                  <c:v>0.61675813892798048</c:v>
                </c:pt>
                <c:pt idx="6">
                  <c:v>0.6453662668737904</c:v>
                </c:pt>
                <c:pt idx="7">
                  <c:v>0.71626106020702385</c:v>
                </c:pt>
                <c:pt idx="8">
                  <c:v>0.56315743011218367</c:v>
                </c:pt>
                <c:pt idx="9">
                  <c:v>0.28950948987949687</c:v>
                </c:pt>
                <c:pt idx="10">
                  <c:v>0.9993184868492383</c:v>
                </c:pt>
                <c:pt idx="11">
                  <c:v>0.26803738651838649</c:v>
                </c:pt>
                <c:pt idx="12">
                  <c:v>0.62310218535049822</c:v>
                </c:pt>
                <c:pt idx="13">
                  <c:v>0.66005293218211403</c:v>
                </c:pt>
                <c:pt idx="14">
                  <c:v>0.56799528997272308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21-45D7-AC54-A3DC0B47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(#REF!,#REF!,#REF!,#REF!,#REF!,#REF!,#REF!,#REF!,#REF!,#REF!,#REF!,#REF!,#REF!,#REF!,#REF!)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0-4DA2-B690-055795FD1309}"/>
            </c:ext>
          </c:extLst>
        </c:ser>
        <c:ser>
          <c:idx val="1"/>
          <c:order val="1"/>
          <c:tx>
            <c:strRef>
              <c:f>'Results SimaPro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(GF)'!$AG$38,'Results SimaPro (GF)'!$AG$41,'Results SimaPro (GF)'!$AG$44,'Results SimaPro (GF)'!$AG$47,'Results SimaPro (GF)'!$AG$50,'Results SimaPro (GF)'!$AG$53,'Results SimaPro (GF)'!$AG$56,'Results SimaPro (GF)'!$AG$59,'Results SimaPro (GF)'!$AG$62,'Results SimaPro (GF)'!$AG$65,'Results SimaPro (GF)'!$AG$68,'Results SimaPro (GF)'!$AG$71,'Results SimaPro (GF)'!$AG$74,'Results SimaPro (GF)'!$AG$77,'Results SimaPro (GF)'!$AG$80)</c:f>
              <c:numCache>
                <c:formatCode>0.0%</c:formatCode>
                <c:ptCount val="15"/>
                <c:pt idx="0">
                  <c:v>0.24748399213984693</c:v>
                </c:pt>
                <c:pt idx="1">
                  <c:v>0.5422697813825117</c:v>
                </c:pt>
                <c:pt idx="2">
                  <c:v>0.34200477505144572</c:v>
                </c:pt>
                <c:pt idx="3">
                  <c:v>0.13321818749013933</c:v>
                </c:pt>
                <c:pt idx="4">
                  <c:v>0.15350782018181502</c:v>
                </c:pt>
                <c:pt idx="5">
                  <c:v>0.23132677324213827</c:v>
                </c:pt>
                <c:pt idx="6">
                  <c:v>0.23076169276347</c:v>
                </c:pt>
                <c:pt idx="7">
                  <c:v>0.14435207948893444</c:v>
                </c:pt>
                <c:pt idx="8">
                  <c:v>0.35026745028907391</c:v>
                </c:pt>
                <c:pt idx="9">
                  <c:v>0.55730915107274981</c:v>
                </c:pt>
                <c:pt idx="10">
                  <c:v>0.3806330165912869</c:v>
                </c:pt>
                <c:pt idx="11">
                  <c:v>0.68053030884275112</c:v>
                </c:pt>
                <c:pt idx="12">
                  <c:v>0.27594507015255526</c:v>
                </c:pt>
                <c:pt idx="13">
                  <c:v>0.23751244345149292</c:v>
                </c:pt>
                <c:pt idx="14">
                  <c:v>0.38568322037591568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E-4E21-963B-A57D0EF8B832}"/>
            </c:ext>
          </c:extLst>
        </c:ser>
        <c:ser>
          <c:idx val="2"/>
          <c:order val="2"/>
          <c:tx>
            <c:strRef>
              <c:f>'Results SimaPro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(GF)'!$AH$38,'Results SimaPro (GF)'!$AH$41,'Results SimaPro (GF)'!$AH$44,'Results SimaPro (GF)'!$AH$47,'Results SimaPro (GF)'!$AH$50,'Results SimaPro (GF)'!$AH$53,'Results SimaPro (GF)'!$AH$56,'Results SimaPro (GF)'!$AH$59,'Results SimaPro (GF)'!$AH$62,'Results SimaPro (GF)'!$AH$65,'Results SimaPro (GF)'!$AH$68,'Results SimaPro (GF)'!$AH$71,'Results SimaPro (GF)'!$AH$74,'Results SimaPro (GF)'!$AH$77,'Results SimaPro (GF)'!$AH$80)</c:f>
              <c:numCache>
                <c:formatCode>0.0%</c:formatCode>
                <c:ptCount val="15"/>
                <c:pt idx="0">
                  <c:v>1.2916517864819068E-2</c:v>
                </c:pt>
                <c:pt idx="1">
                  <c:v>2.6145031652032111E-3</c:v>
                </c:pt>
                <c:pt idx="2">
                  <c:v>1.697821014148447E-2</c:v>
                </c:pt>
                <c:pt idx="3">
                  <c:v>3.0971420268243208E-2</c:v>
                </c:pt>
                <c:pt idx="4">
                  <c:v>1.2622978242202522E-2</c:v>
                </c:pt>
                <c:pt idx="5">
                  <c:v>4.5772301875745972E-3</c:v>
                </c:pt>
                <c:pt idx="6">
                  <c:v>9.0073146037922911E-3</c:v>
                </c:pt>
                <c:pt idx="7">
                  <c:v>4.2711304023030049E-3</c:v>
                </c:pt>
                <c:pt idx="8">
                  <c:v>1.7374756540808646E-2</c:v>
                </c:pt>
                <c:pt idx="9">
                  <c:v>3.7199364595380752E-3</c:v>
                </c:pt>
                <c:pt idx="10">
                  <c:v>1.7706899284120878E-2</c:v>
                </c:pt>
                <c:pt idx="11">
                  <c:v>3.4586683762064638E-3</c:v>
                </c:pt>
                <c:pt idx="12">
                  <c:v>1.155580818689461E-2</c:v>
                </c:pt>
                <c:pt idx="13">
                  <c:v>1.4703959356151928E-2</c:v>
                </c:pt>
                <c:pt idx="14">
                  <c:v>2.5492366142528173E-3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E-4E21-963B-A57D0EF8B832}"/>
            </c:ext>
          </c:extLst>
        </c:ser>
        <c:ser>
          <c:idx val="3"/>
          <c:order val="3"/>
          <c:tx>
            <c:strRef>
              <c:f>'Results SimaPro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(GF)'!$AI$38,'Results SimaPro (GF)'!$AI$41,'Results SimaPro (GF)'!$AI$44,'Results SimaPro (GF)'!$AI$47,'Results SimaPro (GF)'!$AI$50,'Results SimaPro (GF)'!$AI$53,'Results SimaPro (GF)'!$AI$56,'Results SimaPro (GF)'!$AI$59,'Results SimaPro (GF)'!$AI$62,'Results SimaPro (GF)'!$AI$65,'Results SimaPro (GF)'!$AI$68,'Results SimaPro (GF)'!$AI$71,'Results SimaPro (GF)'!$AI$74,'Results SimaPro (GF)'!$AI$77,'Results SimaPro (GF)'!$AI$80)</c:f>
              <c:numCache>
                <c:formatCode>0.0%</c:formatCode>
                <c:ptCount val="15"/>
                <c:pt idx="0">
                  <c:v>-1.2639789896976074E-2</c:v>
                </c:pt>
                <c:pt idx="1">
                  <c:v>-2.8813706742320143E-3</c:v>
                </c:pt>
                <c:pt idx="2">
                  <c:v>-3.0850643394854906E-2</c:v>
                </c:pt>
                <c:pt idx="3">
                  <c:v>1.927345369198552E-2</c:v>
                </c:pt>
                <c:pt idx="4">
                  <c:v>5.8617561198788691E-3</c:v>
                </c:pt>
                <c:pt idx="5">
                  <c:v>-1.7761350513916996E-3</c:v>
                </c:pt>
                <c:pt idx="6">
                  <c:v>-3.7000014299874047E-8</c:v>
                </c:pt>
                <c:pt idx="7">
                  <c:v>-1.2953635952980125E-4</c:v>
                </c:pt>
                <c:pt idx="8">
                  <c:v>-3.099528629411027E-3</c:v>
                </c:pt>
                <c:pt idx="9">
                  <c:v>-8.2037395989712685E-4</c:v>
                </c:pt>
                <c:pt idx="10">
                  <c:v>-2.7570007225419134E-3</c:v>
                </c:pt>
                <c:pt idx="11">
                  <c:v>-3.9620164335396162E-3</c:v>
                </c:pt>
                <c:pt idx="12">
                  <c:v>-5.1616154686873316E-3</c:v>
                </c:pt>
                <c:pt idx="13">
                  <c:v>7.5554567168735953E-4</c:v>
                </c:pt>
                <c:pt idx="14">
                  <c:v>-5.5224259754238112E-4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E-4E21-963B-A57D0EF8B832}"/>
            </c:ext>
          </c:extLst>
        </c:ser>
        <c:ser>
          <c:idx val="4"/>
          <c:order val="4"/>
          <c:tx>
            <c:strRef>
              <c:f>'Results SimaPro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(GF)'!$AJ$38,'Results SimaPro (GF)'!$AJ$41,'Results SimaPro (GF)'!$AJ$44,'Results SimaPro (GF)'!$AJ$47,'Results SimaPro (GF)'!$AJ$50,'Results SimaPro (GF)'!$AJ$53,'Results SimaPro (GF)'!$AJ$56,'Results SimaPro (GF)'!$AJ$59,'Results SimaPro (GF)'!$AJ$62,'Results SimaPro (GF)'!$AJ$65,'Results SimaPro (GF)'!$AJ$68,'Results SimaPro (GF)'!$AJ$71,'Results SimaPro (GF)'!$AJ$74,'Results SimaPro (GF)'!$AJ$77,'Results SimaPro (GF)'!$AJ$80)</c:f>
              <c:numCache>
                <c:formatCode>0.0%</c:formatCode>
                <c:ptCount val="15"/>
                <c:pt idx="0">
                  <c:v>0.60572136262910825</c:v>
                </c:pt>
                <c:pt idx="1">
                  <c:v>0.28097829867375601</c:v>
                </c:pt>
                <c:pt idx="2">
                  <c:v>0.49316744095973769</c:v>
                </c:pt>
                <c:pt idx="3">
                  <c:v>0.69238551861772035</c:v>
                </c:pt>
                <c:pt idx="4">
                  <c:v>0.45494358042395117</c:v>
                </c:pt>
                <c:pt idx="5">
                  <c:v>0.37678626225294476</c:v>
                </c:pt>
                <c:pt idx="6">
                  <c:v>0.43633414101363488</c:v>
                </c:pt>
                <c:pt idx="7">
                  <c:v>0.37485244751904689</c:v>
                </c:pt>
                <c:pt idx="8">
                  <c:v>0.46995172167930238</c:v>
                </c:pt>
                <c:pt idx="9">
                  <c:v>0.22827291368731223</c:v>
                </c:pt>
                <c:pt idx="10">
                  <c:v>580.05237280036374</c:v>
                </c:pt>
                <c:pt idx="11">
                  <c:v>0.2490190700642162</c:v>
                </c:pt>
                <c:pt idx="12">
                  <c:v>0.46677429496009293</c:v>
                </c:pt>
                <c:pt idx="13">
                  <c:v>0.49117904568324294</c:v>
                </c:pt>
                <c:pt idx="14">
                  <c:v>0.50971790510507065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E-4E21-963B-A57D0EF8B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6-4ABB-8C78-3B462A602307}"/>
            </c:ext>
          </c:extLst>
        </c:ser>
        <c:ser>
          <c:idx val="1"/>
          <c:order val="1"/>
          <c:tx>
            <c:strRef>
              <c:f>'Results Flue gas - MEA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(GF)'!$O$5:$O$19</c:f>
              <c:numCache>
                <c:formatCode>0%</c:formatCode>
                <c:ptCount val="15"/>
                <c:pt idx="0">
                  <c:v>0.85156710516628742</c:v>
                </c:pt>
                <c:pt idx="1">
                  <c:v>0.8153593092560899</c:v>
                </c:pt>
                <c:pt idx="2">
                  <c:v>0.8279149801709812</c:v>
                </c:pt>
                <c:pt idx="3">
                  <c:v>0.89030978566545893</c:v>
                </c:pt>
                <c:pt idx="4">
                  <c:v>0.76923076923013201</c:v>
                </c:pt>
                <c:pt idx="5">
                  <c:v>0.69181501750594865</c:v>
                </c:pt>
                <c:pt idx="6">
                  <c:v>0.71353261837364967</c:v>
                </c:pt>
                <c:pt idx="7">
                  <c:v>0.53699550883212011</c:v>
                </c:pt>
                <c:pt idx="8">
                  <c:v>0.84600480505349129</c:v>
                </c:pt>
                <c:pt idx="9">
                  <c:v>0.77958015267175573</c:v>
                </c:pt>
                <c:pt idx="10">
                  <c:v>0.87346751960416213</c:v>
                </c:pt>
                <c:pt idx="11">
                  <c:v>0.92539039907460963</c:v>
                </c:pt>
                <c:pt idx="12">
                  <c:v>0.73560319456300316</c:v>
                </c:pt>
                <c:pt idx="13">
                  <c:v>0.81146727538896524</c:v>
                </c:pt>
                <c:pt idx="14">
                  <c:v>0.83523340933637347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6-4ABB-8C78-3B462A602307}"/>
            </c:ext>
          </c:extLst>
        </c:ser>
        <c:ser>
          <c:idx val="2"/>
          <c:order val="2"/>
          <c:tx>
            <c:strRef>
              <c:f>'Results Flue gas - MEA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(GF)'!$P$5:$P$19</c:f>
              <c:numCache>
                <c:formatCode>0%</c:formatCode>
                <c:ptCount val="15"/>
                <c:pt idx="0">
                  <c:v>1.7474866637266521E-8</c:v>
                </c:pt>
                <c:pt idx="1">
                  <c:v>2.0588231055364194E-7</c:v>
                </c:pt>
                <c:pt idx="2">
                  <c:v>7.3688767868621363E-8</c:v>
                </c:pt>
                <c:pt idx="3">
                  <c:v>2.3961933906541351E-6</c:v>
                </c:pt>
                <c:pt idx="4">
                  <c:v>8.2840236686321903E-13</c:v>
                </c:pt>
                <c:pt idx="5">
                  <c:v>3.1774606794820069E-6</c:v>
                </c:pt>
                <c:pt idx="6">
                  <c:v>2.7668638942690447E-5</c:v>
                </c:pt>
                <c:pt idx="7">
                  <c:v>1.2780268894960689E-8</c:v>
                </c:pt>
                <c:pt idx="8">
                  <c:v>2.0265409219091802E-7</c:v>
                </c:pt>
                <c:pt idx="9">
                  <c:v>0</c:v>
                </c:pt>
                <c:pt idx="10">
                  <c:v>2.1387709358531819E-6</c:v>
                </c:pt>
                <c:pt idx="11">
                  <c:v>0</c:v>
                </c:pt>
                <c:pt idx="12">
                  <c:v>7.6923076917159752E-11</c:v>
                </c:pt>
                <c:pt idx="13">
                  <c:v>2.869377527839359E-4</c:v>
                </c:pt>
                <c:pt idx="14">
                  <c:v>1.1160446417856714E-2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6-4ABB-8C78-3B462A602307}"/>
            </c:ext>
          </c:extLst>
        </c:ser>
        <c:ser>
          <c:idx val="3"/>
          <c:order val="3"/>
          <c:tx>
            <c:strRef>
              <c:f>'Results Flue gas - MEA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(GF)'!$Q$5:$Q$19</c:f>
              <c:numCache>
                <c:formatCode>0%</c:formatCode>
                <c:ptCount val="15"/>
                <c:pt idx="0">
                  <c:v>0.14843287735884592</c:v>
                </c:pt>
                <c:pt idx="1">
                  <c:v>0.18464048486159948</c:v>
                </c:pt>
                <c:pt idx="2">
                  <c:v>0.17208494614025105</c:v>
                </c:pt>
                <c:pt idx="3">
                  <c:v>0.1096878181411505</c:v>
                </c:pt>
                <c:pt idx="4">
                  <c:v>0.2307692307690396</c:v>
                </c:pt>
                <c:pt idx="5">
                  <c:v>0.30818180503337189</c:v>
                </c:pt>
                <c:pt idx="6">
                  <c:v>0.28643971298740756</c:v>
                </c:pt>
                <c:pt idx="7">
                  <c:v>0.46300447838761088</c:v>
                </c:pt>
                <c:pt idx="8">
                  <c:v>0.15399499229241656</c:v>
                </c:pt>
                <c:pt idx="9">
                  <c:v>0.22041984732824427</c:v>
                </c:pt>
                <c:pt idx="10">
                  <c:v>0.12653034162490198</c:v>
                </c:pt>
                <c:pt idx="11">
                  <c:v>7.4609600925390401E-2</c:v>
                </c:pt>
                <c:pt idx="12">
                  <c:v>0.26439680536007371</c:v>
                </c:pt>
                <c:pt idx="13">
                  <c:v>0.18824578685825094</c:v>
                </c:pt>
                <c:pt idx="14">
                  <c:v>0.15360614424576982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6-4ABB-8C78-3B462A602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(GF)'!$N$24:$N$38</c:f>
              <c:numCache>
                <c:formatCode>0%</c:formatCode>
                <c:ptCount val="15"/>
                <c:pt idx="0">
                  <c:v>0.70557947716180014</c:v>
                </c:pt>
                <c:pt idx="1">
                  <c:v>0.30616485309547914</c:v>
                </c:pt>
                <c:pt idx="2">
                  <c:v>0.60727577080710438</c:v>
                </c:pt>
                <c:pt idx="3">
                  <c:v>0.86704767912292957</c:v>
                </c:pt>
                <c:pt idx="4">
                  <c:v>0.87690876441823129</c:v>
                </c:pt>
                <c:pt idx="5">
                  <c:v>0.73566835308115064</c:v>
                </c:pt>
                <c:pt idx="6">
                  <c:v>0.71509318892381257</c:v>
                </c:pt>
                <c:pt idx="7">
                  <c:v>0.73923303832736498</c:v>
                </c:pt>
                <c:pt idx="8">
                  <c:v>0.61732526706176949</c:v>
                </c:pt>
                <c:pt idx="9">
                  <c:v>0.25613660484629253</c:v>
                </c:pt>
                <c:pt idx="10">
                  <c:v>0.99934434276856798</c:v>
                </c:pt>
                <c:pt idx="11">
                  <c:v>0.22899512090774776</c:v>
                </c:pt>
                <c:pt idx="12">
                  <c:v>0.60305474076355348</c:v>
                </c:pt>
                <c:pt idx="13">
                  <c:v>0.78424194437155326</c:v>
                </c:pt>
                <c:pt idx="14">
                  <c:v>0.28138839888826817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1-4D33-974D-9404A105FE0B}"/>
            </c:ext>
          </c:extLst>
        </c:ser>
        <c:ser>
          <c:idx val="1"/>
          <c:order val="1"/>
          <c:tx>
            <c:strRef>
              <c:f>'Results Flue gas - MEA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(GF)'!$O$24:$O$38</c:f>
              <c:numCache>
                <c:formatCode>0%</c:formatCode>
                <c:ptCount val="15"/>
                <c:pt idx="0">
                  <c:v>0.2666872258485446</c:v>
                </c:pt>
                <c:pt idx="1">
                  <c:v>0.68748769594495718</c:v>
                </c:pt>
                <c:pt idx="2">
                  <c:v>0.34043830654690133</c:v>
                </c:pt>
                <c:pt idx="3">
                  <c:v>7.6749919851953605E-2</c:v>
                </c:pt>
                <c:pt idx="4">
                  <c:v>0.10474116384267866</c:v>
                </c:pt>
                <c:pt idx="5">
                  <c:v>0.14789401664591492</c:v>
                </c:pt>
                <c:pt idx="6">
                  <c:v>0.2647806656353498</c:v>
                </c:pt>
                <c:pt idx="7">
                  <c:v>0.24644779140143236</c:v>
                </c:pt>
                <c:pt idx="8">
                  <c:v>0.32074979909866547</c:v>
                </c:pt>
                <c:pt idx="9">
                  <c:v>0.73455550976026485</c:v>
                </c:pt>
                <c:pt idx="10">
                  <c:v>5.6186947377264297E-4</c:v>
                </c:pt>
                <c:pt idx="11">
                  <c:v>0.68080899110329474</c:v>
                </c:pt>
                <c:pt idx="12">
                  <c:v>0.24151422947359374</c:v>
                </c:pt>
                <c:pt idx="13">
                  <c:v>0.10950666907709027</c:v>
                </c:pt>
                <c:pt idx="14">
                  <c:v>0.69777382141053201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1-4D33-974D-9404A105FE0B}"/>
            </c:ext>
          </c:extLst>
        </c:ser>
        <c:ser>
          <c:idx val="2"/>
          <c:order val="2"/>
          <c:tx>
            <c:strRef>
              <c:f>'Results Flue gas - MEA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6.8977435800401108E-4</c:v>
                </c:pt>
                <c:pt idx="3">
                  <c:v>0</c:v>
                </c:pt>
                <c:pt idx="4">
                  <c:v>0</c:v>
                </c:pt>
                <c:pt idx="5">
                  <c:v>9.2805296301664113E-3</c:v>
                </c:pt>
                <c:pt idx="6">
                  <c:v>8.0394324818215172E-11</c:v>
                </c:pt>
                <c:pt idx="7">
                  <c:v>9.2447832439318773E-10</c:v>
                </c:pt>
                <c:pt idx="8">
                  <c:v>5.522763059772071E-4</c:v>
                </c:pt>
                <c:pt idx="9">
                  <c:v>0</c:v>
                </c:pt>
                <c:pt idx="10">
                  <c:v>2.5882916403344065E-6</c:v>
                </c:pt>
                <c:pt idx="11">
                  <c:v>8.310333206957414E-2</c:v>
                </c:pt>
                <c:pt idx="12">
                  <c:v>8.2816187706003536E-3</c:v>
                </c:pt>
                <c:pt idx="13">
                  <c:v>3.812313956460841E-3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1-4D33-974D-9404A105FE0B}"/>
            </c:ext>
          </c:extLst>
        </c:ser>
        <c:ser>
          <c:idx val="3"/>
          <c:order val="3"/>
          <c:tx>
            <c:strRef>
              <c:f>'Results Flue gas - MEA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(GF)'!$Q$24:$Q$38</c:f>
              <c:numCache>
                <c:formatCode>0%</c:formatCode>
                <c:ptCount val="15"/>
                <c:pt idx="0">
                  <c:v>1.8635646561470654E-8</c:v>
                </c:pt>
                <c:pt idx="1">
                  <c:v>2.3023386275127817E-7</c:v>
                </c:pt>
                <c:pt idx="2">
                  <c:v>8.0652175814187854E-8</c:v>
                </c:pt>
                <c:pt idx="3">
                  <c:v>2.445046698396143E-6</c:v>
                </c:pt>
                <c:pt idx="4">
                  <c:v>9.7648504099248092E-13</c:v>
                </c:pt>
                <c:pt idx="5">
                  <c:v>4.1661442131783462E-6</c:v>
                </c:pt>
                <c:pt idx="6">
                  <c:v>3.5150361329100857E-5</c:v>
                </c:pt>
                <c:pt idx="7">
                  <c:v>2.1536754443874454E-8</c:v>
                </c:pt>
                <c:pt idx="8">
                  <c:v>2.1727782971188538E-7</c:v>
                </c:pt>
                <c:pt idx="9">
                  <c:v>0</c:v>
                </c:pt>
                <c:pt idx="10">
                  <c:v>3.6334721703047327E-9</c:v>
                </c:pt>
                <c:pt idx="11">
                  <c:v>0</c:v>
                </c:pt>
                <c:pt idx="12">
                  <c:v>9.5036134686235027E-11</c:v>
                </c:pt>
                <c:pt idx="13">
                  <c:v>3.208992323998643E-4</c:v>
                </c:pt>
                <c:pt idx="14">
                  <c:v>1.2127143128601794E-2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41-4D33-974D-9404A105FE0B}"/>
            </c:ext>
          </c:extLst>
        </c:ser>
        <c:ser>
          <c:idx val="4"/>
          <c:order val="4"/>
          <c:tx>
            <c:strRef>
              <c:f>'Results Flue gas - MEA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(GF)'!$R$24:$R$38</c:f>
              <c:numCache>
                <c:formatCode>0%</c:formatCode>
                <c:ptCount val="15"/>
                <c:pt idx="0">
                  <c:v>1.4622091013091854E-4</c:v>
                </c:pt>
                <c:pt idx="1">
                  <c:v>3.414513629427357E-4</c:v>
                </c:pt>
                <c:pt idx="2">
                  <c:v>1.6594695685810387E-2</c:v>
                </c:pt>
                <c:pt idx="3">
                  <c:v>7.0770295185252122E-4</c:v>
                </c:pt>
                <c:pt idx="4">
                  <c:v>1.782419612496549E-4</c:v>
                </c:pt>
                <c:pt idx="5">
                  <c:v>9.7762838203576174E-2</c:v>
                </c:pt>
                <c:pt idx="6">
                  <c:v>1.2581250437119734E-4</c:v>
                </c:pt>
                <c:pt idx="7">
                  <c:v>4.6718906319906042E-4</c:v>
                </c:pt>
                <c:pt idx="8">
                  <c:v>2.7293373357088889E-2</c:v>
                </c:pt>
                <c:pt idx="9">
                  <c:v>3.9391105459195784E-4</c:v>
                </c:pt>
                <c:pt idx="10">
                  <c:v>3.6437354288634919E-5</c:v>
                </c:pt>
                <c:pt idx="11">
                  <c:v>5.7368265818620862E-5</c:v>
                </c:pt>
                <c:pt idx="12">
                  <c:v>0.11730609058763292</c:v>
                </c:pt>
                <c:pt idx="13">
                  <c:v>7.813791916283569E-2</c:v>
                </c:pt>
                <c:pt idx="14">
                  <c:v>1.8331559669370606E-4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41-4D33-974D-9404A105FE0B}"/>
            </c:ext>
          </c:extLst>
        </c:ser>
        <c:ser>
          <c:idx val="5"/>
          <c:order val="5"/>
          <c:tx>
            <c:strRef>
              <c:f>'Results Flue gas - MEA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(GF)'!$S$24:$S$38</c:f>
              <c:numCache>
                <c:formatCode>0%</c:formatCode>
                <c:ptCount val="15"/>
                <c:pt idx="0">
                  <c:v>2.7587057443877915E-2</c:v>
                </c:pt>
                <c:pt idx="1">
                  <c:v>6.0057693627582802E-3</c:v>
                </c:pt>
                <c:pt idx="2">
                  <c:v>3.5001371950004093E-2</c:v>
                </c:pt>
                <c:pt idx="3">
                  <c:v>5.5492253026566109E-2</c:v>
                </c:pt>
                <c:pt idx="4">
                  <c:v>1.8171829776863897E-2</c:v>
                </c:pt>
                <c:pt idx="5">
                  <c:v>9.3900962949787243E-3</c:v>
                </c:pt>
                <c:pt idx="6">
                  <c:v>1.9965182494742797E-2</c:v>
                </c:pt>
                <c:pt idx="7">
                  <c:v>1.3851958746770926E-2</c:v>
                </c:pt>
                <c:pt idx="8">
                  <c:v>3.4079066898669207E-2</c:v>
                </c:pt>
                <c:pt idx="9">
                  <c:v>8.9139743388505464E-3</c:v>
                </c:pt>
                <c:pt idx="10">
                  <c:v>5.475847825820407E-5</c:v>
                </c:pt>
                <c:pt idx="11">
                  <c:v>7.0351876535648021E-3</c:v>
                </c:pt>
                <c:pt idx="12">
                  <c:v>2.98433203095834E-2</c:v>
                </c:pt>
                <c:pt idx="13">
                  <c:v>2.3980254199660222E-2</c:v>
                </c:pt>
                <c:pt idx="14">
                  <c:v>8.5273209759044854E-3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41-4D33-974D-9404A105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(GF)'!$K$43:$K$57</c:f>
              <c:numCache>
                <c:formatCode>0%</c:formatCode>
                <c:ptCount val="15"/>
                <c:pt idx="0">
                  <c:v>2.1778124457793122E-2</c:v>
                </c:pt>
                <c:pt idx="1">
                  <c:v>1.0926340507224795E-2</c:v>
                </c:pt>
                <c:pt idx="2">
                  <c:v>3.2104172256909681E-2</c:v>
                </c:pt>
                <c:pt idx="3">
                  <c:v>3.5649262160903888E-2</c:v>
                </c:pt>
                <c:pt idx="4">
                  <c:v>1.1542610724810325E-2</c:v>
                </c:pt>
                <c:pt idx="5">
                  <c:v>7.1095799339743245E-3</c:v>
                </c:pt>
                <c:pt idx="6">
                  <c:v>1.5551483072443337E-2</c:v>
                </c:pt>
                <c:pt idx="7">
                  <c:v>1.0437367932202591E-2</c:v>
                </c:pt>
                <c:pt idx="8">
                  <c:v>3.0749260921660793E-2</c:v>
                </c:pt>
                <c:pt idx="9">
                  <c:v>1.9384780463951617E-2</c:v>
                </c:pt>
                <c:pt idx="10">
                  <c:v>3.0520929622162892E-5</c:v>
                </c:pt>
                <c:pt idx="11">
                  <c:v>1.7111668102422498E-2</c:v>
                </c:pt>
                <c:pt idx="12">
                  <c:v>2.7564592271346295E-2</c:v>
                </c:pt>
                <c:pt idx="13">
                  <c:v>1.7031970001415257E-2</c:v>
                </c:pt>
                <c:pt idx="14">
                  <c:v>1.6879805517409707E-2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5-400D-95A0-BDB0D400D8DB}"/>
            </c:ext>
          </c:extLst>
        </c:ser>
        <c:ser>
          <c:idx val="1"/>
          <c:order val="1"/>
          <c:tx>
            <c:strRef>
              <c:f>'Results Flue gas - MEA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(GF)'!$J$43:$J$57</c:f>
              <c:numCache>
                <c:formatCode>0%</c:formatCode>
                <c:ptCount val="15"/>
                <c:pt idx="0">
                  <c:v>0.97822187554220685</c:v>
                </c:pt>
                <c:pt idx="1">
                  <c:v>0.98907365949277515</c:v>
                </c:pt>
                <c:pt idx="2">
                  <c:v>0.96789582774309035</c:v>
                </c:pt>
                <c:pt idx="3">
                  <c:v>0.96435073783909619</c:v>
                </c:pt>
                <c:pt idx="4">
                  <c:v>0.98845738927518956</c:v>
                </c:pt>
                <c:pt idx="5">
                  <c:v>0.99289042006602568</c:v>
                </c:pt>
                <c:pt idx="6">
                  <c:v>0.98444851692755664</c:v>
                </c:pt>
                <c:pt idx="7">
                  <c:v>0.98956263206779749</c:v>
                </c:pt>
                <c:pt idx="8">
                  <c:v>0.96925073907833925</c:v>
                </c:pt>
                <c:pt idx="9">
                  <c:v>0.98061521953604847</c:v>
                </c:pt>
                <c:pt idx="10">
                  <c:v>0.99996947907037781</c:v>
                </c:pt>
                <c:pt idx="11">
                  <c:v>0.98288833189757752</c:v>
                </c:pt>
                <c:pt idx="12">
                  <c:v>0.97243540772865378</c:v>
                </c:pt>
                <c:pt idx="13">
                  <c:v>0.98296802999858468</c:v>
                </c:pt>
                <c:pt idx="14">
                  <c:v>0.98312019448259025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5-400D-95A0-BDB0D400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7-4DEE-A01F-1EBB6C2F72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7-4DEE-A01F-1EBB6C2F72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'Scenario 1'!$U$114:$U$115</c:f>
              <c:strCache>
                <c:ptCount val="2"/>
                <c:pt idx="0">
                  <c:v>IC</c:v>
                </c:pt>
                <c:pt idx="1">
                  <c:v>OMC</c:v>
                </c:pt>
              </c:strCache>
            </c:strRef>
          </c:cat>
          <c:val>
            <c:numRef>
              <c:f>'Scenario 1'!$W$114:$W$115</c:f>
              <c:numCache>
                <c:formatCode>0%</c:formatCode>
                <c:ptCount val="2"/>
                <c:pt idx="0">
                  <c:v>0.72639174185685773</c:v>
                </c:pt>
                <c:pt idx="1">
                  <c:v>0.27360825814314232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7-4DEE-A01F-1EBB6C2F72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(GF)'!$L$62:$L$76</c:f>
              <c:numCache>
                <c:formatCode>0%</c:formatCode>
                <c:ptCount val="15"/>
                <c:pt idx="0">
                  <c:v>2.0351872396830433E-2</c:v>
                </c:pt>
                <c:pt idx="1">
                  <c:v>1.0299254223931133E-2</c:v>
                </c:pt>
                <c:pt idx="2">
                  <c:v>2.8964077542450298E-2</c:v>
                </c:pt>
                <c:pt idx="3">
                  <c:v>3.4821056433372299E-2</c:v>
                </c:pt>
                <c:pt idx="4">
                  <c:v>1.1070455702386468E-2</c:v>
                </c:pt>
                <c:pt idx="5">
                  <c:v>6.7623357623623178E-3</c:v>
                </c:pt>
                <c:pt idx="6">
                  <c:v>1.4838746422883691E-2</c:v>
                </c:pt>
                <c:pt idx="7">
                  <c:v>9.9534929493796977E-3</c:v>
                </c:pt>
                <c:pt idx="8">
                  <c:v>2.9200371612636541E-2</c:v>
                </c:pt>
                <c:pt idx="9">
                  <c:v>1.842084130364233E-2</c:v>
                </c:pt>
                <c:pt idx="10">
                  <c:v>2.9100971380573894E-5</c:v>
                </c:pt>
                <c:pt idx="11">
                  <c:v>1.601491489780239E-2</c:v>
                </c:pt>
                <c:pt idx="12">
                  <c:v>2.5995530761816207E-2</c:v>
                </c:pt>
                <c:pt idx="13">
                  <c:v>1.6266750066955275E-2</c:v>
                </c:pt>
                <c:pt idx="14">
                  <c:v>1.6048460054031766E-2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5-4B37-9F63-16546FE4DBAC}"/>
            </c:ext>
          </c:extLst>
        </c:ser>
        <c:ser>
          <c:idx val="1"/>
          <c:order val="1"/>
          <c:tx>
            <c:strRef>
              <c:f>'Results Flue gas - MEA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(GF)'!$K$62:$K$76</c:f>
              <c:numCache>
                <c:formatCode>0%</c:formatCode>
                <c:ptCount val="15"/>
                <c:pt idx="0">
                  <c:v>0.97964812760316955</c:v>
                </c:pt>
                <c:pt idx="1">
                  <c:v>0.98970074577606892</c:v>
                </c:pt>
                <c:pt idx="2">
                  <c:v>0.97103592245754977</c:v>
                </c:pt>
                <c:pt idx="3">
                  <c:v>0.96517894356662759</c:v>
                </c:pt>
                <c:pt idx="4">
                  <c:v>0.98892954429761348</c:v>
                </c:pt>
                <c:pt idx="5">
                  <c:v>0.99323766423763771</c:v>
                </c:pt>
                <c:pt idx="6">
                  <c:v>0.98516125357711637</c:v>
                </c:pt>
                <c:pt idx="7">
                  <c:v>0.99004650705062025</c:v>
                </c:pt>
                <c:pt idx="8">
                  <c:v>0.97079962838736333</c:v>
                </c:pt>
                <c:pt idx="9">
                  <c:v>0.98157915869635759</c:v>
                </c:pt>
                <c:pt idx="10">
                  <c:v>0.99997089902861946</c:v>
                </c:pt>
                <c:pt idx="11">
                  <c:v>0.98398508510219762</c:v>
                </c:pt>
                <c:pt idx="12">
                  <c:v>0.97400446923818373</c:v>
                </c:pt>
                <c:pt idx="13">
                  <c:v>0.98373324993304467</c:v>
                </c:pt>
                <c:pt idx="14">
                  <c:v>0.98395153994596829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5-4B37-9F63-16546FE4DBAC}"/>
            </c:ext>
          </c:extLst>
        </c:ser>
        <c:ser>
          <c:idx val="2"/>
          <c:order val="2"/>
          <c:tx>
            <c:strRef>
              <c:f>'Results Flue gas - MEA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(GF)'!$M$62:$M$76</c:f>
              <c:numCache>
                <c:formatCode>0%</c:formatCode>
                <c:ptCount val="15"/>
                <c:pt idx="0">
                  <c:v>-4.1239430717782785E-2</c:v>
                </c:pt>
                <c:pt idx="1">
                  <c:v>-2.2203571710036576E-2</c:v>
                </c:pt>
                <c:pt idx="2">
                  <c:v>-8.4162132775858642E-2</c:v>
                </c:pt>
                <c:pt idx="3">
                  <c:v>-1.2094729434313898E-2</c:v>
                </c:pt>
                <c:pt idx="4">
                  <c:v>-5.6785933303916793E-3</c:v>
                </c:pt>
                <c:pt idx="5">
                  <c:v>-9.514434450990138E-3</c:v>
                </c:pt>
                <c:pt idx="6">
                  <c:v>-1.4838810320580159E-2</c:v>
                </c:pt>
                <c:pt idx="7">
                  <c:v>-1.0270094653709028E-2</c:v>
                </c:pt>
                <c:pt idx="8">
                  <c:v>-3.4663659932999476E-2</c:v>
                </c:pt>
                <c:pt idx="9">
                  <c:v>-2.2681480230981911E-2</c:v>
                </c:pt>
                <c:pt idx="10">
                  <c:v>-3.3853127208214783E-5</c:v>
                </c:pt>
                <c:pt idx="11">
                  <c:v>-3.525504629792188E-2</c:v>
                </c:pt>
                <c:pt idx="12">
                  <c:v>-3.8173444431745113E-2</c:v>
                </c:pt>
                <c:pt idx="13">
                  <c:v>-1.5390120434717042E-2</c:v>
                </c:pt>
                <c:pt idx="14">
                  <c:v>-1.9694672254812327E-2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25-4B37-9F63-16546FE4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F-4141-9351-6D655234853A}"/>
            </c:ext>
          </c:extLst>
        </c:ser>
        <c:ser>
          <c:idx val="1"/>
          <c:order val="1"/>
          <c:tx>
            <c:strRef>
              <c:f>'Results Flue gas - MEA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(GF)'!$O$81:$O$95</c:f>
              <c:numCache>
                <c:formatCode>0%</c:formatCode>
                <c:ptCount val="15"/>
                <c:pt idx="0">
                  <c:v>0.10430196055063415</c:v>
                </c:pt>
                <c:pt idx="1">
                  <c:v>0.31184756573180589</c:v>
                </c:pt>
                <c:pt idx="2">
                  <c:v>0.14028387753803068</c:v>
                </c:pt>
                <c:pt idx="3">
                  <c:v>6.3550758819613307E-2</c:v>
                </c:pt>
                <c:pt idx="4">
                  <c:v>0.14614312066442076</c:v>
                </c:pt>
                <c:pt idx="5">
                  <c:v>0.25652352696297787</c:v>
                </c:pt>
                <c:pt idx="6">
                  <c:v>0.23985546142553479</c:v>
                </c:pt>
                <c:pt idx="7">
                  <c:v>0.49673179387860583</c:v>
                </c:pt>
                <c:pt idx="8">
                  <c:v>0.12746061775682188</c:v>
                </c:pt>
                <c:pt idx="9">
                  <c:v>0.47111264602228481</c:v>
                </c:pt>
                <c:pt idx="10">
                  <c:v>0.99914263036463291</c:v>
                </c:pt>
                <c:pt idx="11">
                  <c:v>0.14742111558104792</c:v>
                </c:pt>
                <c:pt idx="12">
                  <c:v>0.25484397413261151</c:v>
                </c:pt>
                <c:pt idx="13">
                  <c:v>0.12699945645485758</c:v>
                </c:pt>
                <c:pt idx="14">
                  <c:v>0.27792855794600813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F-4141-9351-6D655234853A}"/>
            </c:ext>
          </c:extLst>
        </c:ser>
        <c:ser>
          <c:idx val="2"/>
          <c:order val="2"/>
          <c:tx>
            <c:strRef>
              <c:f>'Results Flue gas - MEA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(GF)'!$P$81:$P$95</c:f>
              <c:numCache>
                <c:formatCode>0%</c:formatCode>
                <c:ptCount val="15"/>
                <c:pt idx="0">
                  <c:v>0.32622420946970221</c:v>
                </c:pt>
                <c:pt idx="1">
                  <c:v>0.23835482731093444</c:v>
                </c:pt>
                <c:pt idx="2">
                  <c:v>0.40735790210680417</c:v>
                </c:pt>
                <c:pt idx="3">
                  <c:v>0.44063009168008688</c:v>
                </c:pt>
                <c:pt idx="4">
                  <c:v>0.69643511822798043</c:v>
                </c:pt>
                <c:pt idx="5">
                  <c:v>0.57542746494921093</c:v>
                </c:pt>
                <c:pt idx="6">
                  <c:v>0.51441868987905393</c:v>
                </c:pt>
                <c:pt idx="7">
                  <c:v>0.32278912738104526</c:v>
                </c:pt>
                <c:pt idx="8">
                  <c:v>0.43310261589204341</c:v>
                </c:pt>
                <c:pt idx="9">
                  <c:v>0.2134729177288478</c:v>
                </c:pt>
                <c:pt idx="10">
                  <c:v>4.4008747486293367E-4</c:v>
                </c:pt>
                <c:pt idx="11">
                  <c:v>0.53181823004004203</c:v>
                </c:pt>
                <c:pt idx="12">
                  <c:v>0.33862429552557771</c:v>
                </c:pt>
                <c:pt idx="13">
                  <c:v>0.63144484992590033</c:v>
                </c:pt>
                <c:pt idx="14">
                  <c:v>0.27478812226300237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F-4141-9351-6D655234853A}"/>
            </c:ext>
          </c:extLst>
        </c:ser>
        <c:ser>
          <c:idx val="3"/>
          <c:order val="3"/>
          <c:tx>
            <c:strRef>
              <c:f>'Results Flue gas - MEA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(GF)'!$Q$81:$Q$95</c:f>
              <c:numCache>
                <c:formatCode>0%</c:formatCode>
                <c:ptCount val="15"/>
                <c:pt idx="0">
                  <c:v>0.3146600999628793</c:v>
                </c:pt>
                <c:pt idx="1">
                  <c:v>0.20367221364696592</c:v>
                </c:pt>
                <c:pt idx="2">
                  <c:v>0.1079177646235122</c:v>
                </c:pt>
                <c:pt idx="3">
                  <c:v>0.10085978131945154</c:v>
                </c:pt>
                <c:pt idx="4">
                  <c:v>3.3101416830491302E-2</c:v>
                </c:pt>
                <c:pt idx="5">
                  <c:v>8.5655942752605671E-2</c:v>
                </c:pt>
                <c:pt idx="6">
                  <c:v>7.3646352907104709E-2</c:v>
                </c:pt>
                <c:pt idx="7">
                  <c:v>6.275815606196597E-2</c:v>
                </c:pt>
                <c:pt idx="8">
                  <c:v>9.3595056201157489E-2</c:v>
                </c:pt>
                <c:pt idx="9">
                  <c:v>0.10443473497639072</c:v>
                </c:pt>
                <c:pt idx="10">
                  <c:v>8.5940858340936786E-5</c:v>
                </c:pt>
                <c:pt idx="11">
                  <c:v>0.13363930792537296</c:v>
                </c:pt>
                <c:pt idx="12">
                  <c:v>0.10443739710718332</c:v>
                </c:pt>
                <c:pt idx="13">
                  <c:v>5.6487999159314975E-2</c:v>
                </c:pt>
                <c:pt idx="14">
                  <c:v>0.22542048902833053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0F-4141-9351-6D655234853A}"/>
            </c:ext>
          </c:extLst>
        </c:ser>
        <c:ser>
          <c:idx val="4"/>
          <c:order val="4"/>
          <c:tx>
            <c:strRef>
              <c:f>'Results Flue gas - MEA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(GF)'!$R$81:$R$95</c:f>
              <c:numCache>
                <c:formatCode>0%</c:formatCode>
                <c:ptCount val="15"/>
                <c:pt idx="0">
                  <c:v>2.984821326252253E-2</c:v>
                </c:pt>
                <c:pt idx="1">
                  <c:v>0.1334359781913278</c:v>
                </c:pt>
                <c:pt idx="2">
                  <c:v>2.1436700400992936E-2</c:v>
                </c:pt>
                <c:pt idx="3">
                  <c:v>4.2842964028372236E-3</c:v>
                </c:pt>
                <c:pt idx="4">
                  <c:v>3.0937235679417566E-3</c:v>
                </c:pt>
                <c:pt idx="5">
                  <c:v>8.6651483189752326E-3</c:v>
                </c:pt>
                <c:pt idx="6">
                  <c:v>8.9729161139619398E-3</c:v>
                </c:pt>
                <c:pt idx="7">
                  <c:v>8.85260656866187E-3</c:v>
                </c:pt>
                <c:pt idx="8">
                  <c:v>2.0124747056956566E-2</c:v>
                </c:pt>
                <c:pt idx="9">
                  <c:v>7.7600055603070052E-3</c:v>
                </c:pt>
                <c:pt idx="10">
                  <c:v>1.6202840441996879E-5</c:v>
                </c:pt>
                <c:pt idx="11">
                  <c:v>1.0877336125241265E-2</c:v>
                </c:pt>
                <c:pt idx="12">
                  <c:v>1.3080034824916568E-2</c:v>
                </c:pt>
                <c:pt idx="13">
                  <c:v>6.0050328584225201E-3</c:v>
                </c:pt>
                <c:pt idx="14">
                  <c:v>4.5242231304048176E-2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0F-4141-9351-6D655234853A}"/>
            </c:ext>
          </c:extLst>
        </c:ser>
        <c:ser>
          <c:idx val="5"/>
          <c:order val="5"/>
          <c:tx>
            <c:strRef>
              <c:f>'Results Flue gas - MEA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(GF)'!$S$81:$S$95</c:f>
              <c:numCache>
                <c:formatCode>0%</c:formatCode>
                <c:ptCount val="15"/>
                <c:pt idx="0">
                  <c:v>0.22496551675426188</c:v>
                </c:pt>
                <c:pt idx="1">
                  <c:v>0.11268941511896585</c:v>
                </c:pt>
                <c:pt idx="2">
                  <c:v>0.32300375533066006</c:v>
                </c:pt>
                <c:pt idx="3">
                  <c:v>0.39067507177801092</c:v>
                </c:pt>
                <c:pt idx="4">
                  <c:v>0.1212266207091658</c:v>
                </c:pt>
                <c:pt idx="5">
                  <c:v>7.3727917016230382E-2</c:v>
                </c:pt>
                <c:pt idx="6">
                  <c:v>0.16310657967434466</c:v>
                </c:pt>
                <c:pt idx="7">
                  <c:v>0.10886831610972102</c:v>
                </c:pt>
                <c:pt idx="8">
                  <c:v>0.32571696309302062</c:v>
                </c:pt>
                <c:pt idx="9">
                  <c:v>0.20321969571216975</c:v>
                </c:pt>
                <c:pt idx="10">
                  <c:v>3.1513846172130292E-4</c:v>
                </c:pt>
                <c:pt idx="11">
                  <c:v>0.17624401032829581</c:v>
                </c:pt>
                <c:pt idx="12">
                  <c:v>0.28901429840971088</c:v>
                </c:pt>
                <c:pt idx="13">
                  <c:v>0.17906266160150469</c:v>
                </c:pt>
                <c:pt idx="14">
                  <c:v>0.17662059945861092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0F-4141-9351-6D655234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B-4EF8-AA3A-2993A0E3FCF1}"/>
            </c:ext>
          </c:extLst>
        </c:ser>
        <c:ser>
          <c:idx val="1"/>
          <c:order val="1"/>
          <c:tx>
            <c:strRef>
              <c:f>'Results Flue gas - MEA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(GF)'!$O$103:$O$106</c:f>
              <c:numCache>
                <c:formatCode>0%</c:formatCode>
                <c:ptCount val="4"/>
                <c:pt idx="0">
                  <c:v>0.82849596045976537</c:v>
                </c:pt>
                <c:pt idx="1">
                  <c:v>0.58410118935824729</c:v>
                </c:pt>
                <c:pt idx="2">
                  <c:v>0.73560319456300316</c:v>
                </c:pt>
                <c:pt idx="3">
                  <c:v>0.81179788604181946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B-4EF8-AA3A-2993A0E3FCF1}"/>
            </c:ext>
          </c:extLst>
        </c:ser>
        <c:ser>
          <c:idx val="2"/>
          <c:order val="2"/>
          <c:tx>
            <c:strRef>
              <c:f>'Results Flue gas - MEA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(GF)'!$P$103:$P$106</c:f>
              <c:numCache>
                <c:formatCode>0%</c:formatCode>
                <c:ptCount val="4"/>
                <c:pt idx="0">
                  <c:v>9.8680729048392453E-8</c:v>
                </c:pt>
                <c:pt idx="1">
                  <c:v>3.30645051964136E-7</c:v>
                </c:pt>
                <c:pt idx="2">
                  <c:v>7.6923076917159752E-11</c:v>
                </c:pt>
                <c:pt idx="3">
                  <c:v>3.0282797546728543E-4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3B-4EF8-AA3A-2993A0E3FCF1}"/>
            </c:ext>
          </c:extLst>
        </c:ser>
        <c:ser>
          <c:idx val="3"/>
          <c:order val="3"/>
          <c:tx>
            <c:strRef>
              <c:f>'Results Flue gas - MEA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(GF)'!$Q$103:$Q$106</c:f>
              <c:numCache>
                <c:formatCode>0%</c:formatCode>
                <c:ptCount val="4"/>
                <c:pt idx="0">
                  <c:v>0.17150394085950557</c:v>
                </c:pt>
                <c:pt idx="1">
                  <c:v>0.41589847999670071</c:v>
                </c:pt>
                <c:pt idx="2">
                  <c:v>0.26439680536007371</c:v>
                </c:pt>
                <c:pt idx="3">
                  <c:v>0.18789928598271327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B-4EF8-AA3A-2993A0E3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(GF)'!$N$111:$N$114</c:f>
              <c:numCache>
                <c:formatCode>0%</c:formatCode>
                <c:ptCount val="4"/>
                <c:pt idx="0">
                  <c:v>0.58739463094413591</c:v>
                </c:pt>
                <c:pt idx="1">
                  <c:v>0.64628934054971821</c:v>
                </c:pt>
                <c:pt idx="2">
                  <c:v>0.60305474076355348</c:v>
                </c:pt>
                <c:pt idx="3">
                  <c:v>0.7835500644912804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E-421B-A191-93904B90C038}"/>
            </c:ext>
          </c:extLst>
        </c:ser>
        <c:ser>
          <c:idx val="1"/>
          <c:order val="1"/>
          <c:tx>
            <c:strRef>
              <c:f>'Results Flue gas - MEA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(GF)'!$O$111:$O$114</c:f>
              <c:numCache>
                <c:formatCode>0%</c:formatCode>
                <c:ptCount val="4"/>
                <c:pt idx="0">
                  <c:v>0.3656125505178332</c:v>
                </c:pt>
                <c:pt idx="1">
                  <c:v>0.33719728345000005</c:v>
                </c:pt>
                <c:pt idx="2">
                  <c:v>0.24151422947359374</c:v>
                </c:pt>
                <c:pt idx="3">
                  <c:v>0.11037928211791889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E-421B-A191-93904B90C038}"/>
            </c:ext>
          </c:extLst>
        </c:ser>
        <c:ser>
          <c:idx val="2"/>
          <c:order val="2"/>
          <c:tx>
            <c:strRef>
              <c:f>'Results Flue gas - MEA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(GF)'!$P$111:$P$114</c:f>
              <c:numCache>
                <c:formatCode>0%</c:formatCode>
                <c:ptCount val="4"/>
                <c:pt idx="0">
                  <c:v>5.9624604895495471E-4</c:v>
                </c:pt>
                <c:pt idx="1">
                  <c:v>3.4705673695191878E-5</c:v>
                </c:pt>
                <c:pt idx="2">
                  <c:v>8.2816187706003536E-3</c:v>
                </c:pt>
                <c:pt idx="3">
                  <c:v>3.8046585940719967E-3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E-421B-A191-93904B90C038}"/>
            </c:ext>
          </c:extLst>
        </c:ser>
        <c:ser>
          <c:idx val="3"/>
          <c:order val="3"/>
          <c:tx>
            <c:strRef>
              <c:f>'Results Flue gas - MEA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(GF)'!$Q$111:$Q$114</c:f>
              <c:numCache>
                <c:formatCode>0%</c:formatCode>
                <c:ptCount val="4"/>
                <c:pt idx="0">
                  <c:v>1.0793879616424214E-7</c:v>
                </c:pt>
                <c:pt idx="1">
                  <c:v>5.1404991301205781E-7</c:v>
                </c:pt>
                <c:pt idx="2">
                  <c:v>9.5036134686235027E-11</c:v>
                </c:pt>
                <c:pt idx="3">
                  <c:v>3.3924239651070146E-4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E-421B-A191-93904B90C038}"/>
            </c:ext>
          </c:extLst>
        </c:ser>
        <c:ser>
          <c:idx val="4"/>
          <c:order val="4"/>
          <c:tx>
            <c:strRef>
              <c:f>'Results Flue gas - MEA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(GF)'!$R$111:$R$114</c:f>
              <c:numCache>
                <c:formatCode>0%</c:formatCode>
                <c:ptCount val="4"/>
                <c:pt idx="0">
                  <c:v>1.4275894705103301E-2</c:v>
                </c:pt>
                <c:pt idx="1">
                  <c:v>2.1354565976141305E-3</c:v>
                </c:pt>
                <c:pt idx="2">
                  <c:v>0.11730609058763292</c:v>
                </c:pt>
                <c:pt idx="3">
                  <c:v>7.7981300778706686E-2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7E-421B-A191-93904B90C038}"/>
            </c:ext>
          </c:extLst>
        </c:ser>
        <c:ser>
          <c:idx val="5"/>
          <c:order val="5"/>
          <c:tx>
            <c:strRef>
              <c:f>'Results Flue gas - MEA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(GF)'!$S$111:$S$114</c:f>
              <c:numCache>
                <c:formatCode>0%</c:formatCode>
                <c:ptCount val="4"/>
                <c:pt idx="0">
                  <c:v>3.2120569845176659E-2</c:v>
                </c:pt>
                <c:pt idx="1">
                  <c:v>1.4342699679059601E-2</c:v>
                </c:pt>
                <c:pt idx="2">
                  <c:v>2.98433203095834E-2</c:v>
                </c:pt>
                <c:pt idx="3">
                  <c:v>2.3945451621511293E-2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7E-421B-A191-93904B90C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(GF)'!$J$119:$J$122</c:f>
              <c:numCache>
                <c:formatCode>0%</c:formatCode>
                <c:ptCount val="4"/>
                <c:pt idx="0">
                  <c:v>0.96954102303027112</c:v>
                </c:pt>
                <c:pt idx="1">
                  <c:v>0.98763867370662173</c:v>
                </c:pt>
                <c:pt idx="2">
                  <c:v>0.97243540772865378</c:v>
                </c:pt>
                <c:pt idx="3">
                  <c:v>0.98297773101635144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7-42C4-9BA5-2C06B9BBF06D}"/>
            </c:ext>
          </c:extLst>
        </c:ser>
        <c:ser>
          <c:idx val="1"/>
          <c:order val="1"/>
          <c:tx>
            <c:strRef>
              <c:f>'Results Flue gas - MEA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(GF)'!$K$119:$K$122</c:f>
              <c:numCache>
                <c:formatCode>0%</c:formatCode>
                <c:ptCount val="4"/>
                <c:pt idx="0">
                  <c:v>3.0458976969728865E-2</c:v>
                </c:pt>
                <c:pt idx="1">
                  <c:v>1.2361326293378355E-2</c:v>
                </c:pt>
                <c:pt idx="2">
                  <c:v>2.7564592271346295E-2</c:v>
                </c:pt>
                <c:pt idx="3">
                  <c:v>1.7022268983648454E-2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7-42C4-9BA5-2C06B9BB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(GF)'!$K$127:$K$130</c:f>
              <c:numCache>
                <c:formatCode>0%</c:formatCode>
                <c:ptCount val="4"/>
                <c:pt idx="0">
                  <c:v>0.97238510267646705</c:v>
                </c:pt>
                <c:pt idx="1">
                  <c:v>0.98821753782628241</c:v>
                </c:pt>
                <c:pt idx="2">
                  <c:v>0.97400446923818373</c:v>
                </c:pt>
                <c:pt idx="3">
                  <c:v>0.98374257198997483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7-40B7-B559-4616292AEB5E}"/>
            </c:ext>
          </c:extLst>
        </c:ser>
        <c:ser>
          <c:idx val="1"/>
          <c:order val="1"/>
          <c:tx>
            <c:strRef>
              <c:f>'Results Flue gas - MEA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(GF)'!$L$127:$L$130</c:f>
              <c:numCache>
                <c:formatCode>0%</c:formatCode>
                <c:ptCount val="4"/>
                <c:pt idx="0">
                  <c:v>2.7614897323533082E-2</c:v>
                </c:pt>
                <c:pt idx="1">
                  <c:v>1.1782462173717544E-2</c:v>
                </c:pt>
                <c:pt idx="2">
                  <c:v>2.5995530761816207E-2</c:v>
                </c:pt>
                <c:pt idx="3">
                  <c:v>1.6257428010025141E-2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7-40B7-B559-4616292AEB5E}"/>
            </c:ext>
          </c:extLst>
        </c:ser>
        <c:ser>
          <c:idx val="2"/>
          <c:order val="2"/>
          <c:tx>
            <c:strRef>
              <c:f>'Results Flue gas - MEA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(GF)'!$M$127:$M$130</c:f>
              <c:numCache>
                <c:formatCode>0%</c:formatCode>
                <c:ptCount val="4"/>
                <c:pt idx="0">
                  <c:v>-7.8103371852192932E-2</c:v>
                </c:pt>
                <c:pt idx="1">
                  <c:v>-1.2679937813598311E-2</c:v>
                </c:pt>
                <c:pt idx="2">
                  <c:v>-3.8173444431745113E-2</c:v>
                </c:pt>
                <c:pt idx="3">
                  <c:v>-1.5383848763656286E-2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7-40B7-B559-4616292A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(GF)'!$O$135:$O$138</c:f>
              <c:numCache>
                <c:formatCode>0%</c:formatCode>
                <c:ptCount val="4"/>
                <c:pt idx="0">
                  <c:v>0.14540728516234463</c:v>
                </c:pt>
                <c:pt idx="1">
                  <c:v>0.46951847848310446</c:v>
                </c:pt>
                <c:pt idx="2">
                  <c:v>0.25484397413261151</c:v>
                </c:pt>
                <c:pt idx="3">
                  <c:v>0.12774179966981974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1-49EF-9529-84EA41BD714A}"/>
            </c:ext>
          </c:extLst>
        </c:ser>
        <c:ser>
          <c:idx val="1"/>
          <c:order val="1"/>
          <c:tx>
            <c:strRef>
              <c:f>'Results Flue gas - MEA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(GF)'!$P$135:$P$138</c:f>
              <c:numCache>
                <c:formatCode>0%</c:formatCode>
                <c:ptCount val="4"/>
                <c:pt idx="0">
                  <c:v>0.39568796626036262</c:v>
                </c:pt>
                <c:pt idx="1">
                  <c:v>0.32425827056916995</c:v>
                </c:pt>
                <c:pt idx="2">
                  <c:v>0.33862429552557771</c:v>
                </c:pt>
                <c:pt idx="3">
                  <c:v>0.630725135869735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1-49EF-9529-84EA41BD714A}"/>
            </c:ext>
          </c:extLst>
        </c:ser>
        <c:ser>
          <c:idx val="2"/>
          <c:order val="2"/>
          <c:tx>
            <c:strRef>
              <c:f>'Results Flue gas - MEA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(GF)'!$Q$135:$Q$138</c:f>
              <c:numCache>
                <c:formatCode>0%</c:formatCode>
                <c:ptCount val="4"/>
                <c:pt idx="0">
                  <c:v>0.12452268128460257</c:v>
                </c:pt>
                <c:pt idx="1">
                  <c:v>6.7662762458076564E-2</c:v>
                </c:pt>
                <c:pt idx="2">
                  <c:v>0.10443739710718332</c:v>
                </c:pt>
                <c:pt idx="3">
                  <c:v>5.6550966222242968E-2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1-49EF-9529-84EA41BD714A}"/>
            </c:ext>
          </c:extLst>
        </c:ser>
        <c:ser>
          <c:idx val="3"/>
          <c:order val="3"/>
          <c:tx>
            <c:strRef>
              <c:f>'Results Flue gas - MEA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(GF)'!$R$135:$R$138</c:f>
              <c:numCache>
                <c:formatCode>0%</c:formatCode>
                <c:ptCount val="4"/>
                <c:pt idx="0">
                  <c:v>2.6852093125002006E-2</c:v>
                </c:pt>
                <c:pt idx="1">
                  <c:v>9.4489384854929883E-3</c:v>
                </c:pt>
                <c:pt idx="2">
                  <c:v>1.3080034824916568E-2</c:v>
                </c:pt>
                <c:pt idx="3">
                  <c:v>6.0237480214061345E-3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1-49EF-9529-84EA41BD714A}"/>
            </c:ext>
          </c:extLst>
        </c:ser>
        <c:ser>
          <c:idx val="4"/>
          <c:order val="4"/>
          <c:tx>
            <c:strRef>
              <c:f>'Results Flue gas - MEA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(GF)'!$S$135:$S$138</c:f>
              <c:numCache>
                <c:formatCode>0%</c:formatCode>
                <c:ptCount val="4"/>
                <c:pt idx="0">
                  <c:v>0.30752997416768801</c:v>
                </c:pt>
                <c:pt idx="1">
                  <c:v>0.12911155000415608</c:v>
                </c:pt>
                <c:pt idx="2">
                  <c:v>0.28901429840971088</c:v>
                </c:pt>
                <c:pt idx="3">
                  <c:v>0.17895835021679626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1-49EF-9529-84EA41BD7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(GF)'!$AF$7,'Results Flue gas - MEA (GF)'!$AF$10,'Results Flue gas - MEA (GF)'!$AF$13,'Results Flue gas - MEA (GF)'!$AF$16)</c:f>
              <c:numCache>
                <c:formatCode>0.00%</c:formatCode>
                <c:ptCount val="4"/>
                <c:pt idx="0">
                  <c:v>0.26391876621768151</c:v>
                </c:pt>
                <c:pt idx="1">
                  <c:v>0.17100334507291226</c:v>
                </c:pt>
                <c:pt idx="2">
                  <c:v>0.41587271762835104</c:v>
                </c:pt>
                <c:pt idx="3">
                  <c:v>0.18875053190680763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8-44CE-8C89-67390599854A}"/>
            </c:ext>
          </c:extLst>
        </c:ser>
        <c:ser>
          <c:idx val="1"/>
          <c:order val="1"/>
          <c:tx>
            <c:strRef>
              <c:f>'Results Flue gas - MEA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(GF)'!$AG$7,'Results Flue gas - MEA (GF)'!$AG$10,'Results Flue gas - MEA (GF)'!$AG$13,'Results Flue gas - MEA (GF)'!$AG$16)</c:f>
              <c:numCache>
                <c:formatCode>0.00%</c:formatCode>
                <c:ptCount val="4"/>
                <c:pt idx="0">
                  <c:v>0.29218395616280579</c:v>
                </c:pt>
                <c:pt idx="1">
                  <c:v>0.34204847075226785</c:v>
                </c:pt>
                <c:pt idx="2">
                  <c:v>0.20661204625057689</c:v>
                </c:pt>
                <c:pt idx="3">
                  <c:v>0.17559489505025452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8-44CE-8C89-67390599854A}"/>
            </c:ext>
          </c:extLst>
        </c:ser>
        <c:ser>
          <c:idx val="2"/>
          <c:order val="2"/>
          <c:tx>
            <c:strRef>
              <c:f>'Results Flue gas - MEA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(GF)'!$AH$7,'Results Flue gas - MEA (GF)'!$AH$10,'Results Flue gas - MEA (GF)'!$AH$13,'Results Flue gas - MEA (GF)'!$AH$16)</c:f>
              <c:numCache>
                <c:formatCode>0.00%</c:formatCode>
                <c:ptCount val="4"/>
                <c:pt idx="0">
                  <c:v>1.2235847467942441E-2</c:v>
                </c:pt>
                <c:pt idx="1">
                  <c:v>1.4831943527232109E-2</c:v>
                </c:pt>
                <c:pt idx="2">
                  <c:v>4.6665890144143313E-3</c:v>
                </c:pt>
                <c:pt idx="3">
                  <c:v>1.0820283123023137E-2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8-44CE-8C89-67390599854A}"/>
            </c:ext>
          </c:extLst>
        </c:ser>
        <c:ser>
          <c:idx val="3"/>
          <c:order val="3"/>
          <c:tx>
            <c:strRef>
              <c:f>'Results Flue gas - MEA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(GF)'!$AI$7,'Results Flue gas - MEA (GF)'!$AI$10,'Results Flue gas - MEA (GF)'!$AI$13,'Results Flue gas - MEA (GF)'!$AI$16)</c:f>
              <c:numCache>
                <c:formatCode>0.00%</c:formatCode>
                <c:ptCount val="4"/>
                <c:pt idx="0">
                  <c:v>-5.4653675349171085E-3</c:v>
                </c:pt>
                <c:pt idx="1">
                  <c:v>-2.5855858523305821E-2</c:v>
                </c:pt>
                <c:pt idx="2">
                  <c:v>-3.3892006346927675E-4</c:v>
                </c:pt>
                <c:pt idx="3">
                  <c:v>5.5437062190008145E-4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08-44CE-8C89-67390599854A}"/>
            </c:ext>
          </c:extLst>
        </c:ser>
        <c:ser>
          <c:idx val="4"/>
          <c:order val="4"/>
          <c:tx>
            <c:strRef>
              <c:f>'Results Flue gas - MEA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(GF)'!$AJ$7,'Results Flue gas - MEA (GF)'!$AJ$10,'Results Flue gas - MEA (GF)'!$AJ$13,'Results Flue gas - MEA (GF)'!$AJ$16)</c:f>
              <c:numCache>
                <c:formatCode>0.00%</c:formatCode>
                <c:ptCount val="4"/>
                <c:pt idx="0">
                  <c:v>0.43712679768648732</c:v>
                </c:pt>
                <c:pt idx="1">
                  <c:v>0.49797209917089358</c:v>
                </c:pt>
                <c:pt idx="2">
                  <c:v>0.37318756717012702</c:v>
                </c:pt>
                <c:pt idx="3">
                  <c:v>0.62427991929801463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08-44CE-8C89-67390599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(GF)'!$AN$7,'Results Flue gas - MEA (GF)'!$AN$10,'Results Flue gas - MEA (GF)'!$AN$13,'Results Flue gas - MEA (GF)'!$AN$16)</c:f>
              <c:numCache>
                <c:formatCode>0.0%</c:formatCode>
                <c:ptCount val="4"/>
                <c:pt idx="0">
                  <c:v>0.39694525923644652</c:v>
                </c:pt>
                <c:pt idx="1">
                  <c:v>0.41260536905586409</c:v>
                </c:pt>
                <c:pt idx="2">
                  <c:v>0.35371065945028179</c:v>
                </c:pt>
                <c:pt idx="3">
                  <c:v>0.21644993550871958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F-4AB3-9BEB-5CD565A50D3C}"/>
            </c:ext>
          </c:extLst>
        </c:ser>
        <c:ser>
          <c:idx val="1"/>
          <c:order val="1"/>
          <c:tx>
            <c:strRef>
              <c:f>'Results Flue gas - MEA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(GF)'!$AO$7,'Results Flue gas - MEA (GF)'!$AO$10,'Results Flue gas - MEA (GF)'!$AO$13,'Results Flue gas - MEA (GF)'!$AO$16)</c:f>
              <c:numCache>
                <c:formatCode>0.0%</c:formatCode>
                <c:ptCount val="4"/>
                <c:pt idx="0">
                  <c:v>1.6622958046449744E-2</c:v>
                </c:pt>
                <c:pt idx="1">
                  <c:v>1.789143953606985E-2</c:v>
                </c:pt>
                <c:pt idx="2">
                  <c:v>7.9889934184673578E-3</c:v>
                </c:pt>
                <c:pt idx="3">
                  <c:v>1.3337799959925723E-2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F-4AB3-9BEB-5CD565A50D3C}"/>
            </c:ext>
          </c:extLst>
        </c:ser>
        <c:ser>
          <c:idx val="2"/>
          <c:order val="2"/>
          <c:tx>
            <c:strRef>
              <c:f>'Results Flue gas - MEA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(GF)'!$AP$7,'Results Flue gas - MEA (GF)'!$AP$10,'Results Flue gas - MEA (GF)'!$AP$13,'Results Flue gas - MEA (GF)'!$AP$16)</c:f>
              <c:numCache>
                <c:formatCode>0.0%</c:formatCode>
                <c:ptCount val="4"/>
                <c:pt idx="0">
                  <c:v>-7.4249516005639163E-3</c:v>
                </c:pt>
                <c:pt idx="1">
                  <c:v>-3.1189339992668548E-2</c:v>
                </c:pt>
                <c:pt idx="2">
                  <c:v>-5.8021611675666623E-4</c:v>
                </c:pt>
                <c:pt idx="3">
                  <c:v>6.8335406518423513E-4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F-4AB3-9BEB-5CD565A50D3C}"/>
            </c:ext>
          </c:extLst>
        </c:ser>
        <c:ser>
          <c:idx val="3"/>
          <c:order val="3"/>
          <c:tx>
            <c:strRef>
              <c:f>'Results Flue gas - MEA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(GF)'!$AQ$7,'Results Flue gas - MEA (GF)'!$AQ$10,'Results Flue gas - MEA (GF)'!$AQ$13,'Results Flue gas - MEA (GF)'!$AQ$16)</c:f>
              <c:numCache>
                <c:formatCode>0.0%</c:formatCode>
                <c:ptCount val="4"/>
                <c:pt idx="0">
                  <c:v>0.59385673431766761</c:v>
                </c:pt>
                <c:pt idx="1">
                  <c:v>0.60069253140073464</c:v>
                </c:pt>
                <c:pt idx="2">
                  <c:v>0.63888056324800746</c:v>
                </c:pt>
                <c:pt idx="3">
                  <c:v>0.76952891046617045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9F-4AB3-9BEB-5CD565A50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(GF)'!$AN$38,'Results Flue gas - MEA (GF)'!$AN$41,'Results Flue gas - MEA (GF)'!$AN$44,'Results Flue gas - MEA (GF)'!$AN$47,'Results Flue gas - MEA (GF)'!$AN$50,'Results Flue gas - MEA (GF)'!$AN$53,'Results Flue gas - MEA (GF)'!$AN$56,'Results Flue gas - MEA (GF)'!$AN$59,'Results Flue gas - MEA (GF)'!$AN$62,'Results Flue gas - MEA (GF)'!$AN$65,'Results Flue gas - MEA (GF)'!$AN$68,'Results Flue gas - MEA (GF)'!$AN$71,'Results Flue gas - MEA (GF)'!$AN$74,'Results Flue gas - MEA (GF)'!$AN$77,'Results Flue gas - MEA (GF)'!$AN$80)</c:f>
              <c:numCache>
                <c:formatCode>0.0%</c:formatCode>
                <c:ptCount val="15"/>
                <c:pt idx="0">
                  <c:v>0.29442052283819986</c:v>
                </c:pt>
                <c:pt idx="1">
                  <c:v>0.69383514690452097</c:v>
                </c:pt>
                <c:pt idx="2">
                  <c:v>0.39272422919289557</c:v>
                </c:pt>
                <c:pt idx="3">
                  <c:v>0.13295232087707043</c:v>
                </c:pt>
                <c:pt idx="4">
                  <c:v>0.12309123558176872</c:v>
                </c:pt>
                <c:pt idx="5">
                  <c:v>0.26433164691884936</c:v>
                </c:pt>
                <c:pt idx="6">
                  <c:v>0.28490681107618737</c:v>
                </c:pt>
                <c:pt idx="7">
                  <c:v>0.26076696167263508</c:v>
                </c:pt>
                <c:pt idx="8">
                  <c:v>0.38267473293823046</c:v>
                </c:pt>
                <c:pt idx="9">
                  <c:v>0.74386339515370747</c:v>
                </c:pt>
                <c:pt idx="10">
                  <c:v>6.5565723143199415E-4</c:v>
                </c:pt>
                <c:pt idx="11">
                  <c:v>0.77100487909225224</c:v>
                </c:pt>
                <c:pt idx="12">
                  <c:v>0.39694525923644652</c:v>
                </c:pt>
                <c:pt idx="13">
                  <c:v>0.2157580556284468</c:v>
                </c:pt>
                <c:pt idx="14">
                  <c:v>0.71861160111173183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2-4773-B1B9-FA165EEE4E37}"/>
            </c:ext>
          </c:extLst>
        </c:ser>
        <c:ser>
          <c:idx val="1"/>
          <c:order val="1"/>
          <c:tx>
            <c:strRef>
              <c:f>'Results Flue gas - MEA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(GF)'!$AO$38,'Results Flue gas - MEA (GF)'!$AO$41,'Results Flue gas - MEA (GF)'!$AO$44,'Results Flue gas - MEA (GF)'!$AO$47,'Results Flue gas - MEA (GF)'!$AO$50,'Results Flue gas - MEA (GF)'!$AO$53,'Results Flue gas - MEA (GF)'!$AO$56,'Results Flue gas - MEA (GF)'!$AO$59,'Results Flue gas - MEA (GF)'!$AO$62,'Results Flue gas - MEA (GF)'!$AO$65,'Results Flue gas - MEA (GF)'!$AO$68,'Results Flue gas - MEA (GF)'!$AO$71,'Results Flue gas - MEA (GF)'!$AO$74,'Results Flue gas - MEA (GF)'!$AO$77,'Results Flue gas - MEA (GF)'!$AO$80)</c:f>
              <c:numCache>
                <c:formatCode>0.0%</c:formatCode>
                <c:ptCount val="15"/>
                <c:pt idx="0">
                  <c:v>1.5366197668494321E-2</c:v>
                </c:pt>
                <c:pt idx="1">
                  <c:v>3.345261436265692E-3</c:v>
                </c:pt>
                <c:pt idx="2">
                  <c:v>1.9496085953438866E-2</c:v>
                </c:pt>
                <c:pt idx="3">
                  <c:v>3.090961001905651E-2</c:v>
                </c:pt>
                <c:pt idx="4">
                  <c:v>1.0121816508854105E-2</c:v>
                </c:pt>
                <c:pt idx="5">
                  <c:v>5.2302929611256835E-3</c:v>
                </c:pt>
                <c:pt idx="6">
                  <c:v>1.1120759622768244E-2</c:v>
                </c:pt>
                <c:pt idx="7">
                  <c:v>7.7156472086626982E-3</c:v>
                </c:pt>
                <c:pt idx="8">
                  <c:v>1.8982295710416278E-2</c:v>
                </c:pt>
                <c:pt idx="9">
                  <c:v>4.9651518537272973E-3</c:v>
                </c:pt>
                <c:pt idx="10">
                  <c:v>3.0500918353942028E-5</c:v>
                </c:pt>
                <c:pt idx="11">
                  <c:v>3.9184885060474829E-3</c:v>
                </c:pt>
                <c:pt idx="12">
                  <c:v>1.6622958046449744E-2</c:v>
                </c:pt>
                <c:pt idx="13">
                  <c:v>1.3357185270387916E-2</c:v>
                </c:pt>
                <c:pt idx="14">
                  <c:v>4.7497814480892721E-3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F2-4773-B1B9-FA165EEE4E37}"/>
            </c:ext>
          </c:extLst>
        </c:ser>
        <c:ser>
          <c:idx val="2"/>
          <c:order val="2"/>
          <c:tx>
            <c:strRef>
              <c:f>'Results Flue gas - MEA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(GF)'!$AP$38,'Results Flue gas - MEA (GF)'!$AP$41,'Results Flue gas - MEA (GF)'!$AP$44,'Results Flue gas - MEA (GF)'!$AP$47,'Results Flue gas - MEA (GF)'!$AP$50,'Results Flue gas - MEA (GF)'!$AP$53,'Results Flue gas - MEA (GF)'!$AP$56,'Results Flue gas - MEA (GF)'!$AP$59,'Results Flue gas - MEA (GF)'!$AP$62,'Results Flue gas - MEA (GF)'!$AP$65,'Results Flue gas - MEA (GF)'!$AP$68,'Results Flue gas - MEA (GF)'!$AP$71,'Results Flue gas - MEA (GF)'!$AP$74,'Results Flue gas - MEA (GF)'!$AP$77,'Results Flue gas - MEA (GF)'!$AP$80)</c:f>
              <c:numCache>
                <c:formatCode>0.0%</c:formatCode>
                <c:ptCount val="15"/>
                <c:pt idx="0">
                  <c:v>-1.5036986909156608E-2</c:v>
                </c:pt>
                <c:pt idx="1">
                  <c:v>-3.686718887313319E-3</c:v>
                </c:pt>
                <c:pt idx="2">
                  <c:v>-3.5425806980404838E-2</c:v>
                </c:pt>
                <c:pt idx="3">
                  <c:v>1.9234989164431678E-2</c:v>
                </c:pt>
                <c:pt idx="4">
                  <c:v>4.7002869470774509E-3</c:v>
                </c:pt>
                <c:pt idx="5">
                  <c:v>-2.0295476252255389E-3</c:v>
                </c:pt>
                <c:pt idx="6">
                  <c:v>-4.5659753084939594E-8</c:v>
                </c:pt>
                <c:pt idx="7">
                  <c:v>-2.3400288454819988E-4</c:v>
                </c:pt>
                <c:pt idx="8">
                  <c:v>-3.3863017802978445E-3</c:v>
                </c:pt>
                <c:pt idx="9">
                  <c:v>-1.0949867913170124E-3</c:v>
                </c:pt>
                <c:pt idx="10">
                  <c:v>-4.7490558675195726E-6</c:v>
                </c:pt>
                <c:pt idx="11">
                  <c:v>-4.4887552569074247E-3</c:v>
                </c:pt>
                <c:pt idx="12">
                  <c:v>-7.4249516005639163E-3</c:v>
                </c:pt>
                <c:pt idx="13">
                  <c:v>6.8634332936747271E-4</c:v>
                </c:pt>
                <c:pt idx="14">
                  <c:v>-1.0289478936501835E-3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F2-4773-B1B9-FA165EEE4E37}"/>
            </c:ext>
          </c:extLst>
        </c:ser>
        <c:ser>
          <c:idx val="3"/>
          <c:order val="3"/>
          <c:tx>
            <c:strRef>
              <c:f>'Results Flue gas - MEA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(GF)'!$AQ$38,'Results Flue gas - MEA (GF)'!$AQ$41,'Results Flue gas - MEA (GF)'!$AQ$44,'Results Flue gas - MEA (GF)'!$AQ$47,'Results Flue gas - MEA (GF)'!$AQ$50,'Results Flue gas - MEA (GF)'!$AQ$53,'Results Flue gas - MEA (GF)'!$AQ$56,'Results Flue gas - MEA (GF)'!$AQ$59,'Results Flue gas - MEA (GF)'!$AQ$62,'Results Flue gas - MEA (GF)'!$AQ$65,'Results Flue gas - MEA (GF)'!$AQ$68,'Results Flue gas - MEA (GF)'!$AQ$71,'Results Flue gas - MEA (GF)'!$AQ$74,'Results Flue gas - MEA (GF)'!$AQ$77,'Results Flue gas - MEA (GF)'!$AQ$80)</c:f>
              <c:numCache>
                <c:formatCode>0.0%</c:formatCode>
                <c:ptCount val="15"/>
                <c:pt idx="0">
                  <c:v>0.70525026640246236</c:v>
                </c:pt>
                <c:pt idx="1">
                  <c:v>0.30650631054652677</c:v>
                </c:pt>
                <c:pt idx="2">
                  <c:v>0.62320549183407037</c:v>
                </c:pt>
                <c:pt idx="3">
                  <c:v>0.81690307993944133</c:v>
                </c:pt>
                <c:pt idx="4">
                  <c:v>0.86208666096229969</c:v>
                </c:pt>
                <c:pt idx="5">
                  <c:v>0.73246760774525055</c:v>
                </c:pt>
                <c:pt idx="6">
                  <c:v>0.7039724749607974</c:v>
                </c:pt>
                <c:pt idx="7">
                  <c:v>0.7317513940032504</c:v>
                </c:pt>
                <c:pt idx="8">
                  <c:v>0.60172927313165114</c:v>
                </c:pt>
                <c:pt idx="9">
                  <c:v>0.25226643978388225</c:v>
                </c:pt>
                <c:pt idx="10">
                  <c:v>0.99931859090608155</c:v>
                </c:pt>
                <c:pt idx="11">
                  <c:v>0.22956538765860771</c:v>
                </c:pt>
                <c:pt idx="12">
                  <c:v>0.59385673431766761</c:v>
                </c:pt>
                <c:pt idx="13">
                  <c:v>0.77019841577179782</c:v>
                </c:pt>
                <c:pt idx="14">
                  <c:v>0.27766756533382908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F2-4773-B1B9-FA165EEE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9-49D9-B883-C9FB2BAB18A2}"/>
            </c:ext>
          </c:extLst>
        </c:ser>
        <c:ser>
          <c:idx val="1"/>
          <c:order val="1"/>
          <c:tx>
            <c:strRef>
              <c:f>'Results SimaPro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(GF)'!$O$5:$O$19</c:f>
              <c:numCache>
                <c:formatCode>0%</c:formatCode>
                <c:ptCount val="15"/>
                <c:pt idx="0">
                  <c:v>0.85330214774104118</c:v>
                </c:pt>
                <c:pt idx="1">
                  <c:v>0.82288385002607345</c:v>
                </c:pt>
                <c:pt idx="2">
                  <c:v>0.81929898075519958</c:v>
                </c:pt>
                <c:pt idx="3">
                  <c:v>0.87653797539164979</c:v>
                </c:pt>
                <c:pt idx="4">
                  <c:v>0.62619808306625235</c:v>
                </c:pt>
                <c:pt idx="5">
                  <c:v>0.61021260143054001</c:v>
                </c:pt>
                <c:pt idx="6">
                  <c:v>0.67518254229392916</c:v>
                </c:pt>
                <c:pt idx="7">
                  <c:v>0.52309468133570514</c:v>
                </c:pt>
                <c:pt idx="8">
                  <c:v>0.83358212996244363</c:v>
                </c:pt>
                <c:pt idx="9">
                  <c:v>0.7882676443629697</c:v>
                </c:pt>
                <c:pt idx="10">
                  <c:v>0.86234257607677678</c:v>
                </c:pt>
                <c:pt idx="11">
                  <c:v>0.92882104101526575</c:v>
                </c:pt>
                <c:pt idx="12">
                  <c:v>0.75029773714279291</c:v>
                </c:pt>
                <c:pt idx="13">
                  <c:v>0.74412697782749648</c:v>
                </c:pt>
                <c:pt idx="14">
                  <c:v>0.89416480382332542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9-49D9-B883-C9FB2BAB18A2}"/>
            </c:ext>
          </c:extLst>
        </c:ser>
        <c:ser>
          <c:idx val="2"/>
          <c:order val="2"/>
          <c:tx>
            <c:strRef>
              <c:f>'Results SimaPro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(GF)'!$P$5:$P$19</c:f>
              <c:numCache>
                <c:formatCode>0%</c:formatCode>
                <c:ptCount val="15"/>
                <c:pt idx="0">
                  <c:v>1.7270601688868333E-8</c:v>
                </c:pt>
                <c:pt idx="1">
                  <c:v>1.9749212400625765E-7</c:v>
                </c:pt>
                <c:pt idx="2">
                  <c:v>7.7378237071324402E-8</c:v>
                </c:pt>
                <c:pt idx="3">
                  <c:v>2.697039924281999E-6</c:v>
                </c:pt>
                <c:pt idx="4">
                  <c:v>1.3418530351419693E-12</c:v>
                </c:pt>
                <c:pt idx="5">
                  <c:v>4.0188010534742612E-6</c:v>
                </c:pt>
                <c:pt idx="6">
                  <c:v>3.1372706060036884E-5</c:v>
                </c:pt>
                <c:pt idx="7">
                  <c:v>1.316397211308397E-8</c:v>
                </c:pt>
                <c:pt idx="8">
                  <c:v>2.1900204346325133E-7</c:v>
                </c:pt>
                <c:pt idx="9">
                  <c:v>0</c:v>
                </c:pt>
                <c:pt idx="10">
                  <c:v>2.3268151898261123E-6</c:v>
                </c:pt>
                <c:pt idx="11">
                  <c:v>0</c:v>
                </c:pt>
                <c:pt idx="12">
                  <c:v>7.2647876136048196E-11</c:v>
                </c:pt>
                <c:pt idx="13">
                  <c:v>3.8942645172972313E-4</c:v>
                </c:pt>
                <c:pt idx="14">
                  <c:v>7.1687350651352816E-3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19-49D9-B883-C9FB2BAB18A2}"/>
            </c:ext>
          </c:extLst>
        </c:ser>
        <c:ser>
          <c:idx val="3"/>
          <c:order val="3"/>
          <c:tx>
            <c:strRef>
              <c:f>'Results SimaPro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(GF)'!$Q$5:$Q$19</c:f>
              <c:numCache>
                <c:formatCode>0%</c:formatCode>
                <c:ptCount val="15"/>
                <c:pt idx="0">
                  <c:v>0.14669783498835709</c:v>
                </c:pt>
                <c:pt idx="1">
                  <c:v>0.17711595248180245</c:v>
                </c:pt>
                <c:pt idx="2">
                  <c:v>0.18070094186656346</c:v>
                </c:pt>
                <c:pt idx="3">
                  <c:v>0.12345932756842599</c:v>
                </c:pt>
                <c:pt idx="4">
                  <c:v>0.37380191693240572</c:v>
                </c:pt>
                <c:pt idx="5">
                  <c:v>0.3897833797684066</c:v>
                </c:pt>
                <c:pt idx="6">
                  <c:v>0.32478608500001077</c:v>
                </c:pt>
                <c:pt idx="7">
                  <c:v>0.47690530550032273</c:v>
                </c:pt>
                <c:pt idx="8">
                  <c:v>0.16641765103551295</c:v>
                </c:pt>
                <c:pt idx="9">
                  <c:v>0.21173235563703025</c:v>
                </c:pt>
                <c:pt idx="10">
                  <c:v>0.13765509710803336</c:v>
                </c:pt>
                <c:pt idx="11">
                  <c:v>7.1178958984734225E-2</c:v>
                </c:pt>
                <c:pt idx="12">
                  <c:v>0.24970226278455912</c:v>
                </c:pt>
                <c:pt idx="13">
                  <c:v>0.25548359572077378</c:v>
                </c:pt>
                <c:pt idx="14">
                  <c:v>9.8666461111539358E-2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1-45C8-A480-F65DCC6D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(GF)'!$AF$38,'Results Flue gas - MEA (GF)'!$AF$41,'Results Flue gas - MEA (GF)'!$AF$44,'Results Flue gas - MEA (GF)'!$AF$47,'Results Flue gas - MEA (GF)'!$AF$50,'Results Flue gas - MEA (GF)'!$AF$53,'Results Flue gas - MEA (GF)'!$AF$56,'Results Flue gas - MEA (GF)'!$AF$59,'Results Flue gas - MEA (GF)'!$AF$62,'Results Flue gas - MEA (GF)'!$AF$65,'Results Flue gas - MEA (GF)'!$AF$68,'Results Flue gas - MEA (GF)'!$AF$71,'Results Flue gas - MEA (GF)'!$AF$74,'Results Flue gas - MEA (GF)'!$AF$77,'Results Flue gas - MEA (GF)'!$AF$80)</c:f>
              <c:numCache>
                <c:formatCode>0.0%</c:formatCode>
                <c:ptCount val="15"/>
                <c:pt idx="0">
                  <c:v>0.14947822821654477</c:v>
                </c:pt>
                <c:pt idx="1">
                  <c:v>0.18524251149144738</c:v>
                </c:pt>
                <c:pt idx="2">
                  <c:v>0.17067083643975126</c:v>
                </c:pt>
                <c:pt idx="3">
                  <c:v>0.10977027933842064</c:v>
                </c:pt>
                <c:pt idx="4">
                  <c:v>0.23009036996906521</c:v>
                </c:pt>
                <c:pt idx="5">
                  <c:v>0.30807278033029295</c:v>
                </c:pt>
                <c:pt idx="6">
                  <c:v>0.28567360171030071</c:v>
                </c:pt>
                <c:pt idx="7">
                  <c:v>0.46256800920733232</c:v>
                </c:pt>
                <c:pt idx="8">
                  <c:v>0.15301210422234585</c:v>
                </c:pt>
                <c:pt idx="9">
                  <c:v>0.22005055347539498</c:v>
                </c:pt>
                <c:pt idx="10">
                  <c:v>-532.61986027592764</c:v>
                </c:pt>
                <c:pt idx="11">
                  <c:v>7.4804672443338383E-2</c:v>
                </c:pt>
                <c:pt idx="12">
                  <c:v>0.26391876621768151</c:v>
                </c:pt>
                <c:pt idx="13">
                  <c:v>0.18888656810546881</c:v>
                </c:pt>
                <c:pt idx="14">
                  <c:v>0.16444401004296821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C-4AAE-A49A-887BFD1C8F74}"/>
            </c:ext>
          </c:extLst>
        </c:ser>
        <c:ser>
          <c:idx val="1"/>
          <c:order val="1"/>
          <c:tx>
            <c:strRef>
              <c:f>'Results Flue gas - MEA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(GF)'!$AG$38,'Results Flue gas - MEA (GF)'!$AG$41,'Results Flue gas - MEA (GF)'!$AG$44,'Results Flue gas - MEA (GF)'!$AG$47,'Results Flue gas - MEA (GF)'!$AG$50,'Results Flue gas - MEA (GF)'!$AG$53,'Results Flue gas - MEA (GF)'!$AG$56,'Results Flue gas - MEA (GF)'!$AG$59,'Results Flue gas - MEA (GF)'!$AG$62,'Results Flue gas - MEA (GF)'!$AG$65,'Results Flue gas - MEA (GF)'!$AG$68,'Results Flue gas - MEA (GF)'!$AG$71,'Results Flue gas - MEA (GF)'!$AG$74,'Results Flue gas - MEA (GF)'!$AG$77,'Results Flue gas - MEA (GF)'!$AG$80)</c:f>
              <c:numCache>
                <c:formatCode>0.0%</c:formatCode>
                <c:ptCount val="15"/>
                <c:pt idx="0">
                  <c:v>0.25041106473375702</c:v>
                </c:pt>
                <c:pt idx="1">
                  <c:v>0.56530738173089012</c:v>
                </c:pt>
                <c:pt idx="2">
                  <c:v>0.32569765650638749</c:v>
                </c:pt>
                <c:pt idx="3">
                  <c:v>0.11835810747570316</c:v>
                </c:pt>
                <c:pt idx="4">
                  <c:v>9.4769127646810183E-2</c:v>
                </c:pt>
                <c:pt idx="5">
                  <c:v>0.18289826152327415</c:v>
                </c:pt>
                <c:pt idx="6">
                  <c:v>0.20351645620425679</c:v>
                </c:pt>
                <c:pt idx="7">
                  <c:v>0.14014450734467956</c:v>
                </c:pt>
                <c:pt idx="8">
                  <c:v>0.32412086681862751</c:v>
                </c:pt>
                <c:pt idx="9">
                  <c:v>0.58017584334004768</c:v>
                </c:pt>
                <c:pt idx="10">
                  <c:v>0.3498717202256208</c:v>
                </c:pt>
                <c:pt idx="11">
                  <c:v>0.71333011165954063</c:v>
                </c:pt>
                <c:pt idx="12">
                  <c:v>0.29218395616280579</c:v>
                </c:pt>
                <c:pt idx="13">
                  <c:v>0.17500425695968067</c:v>
                </c:pt>
                <c:pt idx="14">
                  <c:v>0.60044022776152073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9C-4AAE-A49A-887BFD1C8F74}"/>
            </c:ext>
          </c:extLst>
        </c:ser>
        <c:ser>
          <c:idx val="2"/>
          <c:order val="2"/>
          <c:tx>
            <c:strRef>
              <c:f>'Results Flue gas - MEA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(GF)'!$AH$38,'Results Flue gas - MEA (GF)'!$AH$41,'Results Flue gas - MEA (GF)'!$AH$44,'Results Flue gas - MEA (GF)'!$AH$47,'Results Flue gas - MEA (GF)'!$AH$50,'Results Flue gas - MEA (GF)'!$AH$53,'Results Flue gas - MEA (GF)'!$AH$56,'Results Flue gas - MEA (GF)'!$AH$59,'Results Flue gas - MEA (GF)'!$AH$62,'Results Flue gas - MEA (GF)'!$AH$65,'Results Flue gas - MEA (GF)'!$AH$68,'Results Flue gas - MEA (GF)'!$AH$71,'Results Flue gas - MEA (GF)'!$AH$74,'Results Flue gas - MEA (GF)'!$AH$77,'Results Flue gas - MEA (GF)'!$AH$80)</c:f>
              <c:numCache>
                <c:formatCode>0.0%</c:formatCode>
                <c:ptCount val="15"/>
                <c:pt idx="0">
                  <c:v>1.3069285666582641E-2</c:v>
                </c:pt>
                <c:pt idx="1">
                  <c:v>2.7255768062163636E-3</c:v>
                </c:pt>
                <c:pt idx="2">
                  <c:v>1.6168672656464194E-2</c:v>
                </c:pt>
                <c:pt idx="3">
                  <c:v>2.7516653493022996E-2</c:v>
                </c:pt>
                <c:pt idx="4">
                  <c:v>7.7928840035728832E-3</c:v>
                </c:pt>
                <c:pt idx="5">
                  <c:v>3.6189820666497154E-3</c:v>
                </c:pt>
                <c:pt idx="6">
                  <c:v>7.9438521675775139E-3</c:v>
                </c:pt>
                <c:pt idx="7">
                  <c:v>4.1466356396054407E-3</c:v>
                </c:pt>
                <c:pt idx="8">
                  <c:v>1.6077774700794703E-2</c:v>
                </c:pt>
                <c:pt idx="9">
                  <c:v>3.872567440225229E-3</c:v>
                </c:pt>
                <c:pt idx="10">
                  <c:v>1.6275895790325925E-2</c:v>
                </c:pt>
                <c:pt idx="11">
                  <c:v>3.6253672568796113E-3</c:v>
                </c:pt>
                <c:pt idx="12">
                  <c:v>1.2235847467942441E-2</c:v>
                </c:pt>
                <c:pt idx="13">
                  <c:v>1.0834192385115463E-2</c:v>
                </c:pt>
                <c:pt idx="14">
                  <c:v>3.9687083399377598E-3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9C-4AAE-A49A-887BFD1C8F74}"/>
            </c:ext>
          </c:extLst>
        </c:ser>
        <c:ser>
          <c:idx val="3"/>
          <c:order val="3"/>
          <c:tx>
            <c:strRef>
              <c:f>'Results Flue gas - MEA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(GF)'!$AI$38,'Results Flue gas - MEA (GF)'!$AI$41,'Results Flue gas - MEA (GF)'!$AI$44,'Results Flue gas - MEA (GF)'!$AI$47,'Results Flue gas - MEA (GF)'!$AI$50,'Results Flue gas - MEA (GF)'!$AI$53,'Results Flue gas - MEA (GF)'!$AI$56,'Results Flue gas - MEA (GF)'!$AI$59,'Results Flue gas - MEA (GF)'!$AI$62,'Results Flue gas - MEA (GF)'!$AI$65,'Results Flue gas - MEA (GF)'!$AI$68,'Results Flue gas - MEA (GF)'!$AI$71,'Results Flue gas - MEA (GF)'!$AI$74,'Results Flue gas - MEA (GF)'!$AI$77,'Results Flue gas - MEA (GF)'!$AI$80)</c:f>
              <c:numCache>
                <c:formatCode>0.0%</c:formatCode>
                <c:ptCount val="15"/>
                <c:pt idx="0">
                  <c:v>-1.2789284748260556E-2</c:v>
                </c:pt>
                <c:pt idx="1">
                  <c:v>-3.0037818214644491E-3</c:v>
                </c:pt>
                <c:pt idx="2">
                  <c:v>-2.9379654871505973E-2</c:v>
                </c:pt>
                <c:pt idx="3">
                  <c:v>1.7123559030780562E-2</c:v>
                </c:pt>
                <c:pt idx="4">
                  <c:v>3.6187961844636666E-3</c:v>
                </c:pt>
                <c:pt idx="5">
                  <c:v>-1.4042992455095475E-3</c:v>
                </c:pt>
                <c:pt idx="6">
                  <c:v>-3.2615966972396981E-8</c:v>
                </c:pt>
                <c:pt idx="7">
                  <c:v>-1.2576063609395254E-4</c:v>
                </c:pt>
                <c:pt idx="8">
                  <c:v>-2.8681566193626247E-3</c:v>
                </c:pt>
                <c:pt idx="9">
                  <c:v>-8.5403434183947073E-4</c:v>
                </c:pt>
                <c:pt idx="10">
                  <c:v>-2.5341905284448183E-3</c:v>
                </c:pt>
                <c:pt idx="11">
                  <c:v>-4.1529753902361469E-3</c:v>
                </c:pt>
                <c:pt idx="12">
                  <c:v>-5.4653675349171085E-3</c:v>
                </c:pt>
                <c:pt idx="13">
                  <c:v>5.5670229334115427E-4</c:v>
                </c:pt>
                <c:pt idx="14">
                  <c:v>-8.5974357589305964E-4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9C-4AAE-A49A-887BFD1C8F74}"/>
            </c:ext>
          </c:extLst>
        </c:ser>
        <c:ser>
          <c:idx val="4"/>
          <c:order val="4"/>
          <c:tx>
            <c:strRef>
              <c:f>'Results Flue gas - MEA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(GF)'!$AJ$38,'Results Flue gas - MEA (GF)'!$AJ$41,'Results Flue gas - MEA (GF)'!$AJ$44,'Results Flue gas - MEA (GF)'!$AJ$47,'Results Flue gas - MEA (GF)'!$AJ$50,'Results Flue gas - MEA (GF)'!$AJ$53,'Results Flue gas - MEA (GF)'!$AJ$56,'Results Flue gas - MEA (GF)'!$AJ$59,'Results Flue gas - MEA (GF)'!$AJ$62,'Results Flue gas - MEA (GF)'!$AJ$65,'Results Flue gas - MEA (GF)'!$AJ$68,'Results Flue gas - MEA (GF)'!$AJ$71,'Results Flue gas - MEA (GF)'!$AJ$74,'Results Flue gas - MEA (GF)'!$AJ$77,'Results Flue gas - MEA (GF)'!$AJ$80)</c:f>
              <c:numCache>
                <c:formatCode>0.0%</c:formatCode>
                <c:ptCount val="15"/>
                <c:pt idx="0">
                  <c:v>0.59983070613137612</c:v>
                </c:pt>
                <c:pt idx="1">
                  <c:v>0.24972831179291063</c:v>
                </c:pt>
                <c:pt idx="2">
                  <c:v>0.51684248926890308</c:v>
                </c:pt>
                <c:pt idx="3">
                  <c:v>0.72723140066207259</c:v>
                </c:pt>
                <c:pt idx="4">
                  <c:v>0.66372882219608809</c:v>
                </c:pt>
                <c:pt idx="5">
                  <c:v>0.50681427532529266</c:v>
                </c:pt>
                <c:pt idx="6">
                  <c:v>0.50286612253383201</c:v>
                </c:pt>
                <c:pt idx="7">
                  <c:v>0.39326660844447664</c:v>
                </c:pt>
                <c:pt idx="8">
                  <c:v>0.50965741087759453</c:v>
                </c:pt>
                <c:pt idx="9">
                  <c:v>0.19675507008617157</c:v>
                </c:pt>
                <c:pt idx="10">
                  <c:v>533.25624685044022</c:v>
                </c:pt>
                <c:pt idx="11">
                  <c:v>0.21239282403047757</c:v>
                </c:pt>
                <c:pt idx="12">
                  <c:v>0.43712679768648732</c:v>
                </c:pt>
                <c:pt idx="13">
                  <c:v>0.62471828025639387</c:v>
                </c:pt>
                <c:pt idx="14">
                  <c:v>0.23200679743146635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9C-4AAE-A49A-887BFD1C8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3-40ED-9772-BC3723548526}"/>
            </c:ext>
          </c:extLst>
        </c:ser>
        <c:ser>
          <c:idx val="1"/>
          <c:order val="1"/>
          <c:tx>
            <c:strRef>
              <c:f>'Results Biogas - MEA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(GF)'!$O$5:$O$19</c:f>
              <c:numCache>
                <c:formatCode>0%</c:formatCode>
                <c:ptCount val="15"/>
                <c:pt idx="0">
                  <c:v>0.88570126312728947</c:v>
                </c:pt>
                <c:pt idx="1">
                  <c:v>0.8153593092560899</c:v>
                </c:pt>
                <c:pt idx="2">
                  <c:v>0.82865768628752423</c:v>
                </c:pt>
                <c:pt idx="3">
                  <c:v>0.86661390285825846</c:v>
                </c:pt>
                <c:pt idx="4">
                  <c:v>0.64759036144496396</c:v>
                </c:pt>
                <c:pt idx="5">
                  <c:v>0.65598818338710752</c:v>
                </c:pt>
                <c:pt idx="6">
                  <c:v>0.76533168571158117</c:v>
                </c:pt>
                <c:pt idx="7">
                  <c:v>0.51468859475035256</c:v>
                </c:pt>
                <c:pt idx="8">
                  <c:v>0.84471686111584643</c:v>
                </c:pt>
                <c:pt idx="9">
                  <c:v>0.77831094049904026</c:v>
                </c:pt>
                <c:pt idx="10">
                  <c:v>0.86919639046873998</c:v>
                </c:pt>
                <c:pt idx="11">
                  <c:v>0.92247596153846156</c:v>
                </c:pt>
                <c:pt idx="12">
                  <c:v>0.75610701817046633</c:v>
                </c:pt>
                <c:pt idx="13">
                  <c:v>0.76826827388988606</c:v>
                </c:pt>
                <c:pt idx="14">
                  <c:v>0.85048459109223562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3-40ED-9772-BC3723548526}"/>
            </c:ext>
          </c:extLst>
        </c:ser>
        <c:ser>
          <c:idx val="2"/>
          <c:order val="2"/>
          <c:tx>
            <c:strRef>
              <c:f>'Results Biogas - MEA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(GF)'!$P$5:$P$19</c:f>
              <c:numCache>
                <c:formatCode>0%</c:formatCode>
                <c:ptCount val="15"/>
                <c:pt idx="0">
                  <c:v>1.3456283971933884E-8</c:v>
                </c:pt>
                <c:pt idx="1">
                  <c:v>2.0588231055364194E-7</c:v>
                </c:pt>
                <c:pt idx="2">
                  <c:v>7.3370732640041199E-8</c:v>
                </c:pt>
                <c:pt idx="3">
                  <c:v>2.9138322530886369E-6</c:v>
                </c:pt>
                <c:pt idx="4">
                  <c:v>1.2650602409622549E-12</c:v>
                </c:pt>
                <c:pt idx="5">
                  <c:v>3.5468438848597677E-6</c:v>
                </c:pt>
                <c:pt idx="6">
                  <c:v>2.2665592230689139E-5</c:v>
                </c:pt>
                <c:pt idx="7">
                  <c:v>1.3396004520899588E-8</c:v>
                </c:pt>
                <c:pt idx="8">
                  <c:v>2.0434899643495559E-7</c:v>
                </c:pt>
                <c:pt idx="9">
                  <c:v>0</c:v>
                </c:pt>
                <c:pt idx="10">
                  <c:v>2.2109655757554355E-6</c:v>
                </c:pt>
                <c:pt idx="11">
                  <c:v>0</c:v>
                </c:pt>
                <c:pt idx="12">
                  <c:v>7.0957735551382218E-11</c:v>
                </c:pt>
                <c:pt idx="13">
                  <c:v>3.5268455848161439E-4</c:v>
                </c:pt>
                <c:pt idx="14">
                  <c:v>1.0127409343351846E-2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3-40ED-9772-BC3723548526}"/>
            </c:ext>
          </c:extLst>
        </c:ser>
        <c:ser>
          <c:idx val="3"/>
          <c:order val="3"/>
          <c:tx>
            <c:strRef>
              <c:f>'Results Biogas - MEA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(GF)'!$Q$5:$Q$19</c:f>
              <c:numCache>
                <c:formatCode>0%</c:formatCode>
                <c:ptCount val="15"/>
                <c:pt idx="0">
                  <c:v>0.11429872341642656</c:v>
                </c:pt>
                <c:pt idx="1">
                  <c:v>0.18464048486159948</c:v>
                </c:pt>
                <c:pt idx="2">
                  <c:v>0.17134224034174328</c:v>
                </c:pt>
                <c:pt idx="3">
                  <c:v>0.13338318330948848</c:v>
                </c:pt>
                <c:pt idx="4">
                  <c:v>0.35240963855377105</c:v>
                </c:pt>
                <c:pt idx="5">
                  <c:v>0.34400826976900756</c:v>
                </c:pt>
                <c:pt idx="6">
                  <c:v>0.23464564869618809</c:v>
                </c:pt>
                <c:pt idx="7">
                  <c:v>0.48531139185364291</c:v>
                </c:pt>
                <c:pt idx="8">
                  <c:v>0.15528293453515726</c:v>
                </c:pt>
                <c:pt idx="9">
                  <c:v>0.22168905950095971</c:v>
                </c:pt>
                <c:pt idx="10">
                  <c:v>0.13080139856568418</c:v>
                </c:pt>
                <c:pt idx="11">
                  <c:v>7.7524038461538464E-2</c:v>
                </c:pt>
                <c:pt idx="12">
                  <c:v>0.24389298175857604</c:v>
                </c:pt>
                <c:pt idx="13">
                  <c:v>0.23137904155163236</c:v>
                </c:pt>
                <c:pt idx="14">
                  <c:v>0.1393879995644125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3-40ED-9772-BC372354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(GF)'!$N$24:$N$38</c:f>
              <c:numCache>
                <c:formatCode>0%</c:formatCode>
                <c:ptCount val="15"/>
                <c:pt idx="0">
                  <c:v>0.78214258218299959</c:v>
                </c:pt>
                <c:pt idx="1">
                  <c:v>0.30700865389652948</c:v>
                </c:pt>
                <c:pt idx="2">
                  <c:v>0.6078979086130033</c:v>
                </c:pt>
                <c:pt idx="3">
                  <c:v>0.83394509192620259</c:v>
                </c:pt>
                <c:pt idx="4">
                  <c:v>0.77639579959858396</c:v>
                </c:pt>
                <c:pt idx="5">
                  <c:v>0.68863251984027696</c:v>
                </c:pt>
                <c:pt idx="6">
                  <c:v>0.78283897067523089</c:v>
                </c:pt>
                <c:pt idx="7">
                  <c:v>0.71485657139321357</c:v>
                </c:pt>
                <c:pt idx="8">
                  <c:v>0.61349533617614138</c:v>
                </c:pt>
                <c:pt idx="9">
                  <c:v>0.25056993622928492</c:v>
                </c:pt>
                <c:pt idx="10">
                  <c:v>0.99934430379181671</c:v>
                </c:pt>
                <c:pt idx="11">
                  <c:v>0.19619914974957384</c:v>
                </c:pt>
                <c:pt idx="12">
                  <c:v>0.64436186303820731</c:v>
                </c:pt>
                <c:pt idx="13">
                  <c:v>0.71985638913283578</c:v>
                </c:pt>
                <c:pt idx="14">
                  <c:v>0.35957163623001875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C-4542-A2E6-983B45CF561A}"/>
            </c:ext>
          </c:extLst>
        </c:ser>
        <c:ser>
          <c:idx val="1"/>
          <c:order val="1"/>
          <c:tx>
            <c:strRef>
              <c:f>'Results Biogas - MEA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(GF)'!$O$24:$O$38</c:f>
              <c:numCache>
                <c:formatCode>0%</c:formatCode>
                <c:ptCount val="15"/>
                <c:pt idx="0">
                  <c:v>0.19733607504009526</c:v>
                </c:pt>
                <c:pt idx="1">
                  <c:v>0.68665161453406476</c:v>
                </c:pt>
                <c:pt idx="2">
                  <c:v>0.33989899798039297</c:v>
                </c:pt>
                <c:pt idx="3">
                  <c:v>9.5859183214044019E-2</c:v>
                </c:pt>
                <c:pt idx="4">
                  <c:v>0.19026995772251987</c:v>
                </c:pt>
                <c:pt idx="5">
                  <c:v>0.17421064723239879</c:v>
                </c:pt>
                <c:pt idx="6">
                  <c:v>0.20182052397228906</c:v>
                </c:pt>
                <c:pt idx="7">
                  <c:v>0.26948570387146936</c:v>
                </c:pt>
                <c:pt idx="8">
                  <c:v>0.32395996547859557</c:v>
                </c:pt>
                <c:pt idx="9">
                  <c:v>0.74005252323111537</c:v>
                </c:pt>
                <c:pt idx="10">
                  <c:v>5.6190287513802908E-4</c:v>
                </c:pt>
                <c:pt idx="11">
                  <c:v>0.70976833058599287</c:v>
                </c:pt>
                <c:pt idx="12">
                  <c:v>0.21638165117520416</c:v>
                </c:pt>
                <c:pt idx="13">
                  <c:v>0.14218516013196303</c:v>
                </c:pt>
                <c:pt idx="14">
                  <c:v>0.62185768506399708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C-4542-A2E6-983B45CF561A}"/>
            </c:ext>
          </c:extLst>
        </c:ser>
        <c:ser>
          <c:idx val="2"/>
          <c:order val="2"/>
          <c:tx>
            <c:strRef>
              <c:f>'Results Biogas - MEA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6.8868164542415305E-4</c:v>
                </c:pt>
                <c:pt idx="3">
                  <c:v>0</c:v>
                </c:pt>
                <c:pt idx="4">
                  <c:v>0</c:v>
                </c:pt>
                <c:pt idx="5">
                  <c:v>1.0931930244355851E-2</c:v>
                </c:pt>
                <c:pt idx="6">
                  <c:v>6.1277981608957867E-11</c:v>
                </c:pt>
                <c:pt idx="7">
                  <c:v>1.0108984566114752E-9</c:v>
                </c:pt>
                <c:pt idx="8">
                  <c:v>5.5780366354644647E-4</c:v>
                </c:pt>
                <c:pt idx="9">
                  <c:v>0</c:v>
                </c:pt>
                <c:pt idx="10">
                  <c:v>2.5884455060965458E-6</c:v>
                </c:pt>
                <c:pt idx="11">
                  <c:v>8.6638270116802502E-2</c:v>
                </c:pt>
                <c:pt idx="12">
                  <c:v>7.4198126871940617E-3</c:v>
                </c:pt>
                <c:pt idx="13">
                  <c:v>4.9499676589661208E-3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C-4542-A2E6-983B45CF561A}"/>
            </c:ext>
          </c:extLst>
        </c:ser>
        <c:ser>
          <c:idx val="3"/>
          <c:order val="3"/>
          <c:tx>
            <c:strRef>
              <c:f>'Results Biogas - MEA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(GF)'!$Q$24:$Q$38</c:f>
              <c:numCache>
                <c:formatCode>0%</c:formatCode>
                <c:ptCount val="15"/>
                <c:pt idx="0">
                  <c:v>1.3789506927353025E-8</c:v>
                </c:pt>
                <c:pt idx="1">
                  <c:v>2.2995386609978941E-7</c:v>
                </c:pt>
                <c:pt idx="2">
                  <c:v>8.0524409906275439E-8</c:v>
                </c:pt>
                <c:pt idx="3">
                  <c:v>3.053816601770475E-6</c:v>
                </c:pt>
                <c:pt idx="4">
                  <c:v>1.7738562438104839E-12</c:v>
                </c:pt>
                <c:pt idx="5">
                  <c:v>4.9074783165770485E-6</c:v>
                </c:pt>
                <c:pt idx="6">
                  <c:v>2.6792229425936308E-5</c:v>
                </c:pt>
                <c:pt idx="7">
                  <c:v>2.3550007883660711E-8</c:v>
                </c:pt>
                <c:pt idx="8">
                  <c:v>2.1945241559161249E-7</c:v>
                </c:pt>
                <c:pt idx="9">
                  <c:v>0</c:v>
                </c:pt>
                <c:pt idx="10">
                  <c:v>3.633688168747869E-9</c:v>
                </c:pt>
                <c:pt idx="11">
                  <c:v>0</c:v>
                </c:pt>
                <c:pt idx="12">
                  <c:v>8.5146435427586385E-11</c:v>
                </c:pt>
                <c:pt idx="13">
                  <c:v>4.1666054797884737E-4</c:v>
                </c:pt>
                <c:pt idx="14">
                  <c:v>1.0807738727066904E-2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3C-4542-A2E6-983B45CF561A}"/>
            </c:ext>
          </c:extLst>
        </c:ser>
        <c:ser>
          <c:idx val="4"/>
          <c:order val="4"/>
          <c:tx>
            <c:strRef>
              <c:f>'Results Biogas - MEA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(GF)'!$R$24:$R$38</c:f>
              <c:numCache>
                <c:formatCode>0%</c:formatCode>
                <c:ptCount val="15"/>
                <c:pt idx="0">
                  <c:v>1.0819663522396431E-4</c:v>
                </c:pt>
                <c:pt idx="1">
                  <c:v>3.4103611022044818E-4</c:v>
                </c:pt>
                <c:pt idx="2">
                  <c:v>1.6568407041524926E-2</c:v>
                </c:pt>
                <c:pt idx="3">
                  <c:v>8.8390746275188181E-4</c:v>
                </c:pt>
                <c:pt idx="4">
                  <c:v>3.2378951299691367E-4</c:v>
                </c:pt>
                <c:pt idx="5">
                  <c:v>0.11515900172957891</c:v>
                </c:pt>
                <c:pt idx="6">
                  <c:v>9.5896524368700091E-5</c:v>
                </c:pt>
                <c:pt idx="7">
                  <c:v>5.1086184551021071E-4</c:v>
                </c:pt>
                <c:pt idx="8">
                  <c:v>2.7566534150305331E-2</c:v>
                </c:pt>
                <c:pt idx="9">
                  <c:v>3.968588704406411E-4</c:v>
                </c:pt>
                <c:pt idx="10">
                  <c:v>3.6439520374249301E-5</c:v>
                </c:pt>
                <c:pt idx="11">
                  <c:v>5.9808520144114995E-5</c:v>
                </c:pt>
                <c:pt idx="12">
                  <c:v>0.10509892369317046</c:v>
                </c:pt>
                <c:pt idx="13">
                  <c:v>0.10145548798242549</c:v>
                </c:pt>
                <c:pt idx="14">
                  <c:v>1.6337129467774091E-4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C-4542-A2E6-983B45CF561A}"/>
            </c:ext>
          </c:extLst>
        </c:ser>
        <c:ser>
          <c:idx val="5"/>
          <c:order val="5"/>
          <c:tx>
            <c:strRef>
              <c:f>'Results Biogas - MEA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(GF)'!$S$24:$S$38</c:f>
              <c:numCache>
                <c:formatCode>0%</c:formatCode>
                <c:ptCount val="15"/>
                <c:pt idx="0">
                  <c:v>2.0413132352174193E-2</c:v>
                </c:pt>
                <c:pt idx="1">
                  <c:v>5.9984655053191916E-3</c:v>
                </c:pt>
                <c:pt idx="2">
                  <c:v>3.4945924195244504E-2</c:v>
                </c:pt>
                <c:pt idx="3">
                  <c:v>6.9308763580399835E-2</c:v>
                </c:pt>
                <c:pt idx="4">
                  <c:v>3.3010453164125327E-2</c:v>
                </c:pt>
                <c:pt idx="5">
                  <c:v>1.1060993475072939E-2</c:v>
                </c:pt>
                <c:pt idx="6">
                  <c:v>1.5217816537407395E-2</c:v>
                </c:pt>
                <c:pt idx="7">
                  <c:v>1.5146838328900616E-2</c:v>
                </c:pt>
                <c:pt idx="8">
                  <c:v>3.4420141078995797E-2</c:v>
                </c:pt>
                <c:pt idx="9">
                  <c:v>8.9806816691590068E-3</c:v>
                </c:pt>
                <c:pt idx="10">
                  <c:v>5.4761733476765801E-5</c:v>
                </c:pt>
                <c:pt idx="11">
                  <c:v>7.3344410274867669E-3</c:v>
                </c:pt>
                <c:pt idx="12">
                  <c:v>2.6737749321077604E-2</c:v>
                </c:pt>
                <c:pt idx="13">
                  <c:v>3.1136334545830806E-2</c:v>
                </c:pt>
                <c:pt idx="14">
                  <c:v>7.5995686842395332E-3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3C-4542-A2E6-983B45CF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(GF)'!$K$43:$K$57</c:f>
              <c:numCache>
                <c:formatCode>0%</c:formatCode>
                <c:ptCount val="15"/>
                <c:pt idx="0">
                  <c:v>1.4537333610233592E-2</c:v>
                </c:pt>
                <c:pt idx="1">
                  <c:v>1.0883058464350587E-2</c:v>
                </c:pt>
                <c:pt idx="2">
                  <c:v>3.2020509971326591E-2</c:v>
                </c:pt>
                <c:pt idx="3">
                  <c:v>4.6292630784577508E-2</c:v>
                </c:pt>
                <c:pt idx="4">
                  <c:v>2.3682530717234043E-2</c:v>
                </c:pt>
                <c:pt idx="5">
                  <c:v>8.9466938783973812E-3</c:v>
                </c:pt>
                <c:pt idx="6">
                  <c:v>1.0827821209399806E-2</c:v>
                </c:pt>
                <c:pt idx="7">
                  <c:v>1.180223474170216E-2</c:v>
                </c:pt>
                <c:pt idx="8">
                  <c:v>3.1250892150152094E-2</c:v>
                </c:pt>
                <c:pt idx="9">
                  <c:v>1.9963721194815195E-2</c:v>
                </c:pt>
                <c:pt idx="10">
                  <c:v>3.0522745185477598E-5</c:v>
                </c:pt>
                <c:pt idx="11">
                  <c:v>2.082153729129094E-2</c:v>
                </c:pt>
                <c:pt idx="12">
                  <c:v>2.3112992974785238E-2</c:v>
                </c:pt>
                <c:pt idx="13">
                  <c:v>2.4092551095383781E-2</c:v>
                </c:pt>
                <c:pt idx="14">
                  <c:v>1.1772387108910687E-2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3-4AC5-8BD4-21F109F2FD2F}"/>
            </c:ext>
          </c:extLst>
        </c:ser>
        <c:ser>
          <c:idx val="1"/>
          <c:order val="1"/>
          <c:tx>
            <c:strRef>
              <c:f>'Results Biogas - MEA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(GF)'!$J$43:$J$57</c:f>
              <c:numCache>
                <c:formatCode>0%</c:formatCode>
                <c:ptCount val="15"/>
                <c:pt idx="0">
                  <c:v>0.98546266638976632</c:v>
                </c:pt>
                <c:pt idx="1">
                  <c:v>0.98911694153564933</c:v>
                </c:pt>
                <c:pt idx="2">
                  <c:v>0.96797949002867345</c:v>
                </c:pt>
                <c:pt idx="3">
                  <c:v>0.95370736921542254</c:v>
                </c:pt>
                <c:pt idx="4">
                  <c:v>0.97631746928276597</c:v>
                </c:pt>
                <c:pt idx="5">
                  <c:v>0.99105330612160258</c:v>
                </c:pt>
                <c:pt idx="6">
                  <c:v>0.98917217879060026</c:v>
                </c:pt>
                <c:pt idx="7">
                  <c:v>0.98819776525829772</c:v>
                </c:pt>
                <c:pt idx="8">
                  <c:v>0.96874910784984791</c:v>
                </c:pt>
                <c:pt idx="9">
                  <c:v>0.98003627880518485</c:v>
                </c:pt>
                <c:pt idx="10">
                  <c:v>0.99996947725481455</c:v>
                </c:pt>
                <c:pt idx="11">
                  <c:v>0.97917846270870912</c:v>
                </c:pt>
                <c:pt idx="12">
                  <c:v>0.9768870070252148</c:v>
                </c:pt>
                <c:pt idx="13">
                  <c:v>0.97590744890461623</c:v>
                </c:pt>
                <c:pt idx="14">
                  <c:v>0.98822761289108929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3-4AC5-8BD4-21F109F2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(GF)'!$L$62:$L$76</c:f>
              <c:numCache>
                <c:formatCode>0%</c:formatCode>
                <c:ptCount val="15"/>
                <c:pt idx="0">
                  <c:v>1.3675740673568486E-2</c:v>
                </c:pt>
                <c:pt idx="1">
                  <c:v>1.0258919580270802E-2</c:v>
                </c:pt>
                <c:pt idx="2">
                  <c:v>2.8892647846177483E-2</c:v>
                </c:pt>
                <c:pt idx="3">
                  <c:v>4.5549319685920561E-2</c:v>
                </c:pt>
                <c:pt idx="4">
                  <c:v>2.2856399773517371E-2</c:v>
                </c:pt>
                <c:pt idx="5">
                  <c:v>8.5043992933143166E-3</c:v>
                </c:pt>
                <c:pt idx="6">
                  <c:v>1.032930237945529E-2</c:v>
                </c:pt>
                <c:pt idx="7">
                  <c:v>1.125533351053621E-2</c:v>
                </c:pt>
                <c:pt idx="8">
                  <c:v>2.9674779788051421E-2</c:v>
                </c:pt>
                <c:pt idx="9">
                  <c:v>1.8969088696855967E-2</c:v>
                </c:pt>
                <c:pt idx="10">
                  <c:v>2.9102702470702654E-5</c:v>
                </c:pt>
                <c:pt idx="11">
                  <c:v>1.9409327485615524E-2</c:v>
                </c:pt>
                <c:pt idx="12">
                  <c:v>2.183580190174125E-2</c:v>
                </c:pt>
                <c:pt idx="13">
                  <c:v>2.3026053926282718E-2</c:v>
                </c:pt>
                <c:pt idx="14">
                  <c:v>1.1202291476285674E-2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4-4074-88F8-A608ABF610AD}"/>
            </c:ext>
          </c:extLst>
        </c:ser>
        <c:ser>
          <c:idx val="1"/>
          <c:order val="1"/>
          <c:tx>
            <c:strRef>
              <c:f>'Results Biogas - MEA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(GF)'!$K$62:$K$76</c:f>
              <c:numCache>
                <c:formatCode>0%</c:formatCode>
                <c:ptCount val="15"/>
                <c:pt idx="0">
                  <c:v>0.98632425932643153</c:v>
                </c:pt>
                <c:pt idx="1">
                  <c:v>0.98974108041972919</c:v>
                </c:pt>
                <c:pt idx="2">
                  <c:v>0.9711073521538226</c:v>
                </c:pt>
                <c:pt idx="3">
                  <c:v>0.95445068031407942</c:v>
                </c:pt>
                <c:pt idx="4">
                  <c:v>0.97714360022648261</c:v>
                </c:pt>
                <c:pt idx="5">
                  <c:v>0.99149560070668574</c:v>
                </c:pt>
                <c:pt idx="6">
                  <c:v>0.9896706976205446</c:v>
                </c:pt>
                <c:pt idx="7">
                  <c:v>0.9887446664894638</c:v>
                </c:pt>
                <c:pt idx="8">
                  <c:v>0.97032522021194845</c:v>
                </c:pt>
                <c:pt idx="9">
                  <c:v>0.98103091130314402</c:v>
                </c:pt>
                <c:pt idx="10">
                  <c:v>0.9999708972975293</c:v>
                </c:pt>
                <c:pt idx="11">
                  <c:v>0.98059067251438448</c:v>
                </c:pt>
                <c:pt idx="12">
                  <c:v>0.97816419809825872</c:v>
                </c:pt>
                <c:pt idx="13">
                  <c:v>0.97697394607371724</c:v>
                </c:pt>
                <c:pt idx="14">
                  <c:v>0.9887977085237144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4-4074-88F8-A608ABF610AD}"/>
            </c:ext>
          </c:extLst>
        </c:ser>
        <c:ser>
          <c:idx val="2"/>
          <c:order val="2"/>
          <c:tx>
            <c:strRef>
              <c:f>'Results Biogas - MEA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(GF)'!$M$62:$M$76</c:f>
              <c:numCache>
                <c:formatCode>0%</c:formatCode>
                <c:ptCount val="15"/>
                <c:pt idx="0">
                  <c:v>-2.7711443400648725E-2</c:v>
                </c:pt>
                <c:pt idx="1">
                  <c:v>-2.2116616564213494E-2</c:v>
                </c:pt>
                <c:pt idx="2">
                  <c:v>-8.3954576516798038E-2</c:v>
                </c:pt>
                <c:pt idx="3">
                  <c:v>-1.582107936823798E-2</c:v>
                </c:pt>
                <c:pt idx="4">
                  <c:v>-1.1724196618453767E-2</c:v>
                </c:pt>
                <c:pt idx="5">
                  <c:v>-1.1965473538246741E-2</c:v>
                </c:pt>
                <c:pt idx="6">
                  <c:v>-1.032934685886139E-2</c:v>
                </c:pt>
                <c:pt idx="7">
                  <c:v>-1.1613344290305019E-2</c:v>
                </c:pt>
                <c:pt idx="8">
                  <c:v>-3.5226828233737802E-2</c:v>
                </c:pt>
                <c:pt idx="9">
                  <c:v>-2.335653422042178E-2</c:v>
                </c:pt>
                <c:pt idx="10">
                  <c:v>-3.3855140983410513E-5</c:v>
                </c:pt>
                <c:pt idx="11">
                  <c:v>-4.2727466457583317E-2</c:v>
                </c:pt>
                <c:pt idx="12">
                  <c:v>-3.2065041416391417E-2</c:v>
                </c:pt>
                <c:pt idx="13">
                  <c:v>-2.1785159395893396E-2</c:v>
                </c:pt>
                <c:pt idx="14">
                  <c:v>-1.3747453549158293E-2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4-4074-88F8-A608ABF6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9-4ABA-93C9-2E0A1D6AD463}"/>
            </c:ext>
          </c:extLst>
        </c:ser>
        <c:ser>
          <c:idx val="1"/>
          <c:order val="1"/>
          <c:tx>
            <c:strRef>
              <c:f>'Results Biogas - MEA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(GF)'!$O$81:$O$95</c:f>
              <c:numCache>
                <c:formatCode>0%</c:formatCode>
                <c:ptCount val="15"/>
                <c:pt idx="0">
                  <c:v>6.9612840546864882E-2</c:v>
                </c:pt>
                <c:pt idx="1">
                  <c:v>0.31061362810368792</c:v>
                </c:pt>
                <c:pt idx="2">
                  <c:v>0.13992762364294331</c:v>
                </c:pt>
                <c:pt idx="3">
                  <c:v>8.4064965536722575E-2</c:v>
                </c:pt>
                <c:pt idx="4">
                  <c:v>0.30537090878382456</c:v>
                </c:pt>
                <c:pt idx="5">
                  <c:v>0.32317406652413866</c:v>
                </c:pt>
                <c:pt idx="6">
                  <c:v>0.1662034369482511</c:v>
                </c:pt>
                <c:pt idx="7">
                  <c:v>0.56244007250632888</c:v>
                </c:pt>
                <c:pt idx="8">
                  <c:v>0.12959475569203524</c:v>
                </c:pt>
                <c:pt idx="9">
                  <c:v>0.48540517839649039</c:v>
                </c:pt>
                <c:pt idx="10">
                  <c:v>0.99920206674081768</c:v>
                </c:pt>
                <c:pt idx="11">
                  <c:v>0.17928596933137558</c:v>
                </c:pt>
                <c:pt idx="12">
                  <c:v>0.21315425779087285</c:v>
                </c:pt>
                <c:pt idx="13">
                  <c:v>0.18101516240764415</c:v>
                </c:pt>
                <c:pt idx="14">
                  <c:v>0.19305139112014427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9-4ABA-93C9-2E0A1D6AD463}"/>
            </c:ext>
          </c:extLst>
        </c:ser>
        <c:ser>
          <c:idx val="2"/>
          <c:order val="2"/>
          <c:tx>
            <c:strRef>
              <c:f>'Results Biogas - MEA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(GF)'!$P$81:$P$95</c:f>
              <c:numCache>
                <c:formatCode>0%</c:formatCode>
                <c:ptCount val="15"/>
                <c:pt idx="0">
                  <c:v>0.55031097763733938</c:v>
                </c:pt>
                <c:pt idx="1">
                  <c:v>0.24136855177484032</c:v>
                </c:pt>
                <c:pt idx="2">
                  <c:v>0.40886292933781976</c:v>
                </c:pt>
                <c:pt idx="3">
                  <c:v>0.26006529365498976</c:v>
                </c:pt>
                <c:pt idx="4">
                  <c:v>0.36569108829667879</c:v>
                </c:pt>
                <c:pt idx="5">
                  <c:v>0.46511404115136579</c:v>
                </c:pt>
                <c:pt idx="6">
                  <c:v>0.66352534905697147</c:v>
                </c:pt>
                <c:pt idx="7">
                  <c:v>0.23320685933189247</c:v>
                </c:pt>
                <c:pt idx="8">
                  <c:v>0.42361076472977927</c:v>
                </c:pt>
                <c:pt idx="9">
                  <c:v>0.18961139781112904</c:v>
                </c:pt>
                <c:pt idx="10">
                  <c:v>3.8062627565615335E-4</c:v>
                </c:pt>
                <c:pt idx="11">
                  <c:v>0.43062144035666844</c:v>
                </c:pt>
                <c:pt idx="12">
                  <c:v>0.44681820361660629</c:v>
                </c:pt>
                <c:pt idx="13">
                  <c:v>0.47469011120885707</c:v>
                </c:pt>
                <c:pt idx="14">
                  <c:v>0.49626205061957995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9-4ABA-93C9-2E0A1D6AD463}"/>
            </c:ext>
          </c:extLst>
        </c:ser>
        <c:ser>
          <c:idx val="3"/>
          <c:order val="3"/>
          <c:tx>
            <c:strRef>
              <c:f>'Results Biogas - MEA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(GF)'!$Q$81:$Q$95</c:f>
              <c:numCache>
                <c:formatCode>0%</c:formatCode>
                <c:ptCount val="15"/>
                <c:pt idx="0">
                  <c:v>0.21000931573613937</c:v>
                </c:pt>
                <c:pt idx="1">
                  <c:v>0.20286631090524879</c:v>
                </c:pt>
                <c:pt idx="2">
                  <c:v>0.10764370516157705</c:v>
                </c:pt>
                <c:pt idx="3">
                  <c:v>0.13341735328019896</c:v>
                </c:pt>
                <c:pt idx="4">
                  <c:v>6.916651083953626E-2</c:v>
                </c:pt>
                <c:pt idx="5">
                  <c:v>0.10791126907168051</c:v>
                </c:pt>
                <c:pt idx="6">
                  <c:v>5.1031887700688137E-2</c:v>
                </c:pt>
                <c:pt idx="7">
                  <c:v>7.105988036369161E-2</c:v>
                </c:pt>
                <c:pt idx="8">
                  <c:v>9.5162165819034916E-2</c:v>
                </c:pt>
                <c:pt idx="9">
                  <c:v>0.10760305754901603</c:v>
                </c:pt>
                <c:pt idx="10">
                  <c:v>8.5945970737336222E-5</c:v>
                </c:pt>
                <c:pt idx="11">
                  <c:v>0.16252524455360223</c:v>
                </c:pt>
                <c:pt idx="12">
                  <c:v>8.7352569122973858E-2</c:v>
                </c:pt>
                <c:pt idx="13">
                  <c:v>8.0513607123514311E-2</c:v>
                </c:pt>
                <c:pt idx="14">
                  <c:v>0.15657886802102725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9-4ABA-93C9-2E0A1D6AD463}"/>
            </c:ext>
          </c:extLst>
        </c:ser>
        <c:ser>
          <c:idx val="4"/>
          <c:order val="4"/>
          <c:tx>
            <c:strRef>
              <c:f>'Results Biogas - MEA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(GF)'!$R$81:$R$95</c:f>
              <c:numCache>
                <c:formatCode>0%</c:formatCode>
                <c:ptCount val="15"/>
                <c:pt idx="0">
                  <c:v>1.9921187478006284E-2</c:v>
                </c:pt>
                <c:pt idx="1">
                  <c:v>0.13290799050590649</c:v>
                </c:pt>
                <c:pt idx="2">
                  <c:v>2.1382261443717857E-2</c:v>
                </c:pt>
                <c:pt idx="3">
                  <c:v>5.6672687493144729E-3</c:v>
                </c:pt>
                <c:pt idx="4">
                  <c:v>6.4644382381681973E-3</c:v>
                </c:pt>
                <c:pt idx="5">
                  <c:v>1.09165473141268E-2</c:v>
                </c:pt>
                <c:pt idx="6">
                  <c:v>6.2176174297862118E-3</c:v>
                </c:pt>
                <c:pt idx="7">
                  <c:v>1.0023640003935397E-2</c:v>
                </c:pt>
                <c:pt idx="8">
                  <c:v>2.046170593011035E-2</c:v>
                </c:pt>
                <c:pt idx="9">
                  <c:v>7.9954272405169148E-3</c:v>
                </c:pt>
                <c:pt idx="10">
                  <c:v>1.6203804306504815E-5</c:v>
                </c:pt>
                <c:pt idx="11">
                  <c:v>1.3228456067983899E-2</c:v>
                </c:pt>
                <c:pt idx="12">
                  <c:v>1.0940282674814407E-2</c:v>
                </c:pt>
                <c:pt idx="13">
                  <c:v>8.5591074834006943E-3</c:v>
                </c:pt>
                <c:pt idx="14">
                  <c:v>3.1425614392323685E-2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89-4ABA-93C9-2E0A1D6AD463}"/>
            </c:ext>
          </c:extLst>
        </c:ser>
        <c:ser>
          <c:idx val="5"/>
          <c:order val="5"/>
          <c:tx>
            <c:strRef>
              <c:f>'Results Biogas - MEA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(GF)'!$S$81:$S$95</c:f>
              <c:numCache>
                <c:formatCode>0%</c:formatCode>
                <c:ptCount val="15"/>
                <c:pt idx="0">
                  <c:v>0.15014567860165001</c:v>
                </c:pt>
                <c:pt idx="1">
                  <c:v>0.11224351871031638</c:v>
                </c:pt>
                <c:pt idx="2">
                  <c:v>0.32218348041394196</c:v>
                </c:pt>
                <c:pt idx="3">
                  <c:v>0.51678511877877431</c:v>
                </c:pt>
                <c:pt idx="4">
                  <c:v>0.25330705384179225</c:v>
                </c:pt>
                <c:pt idx="5">
                  <c:v>9.2884075938688374E-2</c:v>
                </c:pt>
                <c:pt idx="6">
                  <c:v>0.11302170886430293</c:v>
                </c:pt>
                <c:pt idx="7">
                  <c:v>0.12326954779415153</c:v>
                </c:pt>
                <c:pt idx="8">
                  <c:v>0.33117060782904023</c:v>
                </c:pt>
                <c:pt idx="9">
                  <c:v>0.2093849390028476</c:v>
                </c:pt>
                <c:pt idx="10">
                  <c:v>3.1515720848236775E-4</c:v>
                </c:pt>
                <c:pt idx="11">
                  <c:v>0.21433888969036979</c:v>
                </c:pt>
                <c:pt idx="12">
                  <c:v>0.24173468679473253</c:v>
                </c:pt>
                <c:pt idx="13">
                  <c:v>0.25522201177658377</c:v>
                </c:pt>
                <c:pt idx="14">
                  <c:v>0.12268207584692492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89-4ABA-93C9-2E0A1D6A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4-4140-8277-9D6F561EC2AF}"/>
            </c:ext>
          </c:extLst>
        </c:ser>
        <c:ser>
          <c:idx val="1"/>
          <c:order val="1"/>
          <c:tx>
            <c:strRef>
              <c:f>'Results Biogas - MEA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(GF)'!$O$103:$O$106</c:f>
              <c:numCache>
                <c:formatCode>0%</c:formatCode>
                <c:ptCount val="4"/>
                <c:pt idx="0">
                  <c:v>0.831168750426724</c:v>
                </c:pt>
                <c:pt idx="1">
                  <c:v>0.56869753498662778</c:v>
                </c:pt>
                <c:pt idx="2">
                  <c:v>0.75610701822411797</c:v>
                </c:pt>
                <c:pt idx="3">
                  <c:v>0.76877216103423396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4-4140-8277-9D6F561EC2AF}"/>
            </c:ext>
          </c:extLst>
        </c:ser>
        <c:ser>
          <c:idx val="2"/>
          <c:order val="2"/>
          <c:tx>
            <c:strRef>
              <c:f>'Results Biogas - MEA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(GF)'!$P$103:$P$106</c:f>
              <c:numCache>
                <c:formatCode>0%</c:formatCode>
                <c:ptCount val="4"/>
                <c:pt idx="0">
                  <c:v>9.7142847706123364E-8</c:v>
                </c:pt>
                <c:pt idx="1">
                  <c:v>3.4289116080076086E-7</c:v>
                </c:pt>
                <c:pt idx="2">
                  <c:v>0</c:v>
                </c:pt>
                <c:pt idx="3">
                  <c:v>3.7205883012152429E-4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4-4140-8277-9D6F561EC2AF}"/>
            </c:ext>
          </c:extLst>
        </c:ser>
        <c:ser>
          <c:idx val="3"/>
          <c:order val="3"/>
          <c:tx>
            <c:strRef>
              <c:f>'Results Biogas - MEA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(GF)'!$Q$103:$Q$106</c:f>
              <c:numCache>
                <c:formatCode>0%</c:formatCode>
                <c:ptCount val="4"/>
                <c:pt idx="0">
                  <c:v>0.16883115243042829</c:v>
                </c:pt>
                <c:pt idx="1">
                  <c:v>0.43130212212221142</c:v>
                </c:pt>
                <c:pt idx="2">
                  <c:v>0.24389298177588215</c:v>
                </c:pt>
                <c:pt idx="3">
                  <c:v>0.23085578013564459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44-4140-8277-9D6F561E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(GF)'!$N$111:$N$114</c:f>
              <c:numCache>
                <c:formatCode>0%</c:formatCode>
                <c:ptCount val="4"/>
                <c:pt idx="0">
                  <c:v>0.59444787887412909</c:v>
                </c:pt>
                <c:pt idx="1">
                  <c:v>0.62328285976425113</c:v>
                </c:pt>
                <c:pt idx="2">
                  <c:v>0.64436186303820731</c:v>
                </c:pt>
                <c:pt idx="3">
                  <c:v>0.71937493670817587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5-4D9C-9417-1BC7005E3D60}"/>
            </c:ext>
          </c:extLst>
        </c:ser>
        <c:ser>
          <c:idx val="1"/>
          <c:order val="1"/>
          <c:tx>
            <c:strRef>
              <c:f>'Results Biogas - MEA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(GF)'!$O$111:$O$114</c:f>
              <c:numCache>
                <c:formatCode>0%</c:formatCode>
                <c:ptCount val="4"/>
                <c:pt idx="0">
                  <c:v>0.35936261738918723</c:v>
                </c:pt>
                <c:pt idx="1">
                  <c:v>0.35912968106182397</c:v>
                </c:pt>
                <c:pt idx="2">
                  <c:v>0.21638165117520416</c:v>
                </c:pt>
                <c:pt idx="3">
                  <c:v>0.1431055775445092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5-4D9C-9417-1BC7005E3D60}"/>
            </c:ext>
          </c:extLst>
        </c:ser>
        <c:ser>
          <c:idx val="2"/>
          <c:order val="2"/>
          <c:tx>
            <c:strRef>
              <c:f>'Results Biogas - MEA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(GF)'!$P$111:$P$114</c:f>
              <c:numCache>
                <c:formatCode>0%</c:formatCode>
                <c:ptCount val="4"/>
                <c:pt idx="0">
                  <c:v>5.8605357080038971E-4</c:v>
                </c:pt>
                <c:pt idx="1">
                  <c:v>3.6963042518218098E-5</c:v>
                </c:pt>
                <c:pt idx="2">
                  <c:v>7.4198126871940617E-3</c:v>
                </c:pt>
                <c:pt idx="3">
                  <c:v>4.9326998238917244E-3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5-4D9C-9417-1BC7005E3D60}"/>
            </c:ext>
          </c:extLst>
        </c:ser>
        <c:ser>
          <c:idx val="3"/>
          <c:order val="3"/>
          <c:tx>
            <c:strRef>
              <c:f>'Results Biogas - MEA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(GF)'!$Q$111:$Q$114</c:f>
              <c:numCache>
                <c:formatCode>0%</c:formatCode>
                <c:ptCount val="4"/>
                <c:pt idx="0">
                  <c:v>1.0609364545194415E-7</c:v>
                </c:pt>
                <c:pt idx="1">
                  <c:v>5.4748537538930952E-7</c:v>
                </c:pt>
                <c:pt idx="2">
                  <c:v>8.5146435427586385E-11</c:v>
                </c:pt>
                <c:pt idx="3">
                  <c:v>4.3982419661312651E-4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5-4D9C-9417-1BC7005E3D60}"/>
            </c:ext>
          </c:extLst>
        </c:ser>
        <c:ser>
          <c:idx val="4"/>
          <c:order val="4"/>
          <c:tx>
            <c:strRef>
              <c:f>'Results Biogas - MEA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(GF)'!$R$111:$R$114</c:f>
              <c:numCache>
                <c:formatCode>0%</c:formatCode>
                <c:ptCount val="4"/>
                <c:pt idx="0">
                  <c:v>1.4031856618521986E-2</c:v>
                </c:pt>
                <c:pt idx="1">
                  <c:v>2.2743535741925631E-3</c:v>
                </c:pt>
                <c:pt idx="2">
                  <c:v>0.10509892369317046</c:v>
                </c:pt>
                <c:pt idx="3">
                  <c:v>0.10110193572093608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C5-4D9C-9417-1BC7005E3D60}"/>
            </c:ext>
          </c:extLst>
        </c:ser>
        <c:ser>
          <c:idx val="5"/>
          <c:order val="5"/>
          <c:tx>
            <c:strRef>
              <c:f>'Results Biogas - MEA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(GF)'!$S$111:$S$114</c:f>
              <c:numCache>
                <c:formatCode>0%</c:formatCode>
                <c:ptCount val="4"/>
                <c:pt idx="0">
                  <c:v>3.1571487453716018E-2</c:v>
                </c:pt>
                <c:pt idx="1">
                  <c:v>1.5275595071838646E-2</c:v>
                </c:pt>
                <c:pt idx="2">
                  <c:v>2.6737749321077604E-2</c:v>
                </c:pt>
                <c:pt idx="3">
                  <c:v>3.1045026005873846E-2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C5-4D9C-9417-1BC7005E3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(GF)'!$J$119:$J$122</c:f>
              <c:numCache>
                <c:formatCode>0%</c:formatCode>
                <c:ptCount val="4"/>
                <c:pt idx="0">
                  <c:v>0.97041692561096204</c:v>
                </c:pt>
                <c:pt idx="1">
                  <c:v>0.98634869681716442</c:v>
                </c:pt>
                <c:pt idx="2">
                  <c:v>0.9768870070252148</c:v>
                </c:pt>
                <c:pt idx="3">
                  <c:v>0.97596202426885537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C-4951-A171-E593A7AB9540}"/>
            </c:ext>
          </c:extLst>
        </c:ser>
        <c:ser>
          <c:idx val="1"/>
          <c:order val="1"/>
          <c:tx>
            <c:strRef>
              <c:f>'Results Biogas - MEA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(GF)'!$K$119:$K$122</c:f>
              <c:numCache>
                <c:formatCode>0%</c:formatCode>
                <c:ptCount val="4"/>
                <c:pt idx="0">
                  <c:v>2.958307438903791E-2</c:v>
                </c:pt>
                <c:pt idx="1">
                  <c:v>1.3651303182835651E-2</c:v>
                </c:pt>
                <c:pt idx="2">
                  <c:v>2.3112992974785238E-2</c:v>
                </c:pt>
                <c:pt idx="3">
                  <c:v>2.4037975731144648E-2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C-4951-A171-E593A7AB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(GF)'!$K$127:$K$130</c:f>
              <c:numCache>
                <c:formatCode>0%</c:formatCode>
                <c:ptCount val="4"/>
                <c:pt idx="0">
                  <c:v>0.97314126340327911</c:v>
                </c:pt>
                <c:pt idx="1">
                  <c:v>0.98698840683928046</c:v>
                </c:pt>
                <c:pt idx="2">
                  <c:v>0.97816419809825872</c:v>
                </c:pt>
                <c:pt idx="3">
                  <c:v>0.97702631133165918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3-4F8B-8905-52EAA7D85B0B}"/>
            </c:ext>
          </c:extLst>
        </c:ser>
        <c:ser>
          <c:idx val="1"/>
          <c:order val="1"/>
          <c:tx>
            <c:strRef>
              <c:f>'Results Biogas - MEA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(GF)'!$L$127:$L$130</c:f>
              <c:numCache>
                <c:formatCode>0%</c:formatCode>
                <c:ptCount val="4"/>
                <c:pt idx="0">
                  <c:v>2.6858736596720997E-2</c:v>
                </c:pt>
                <c:pt idx="1">
                  <c:v>1.3011593160719589E-2</c:v>
                </c:pt>
                <c:pt idx="2">
                  <c:v>2.183580190174125E-2</c:v>
                </c:pt>
                <c:pt idx="3">
                  <c:v>2.2973688668340882E-2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3-4F8B-8905-52EAA7D85B0B}"/>
            </c:ext>
          </c:extLst>
        </c:ser>
        <c:ser>
          <c:idx val="2"/>
          <c:order val="2"/>
          <c:tx>
            <c:strRef>
              <c:f>'Results Biogas - MEA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(GF)'!$M$127:$M$130</c:f>
              <c:numCache>
                <c:formatCode>0%</c:formatCode>
                <c:ptCount val="4"/>
                <c:pt idx="0">
                  <c:v>-7.5964718148928939E-2</c:v>
                </c:pt>
                <c:pt idx="1">
                  <c:v>-1.4002692281227145E-2</c:v>
                </c:pt>
                <c:pt idx="2">
                  <c:v>-3.2065041416391417E-2</c:v>
                </c:pt>
                <c:pt idx="3">
                  <c:v>-2.1739216793649124E-2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3-4F8B-8905-52EAA7D8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(GF)'!$N$24:$N$38</c:f>
              <c:numCache>
                <c:formatCode>0%</c:formatCode>
                <c:ptCount val="15"/>
                <c:pt idx="0">
                  <c:v>0.71003024299437167</c:v>
                </c:pt>
                <c:pt idx="1">
                  <c:v>0.34109093486579983</c:v>
                </c:pt>
                <c:pt idx="2">
                  <c:v>0.583581072062335</c:v>
                </c:pt>
                <c:pt idx="3">
                  <c:v>0.84789815212147401</c:v>
                </c:pt>
                <c:pt idx="4">
                  <c:v>0.7551460003343281</c:v>
                </c:pt>
                <c:pt idx="5">
                  <c:v>0.62134322707005452</c:v>
                </c:pt>
                <c:pt idx="6">
                  <c:v>0.6586886099486231</c:v>
                </c:pt>
                <c:pt idx="7">
                  <c:v>0.72417474080230149</c:v>
                </c:pt>
                <c:pt idx="8">
                  <c:v>0.58026386954839104</c:v>
                </c:pt>
                <c:pt idx="9">
                  <c:v>0.29318689008692861</c:v>
                </c:pt>
                <c:pt idx="10">
                  <c:v>0.99934424264424859</c:v>
                </c:pt>
                <c:pt idx="11">
                  <c:v>0.26749559629420044</c:v>
                </c:pt>
                <c:pt idx="12">
                  <c:v>0.63163786415562151</c:v>
                </c:pt>
                <c:pt idx="13">
                  <c:v>0.68082762058421253</c:v>
                </c:pt>
                <c:pt idx="14">
                  <c:v>0.57022060555264453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0-407C-BA1D-760EDE6D5598}"/>
            </c:ext>
          </c:extLst>
        </c:ser>
        <c:ser>
          <c:idx val="1"/>
          <c:order val="1"/>
          <c:tx>
            <c:strRef>
              <c:f>'Results SimaPro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(GF)'!$O$24:$O$38</c:f>
              <c:numCache>
                <c:formatCode>0%</c:formatCode>
                <c:ptCount val="15"/>
                <c:pt idx="0">
                  <c:v>0.26265570528283216</c:v>
                </c:pt>
                <c:pt idx="1">
                  <c:v>0.65288113040588514</c:v>
                </c:pt>
                <c:pt idx="2">
                  <c:v>0.36097837643611147</c:v>
                </c:pt>
                <c:pt idx="3">
                  <c:v>8.7804444389727593E-2</c:v>
                </c:pt>
                <c:pt idx="4">
                  <c:v>0.20835190072879445</c:v>
                </c:pt>
                <c:pt idx="5">
                  <c:v>0.21185912368632229</c:v>
                </c:pt>
                <c:pt idx="6">
                  <c:v>0.31720076015509302</c:v>
                </c:pt>
                <c:pt idx="7">
                  <c:v>0.26067921142717992</c:v>
                </c:pt>
                <c:pt idx="8">
                  <c:v>0.35181387201369313</c:v>
                </c:pt>
                <c:pt idx="9">
                  <c:v>0.69796883089018136</c:v>
                </c:pt>
                <c:pt idx="10">
                  <c:v>5.6195527592040702E-4</c:v>
                </c:pt>
                <c:pt idx="11">
                  <c:v>0.6468124879479471</c:v>
                </c:pt>
                <c:pt idx="12">
                  <c:v>0.22412334027324698</c:v>
                </c:pt>
                <c:pt idx="13">
                  <c:v>0.16199397075390279</c:v>
                </c:pt>
                <c:pt idx="14">
                  <c:v>0.41731696226875686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0-407C-BA1D-760EDE6D5598}"/>
            </c:ext>
          </c:extLst>
        </c:ser>
        <c:ser>
          <c:idx val="2"/>
          <c:order val="2"/>
          <c:tx>
            <c:strRef>
              <c:f>'Results SimaPro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7.3139133602535941E-4</c:v>
                </c:pt>
                <c:pt idx="3">
                  <c:v>0</c:v>
                </c:pt>
                <c:pt idx="4">
                  <c:v>0</c:v>
                </c:pt>
                <c:pt idx="5">
                  <c:v>1.3294417985139721E-2</c:v>
                </c:pt>
                <c:pt idx="6">
                  <c:v>9.6310434462057474E-11</c:v>
                </c:pt>
                <c:pt idx="7">
                  <c:v>9.7786341924469115E-10</c:v>
                </c:pt>
                <c:pt idx="8">
                  <c:v>6.0576332759445454E-4</c:v>
                </c:pt>
                <c:pt idx="9">
                  <c:v>0</c:v>
                </c:pt>
                <c:pt idx="10">
                  <c:v>2.5886868940225798E-6</c:v>
                </c:pt>
                <c:pt idx="11">
                  <c:v>7.8953529808084136E-2</c:v>
                </c:pt>
                <c:pt idx="12">
                  <c:v>7.6852782785600286E-3</c:v>
                </c:pt>
                <c:pt idx="13">
                  <c:v>5.6395823265600019E-3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0-407C-BA1D-760EDE6D5598}"/>
            </c:ext>
          </c:extLst>
        </c:ser>
        <c:ser>
          <c:idx val="3"/>
          <c:order val="3"/>
          <c:tx>
            <c:strRef>
              <c:f>'Results SimaPro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(GF)'!$Q$24:$Q$38</c:f>
              <c:numCache>
                <c:formatCode>0%</c:formatCode>
                <c:ptCount val="15"/>
                <c:pt idx="0">
                  <c:v>1.8353930809511152E-8</c:v>
                </c:pt>
                <c:pt idx="1">
                  <c:v>2.1864441423080057E-7</c:v>
                </c:pt>
                <c:pt idx="2">
                  <c:v>8.5518259612874764E-8</c:v>
                </c:pt>
                <c:pt idx="3">
                  <c:v>2.7972142156464611E-6</c:v>
                </c:pt>
                <c:pt idx="4">
                  <c:v>1.9424312931027198E-12</c:v>
                </c:pt>
                <c:pt idx="5">
                  <c:v>5.9680282013571705E-6</c:v>
                </c:pt>
                <c:pt idx="6">
                  <c:v>4.2109272996058295E-5</c:v>
                </c:pt>
                <c:pt idx="7">
                  <c:v>2.2780419815406498E-8</c:v>
                </c:pt>
                <c:pt idx="8">
                  <c:v>2.3832081824673637E-7</c:v>
                </c:pt>
                <c:pt idx="9">
                  <c:v>0</c:v>
                </c:pt>
                <c:pt idx="10">
                  <c:v>3.6340270317638538E-9</c:v>
                </c:pt>
                <c:pt idx="11">
                  <c:v>0</c:v>
                </c:pt>
                <c:pt idx="12">
                  <c:v>8.8192799235732091E-11</c:v>
                </c:pt>
                <c:pt idx="13">
                  <c:v>4.7470844749864573E-4</c:v>
                </c:pt>
                <c:pt idx="14">
                  <c:v>7.2528695920350298E-3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0-407C-BA1D-760EDE6D5598}"/>
            </c:ext>
          </c:extLst>
        </c:ser>
        <c:ser>
          <c:idx val="4"/>
          <c:order val="4"/>
          <c:tx>
            <c:strRef>
              <c:f>'Results SimaPro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(GF)'!$R$24:$R$38</c:f>
              <c:numCache>
                <c:formatCode>0%</c:formatCode>
                <c:ptCount val="15"/>
                <c:pt idx="0">
                  <c:v>1.4401048327431024E-4</c:v>
                </c:pt>
                <c:pt idx="1">
                  <c:v>3.2426347865072456E-4</c:v>
                </c:pt>
                <c:pt idx="2">
                  <c:v>1.759592322872134E-2</c:v>
                </c:pt>
                <c:pt idx="3">
                  <c:v>8.0963556183829741E-4</c:v>
                </c:pt>
                <c:pt idx="4">
                  <c:v>3.5456023261087318E-4</c:v>
                </c:pt>
                <c:pt idx="5">
                  <c:v>0.14004589029781725</c:v>
                </c:pt>
                <c:pt idx="6">
                  <c:v>1.5072030251075787E-4</c:v>
                </c:pt>
                <c:pt idx="7">
                  <c:v>4.9416744851581477E-4</c:v>
                </c:pt>
                <c:pt idx="8">
                  <c:v>2.9936690180495155E-2</c:v>
                </c:pt>
                <c:pt idx="9">
                  <c:v>3.7429116601139914E-4</c:v>
                </c:pt>
                <c:pt idx="10">
                  <c:v>3.6442918576076654E-5</c:v>
                </c:pt>
                <c:pt idx="11">
                  <c:v>5.4503555664369013E-5</c:v>
                </c:pt>
                <c:pt idx="12">
                  <c:v>0.1088591463707978</c:v>
                </c:pt>
                <c:pt idx="13">
                  <c:v>0.11558996267820332</c:v>
                </c:pt>
                <c:pt idx="14">
                  <c:v>1.0963539416548725E-4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0-407C-BA1D-760EDE6D5598}"/>
            </c:ext>
          </c:extLst>
        </c:ser>
        <c:ser>
          <c:idx val="5"/>
          <c:order val="5"/>
          <c:tx>
            <c:strRef>
              <c:f>'Results SimaPro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(GF)'!$S$24:$S$38</c:f>
              <c:numCache>
                <c:formatCode>0%</c:formatCode>
                <c:ptCount val="15"/>
                <c:pt idx="0">
                  <c:v>2.7170022885591102E-2</c:v>
                </c:pt>
                <c:pt idx="1">
                  <c:v>5.7034526052501056E-3</c:v>
                </c:pt>
                <c:pt idx="2">
                  <c:v>3.711315141854718E-2</c:v>
                </c:pt>
                <c:pt idx="3">
                  <c:v>6.3484970712744657E-2</c:v>
                </c:pt>
                <c:pt idx="4">
                  <c:v>3.6147538702324108E-2</c:v>
                </c:pt>
                <c:pt idx="5">
                  <c:v>1.3451372932464907E-2</c:v>
                </c:pt>
                <c:pt idx="6">
                  <c:v>2.3917800224466546E-2</c:v>
                </c:pt>
                <c:pt idx="7">
                  <c:v>1.4651856563719574E-2</c:v>
                </c:pt>
                <c:pt idx="8">
                  <c:v>3.7379566609007979E-2</c:v>
                </c:pt>
                <c:pt idx="9">
                  <c:v>8.469987856878438E-3</c:v>
                </c:pt>
                <c:pt idx="10">
                  <c:v>5.4766840333850042E-5</c:v>
                </c:pt>
                <c:pt idx="11">
                  <c:v>6.6838823941038697E-3</c:v>
                </c:pt>
                <c:pt idx="12">
                  <c:v>2.7694370833580916E-2</c:v>
                </c:pt>
                <c:pt idx="13">
                  <c:v>3.5474155209622854E-2</c:v>
                </c:pt>
                <c:pt idx="14">
                  <c:v>5.0999271923981042E-3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30-407C-BA1D-760EDE6D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(GF)'!$N$134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(GF)'!$N$135:$N$138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2-4328-8300-AA47ADED9977}"/>
            </c:ext>
          </c:extLst>
        </c:ser>
        <c:ser>
          <c:idx val="1"/>
          <c:order val="1"/>
          <c:tx>
            <c:strRef>
              <c:f>'Results Biogas - MEA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(GF)'!$O$135:$O$138</c:f>
              <c:numCache>
                <c:formatCode>0%</c:formatCode>
                <c:ptCount val="4"/>
                <c:pt idx="0">
                  <c:v>0.14131580016945389</c:v>
                </c:pt>
                <c:pt idx="1">
                  <c:v>0.51914373344474862</c:v>
                </c:pt>
                <c:pt idx="2">
                  <c:v>0.21315425779087285</c:v>
                </c:pt>
                <c:pt idx="3">
                  <c:v>0.18175531885418397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2-4328-8300-AA47ADED9977}"/>
            </c:ext>
          </c:extLst>
        </c:ser>
        <c:ser>
          <c:idx val="2"/>
          <c:order val="2"/>
          <c:tx>
            <c:strRef>
              <c:f>'Results Biogas - MEA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(GF)'!$P$135:$P$138</c:f>
              <c:numCache>
                <c:formatCode>0%</c:formatCode>
                <c:ptCount val="4"/>
                <c:pt idx="0">
                  <c:v>0.41269215978690083</c:v>
                </c:pt>
                <c:pt idx="1">
                  <c:v>0.25283646898307116</c:v>
                </c:pt>
                <c:pt idx="2">
                  <c:v>0.44681820361660629</c:v>
                </c:pt>
                <c:pt idx="3">
                  <c:v>0.47458333256370261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2-4328-8300-AA47ADED9977}"/>
            </c:ext>
          </c:extLst>
        </c:ser>
        <c:ser>
          <c:idx val="3"/>
          <c:order val="3"/>
          <c:tx>
            <c:strRef>
              <c:f>'Results Biogas - MEA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(GF)'!$Q$135:$Q$138</c:f>
              <c:numCache>
                <c:formatCode>0%</c:formatCode>
                <c:ptCount val="4"/>
                <c:pt idx="0">
                  <c:v>0.1210188494017527</c:v>
                </c:pt>
                <c:pt idx="1">
                  <c:v>7.4814305991015587E-2</c:v>
                </c:pt>
                <c:pt idx="2">
                  <c:v>8.7352569122973858E-2</c:v>
                </c:pt>
                <c:pt idx="3">
                  <c:v>8.0462612267896055E-2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2-4328-8300-AA47ADED9977}"/>
            </c:ext>
          </c:extLst>
        </c:ser>
        <c:ser>
          <c:idx val="4"/>
          <c:order val="4"/>
          <c:tx>
            <c:strRef>
              <c:f>'Results Biogas - MEA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(GF)'!$R$135:$R$138</c:f>
              <c:numCache>
                <c:formatCode>0%</c:formatCode>
                <c:ptCount val="4"/>
                <c:pt idx="0">
                  <c:v>2.6096526195009552E-2</c:v>
                </c:pt>
                <c:pt idx="1">
                  <c:v>1.0447633963835816E-2</c:v>
                </c:pt>
                <c:pt idx="2">
                  <c:v>1.0940282674814407E-2</c:v>
                </c:pt>
                <c:pt idx="3">
                  <c:v>8.5707908073773629E-3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2-4328-8300-AA47ADED9977}"/>
            </c:ext>
          </c:extLst>
        </c:ser>
        <c:ser>
          <c:idx val="5"/>
          <c:order val="5"/>
          <c:tx>
            <c:strRef>
              <c:f>'Results Biogas - MEA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(GF)'!$S$135:$S$138</c:f>
              <c:numCache>
                <c:formatCode>0%</c:formatCode>
                <c:ptCount val="4"/>
                <c:pt idx="0">
                  <c:v>0.2988766644468831</c:v>
                </c:pt>
                <c:pt idx="1">
                  <c:v>0.1427578576173289</c:v>
                </c:pt>
                <c:pt idx="2">
                  <c:v>0.24173468679473253</c:v>
                </c:pt>
                <c:pt idx="3">
                  <c:v>0.25462794550683998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52-4328-8300-AA47ADED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(GF)'!$AF$7,'Results Biogas - MEA (GF)'!$AF$10,'Results Biogas - MEA (GF)'!$AF$13,'Results Biogas - MEA (GF)'!$AF$16)</c:f>
              <c:numCache>
                <c:formatCode>0.00%</c:formatCode>
                <c:ptCount val="4"/>
                <c:pt idx="0">
                  <c:v>0.24213624286403526</c:v>
                </c:pt>
                <c:pt idx="1">
                  <c:v>0.1697297875865974</c:v>
                </c:pt>
                <c:pt idx="2">
                  <c:v>0.43123283028251336</c:v>
                </c:pt>
                <c:pt idx="3">
                  <c:v>0.23122181261825003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3-4D98-9A16-413F7DEE6351}"/>
            </c:ext>
          </c:extLst>
        </c:ser>
        <c:ser>
          <c:idx val="1"/>
          <c:order val="1"/>
          <c:tx>
            <c:strRef>
              <c:f>'Results Biogas - MEA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(GF)'!$AG$7,'Results Biogas - MEA (GF)'!$AG$10,'Results Biogas - MEA (GF)'!$AG$13,'Results Biogas - MEA (GF)'!$AG$16)</c:f>
              <c:numCache>
                <c:formatCode>0.00%</c:formatCode>
                <c:ptCount val="4"/>
                <c:pt idx="0">
                  <c:v>0.26952525465869909</c:v>
                </c:pt>
                <c:pt idx="1">
                  <c:v>0.33671784575188279</c:v>
                </c:pt>
                <c:pt idx="2">
                  <c:v>0.2142643416359524</c:v>
                </c:pt>
                <c:pt idx="3">
                  <c:v>0.21573842749137745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3-4D98-9A16-413F7DEE6351}"/>
            </c:ext>
          </c:extLst>
        </c:ser>
        <c:ser>
          <c:idx val="2"/>
          <c:order val="2"/>
          <c:tx>
            <c:strRef>
              <c:f>'Results Biogas - MEA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(GF)'!$AH$7,'Results Biogas - MEA (GF)'!$AH$10,'Results Biogas - MEA (GF)'!$AH$13,'Results Biogas - MEA (GF)'!$AH$16)</c:f>
              <c:numCache>
                <c:formatCode>0.00%</c:formatCode>
                <c:ptCount val="4"/>
                <c:pt idx="0">
                  <c:v>1.128696437707415E-2</c:v>
                </c:pt>
                <c:pt idx="1">
                  <c:v>1.4600796377833505E-2</c:v>
                </c:pt>
                <c:pt idx="2">
                  <c:v>4.839425585313673E-3</c:v>
                </c:pt>
                <c:pt idx="3">
                  <c:v>1.3293956326602779E-2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3-4D98-9A16-413F7DEE6351}"/>
            </c:ext>
          </c:extLst>
        </c:ser>
        <c:ser>
          <c:idx val="3"/>
          <c:order val="3"/>
          <c:tx>
            <c:strRef>
              <c:f>'Results Biogas - MEA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(GF)'!$AI$7,'Results Biogas - MEA (GF)'!$AI$10,'Results Biogas - MEA (GF)'!$AI$13,'Results Biogas - MEA (GF)'!$AI$16)</c:f>
              <c:numCache>
                <c:formatCode>0.00%</c:formatCode>
                <c:ptCount val="4"/>
                <c:pt idx="0">
                  <c:v>-5.0415313557843995E-3</c:v>
                </c:pt>
                <c:pt idx="1">
                  <c:v>-2.5452910117930397E-2</c:v>
                </c:pt>
                <c:pt idx="2">
                  <c:v>-3.5147265410845194E-4</c:v>
                </c:pt>
                <c:pt idx="3">
                  <c:v>6.8110776330880117E-4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3-4D98-9A16-413F7DEE6351}"/>
            </c:ext>
          </c:extLst>
        </c:ser>
        <c:ser>
          <c:idx val="4"/>
          <c:order val="4"/>
          <c:tx>
            <c:strRef>
              <c:f>'Results Biogas - MEA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(GF)'!$AJ$7,'Results Biogas - MEA (GF)'!$AJ$10,'Results Biogas - MEA (GF)'!$AJ$13,'Results Biogas - MEA (GF)'!$AJ$16)</c:f>
              <c:numCache>
                <c:formatCode>0.00%</c:formatCode>
                <c:ptCount val="4"/>
                <c:pt idx="0">
                  <c:v>0.48209306945597591</c:v>
                </c:pt>
                <c:pt idx="1">
                  <c:v>0.50440448040161667</c:v>
                </c:pt>
                <c:pt idx="2">
                  <c:v>0.35001487515032903</c:v>
                </c:pt>
                <c:pt idx="3">
                  <c:v>0.53906469580046101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D3-4D98-9A16-413F7DEE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(GF)'!$AN$7,'Results Biogas - MEA (GF)'!$AN$10,'Results Biogas - MEA (GF)'!$AN$13,'Results Biogas - MEA (GF)'!$AN$16)</c:f>
              <c:numCache>
                <c:formatCode>0.0%</c:formatCode>
                <c:ptCount val="4"/>
                <c:pt idx="0">
                  <c:v>0.35563813696179269</c:v>
                </c:pt>
                <c:pt idx="1">
                  <c:v>0.40555212112587086</c:v>
                </c:pt>
                <c:pt idx="2">
                  <c:v>0.37671714023574882</c:v>
                </c:pt>
                <c:pt idx="3">
                  <c:v>0.28062506329182407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7-4AB7-BBF1-0B5D41011441}"/>
            </c:ext>
          </c:extLst>
        </c:ser>
        <c:ser>
          <c:idx val="1"/>
          <c:order val="1"/>
          <c:tx>
            <c:strRef>
              <c:f>'Results Biogas - MEA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(GF)'!$AO$7,'Results Biogas - MEA (GF)'!$AO$10,'Results Biogas - MEA (GF)'!$AO$13,'Results Biogas - MEA (GF)'!$AO$16)</c:f>
              <c:numCache>
                <c:formatCode>0.0%</c:formatCode>
                <c:ptCount val="4"/>
                <c:pt idx="0">
                  <c:v>1.4893131213621569E-2</c:v>
                </c:pt>
                <c:pt idx="1">
                  <c:v>1.7585595821139183E-2</c:v>
                </c:pt>
                <c:pt idx="2">
                  <c:v>8.5086232873065951E-3</c:v>
                </c:pt>
                <c:pt idx="3">
                  <c:v>1.7292317270184817E-2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7-4AB7-BBF1-0B5D41011441}"/>
            </c:ext>
          </c:extLst>
        </c:ser>
        <c:ser>
          <c:idx val="2"/>
          <c:order val="2"/>
          <c:tx>
            <c:strRef>
              <c:f>'Results Biogas - MEA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(GF)'!$AP$7,'Results Biogas - MEA (GF)'!$AP$10,'Results Biogas - MEA (GF)'!$AP$13,'Results Biogas - MEA (GF)'!$AP$16)</c:f>
              <c:numCache>
                <c:formatCode>0.0%</c:formatCode>
                <c:ptCount val="4"/>
                <c:pt idx="0">
                  <c:v>-6.6522924579963819E-3</c:v>
                </c:pt>
                <c:pt idx="1">
                  <c:v>-3.0656176431940962E-2</c:v>
                </c:pt>
                <c:pt idx="2">
                  <c:v>-6.1795524218287272E-4</c:v>
                </c:pt>
                <c:pt idx="3">
                  <c:v>8.8596135333708246E-4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7-4AB7-BBF1-0B5D41011441}"/>
            </c:ext>
          </c:extLst>
        </c:ser>
        <c:ser>
          <c:idx val="3"/>
          <c:order val="3"/>
          <c:tx>
            <c:strRef>
              <c:f>'Results Biogas - MEA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(GF)'!$AQ$7,'Results Biogas - MEA (GF)'!$AQ$10,'Results Biogas - MEA (GF)'!$AQ$13,'Results Biogas - MEA (GF)'!$AQ$16)</c:f>
              <c:numCache>
                <c:formatCode>0.0%</c:formatCode>
                <c:ptCount val="4"/>
                <c:pt idx="0">
                  <c:v>0.6361210242825821</c:v>
                </c:pt>
                <c:pt idx="1">
                  <c:v>0.60751845948493088</c:v>
                </c:pt>
                <c:pt idx="2">
                  <c:v>0.6153921917191274</c:v>
                </c:pt>
                <c:pt idx="3">
                  <c:v>0.70119665808465403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7-4AB7-BBF1-0B5D4101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(GF)'!$AN$38,'Results Biogas - MEA (GF)'!$AN$41,'Results Biogas - MEA (GF)'!$AN$44,'Results Biogas - MEA (GF)'!$AN$47,'Results Biogas - MEA (GF)'!$AN$50,'Results Biogas - MEA (GF)'!$AN$53,'Results Biogas - MEA (GF)'!$AN$56,'Results Biogas - MEA (GF)'!$AN$59,'Results Biogas - MEA (GF)'!$AN$62,'Results Biogas - MEA (GF)'!$AN$65,'Results Biogas - MEA (GF)'!$AN$68,'Results Biogas - MEA (GF)'!$AN$71,'Results Biogas - MEA (GF)'!$AN$74,'Results Biogas - MEA (GF)'!$AN$77,'Results Biogas - MEA (GF)'!$AN$80)</c:f>
              <c:numCache>
                <c:formatCode>0.0%</c:formatCode>
                <c:ptCount val="15"/>
                <c:pt idx="0">
                  <c:v>0.21785741781700035</c:v>
                </c:pt>
                <c:pt idx="1">
                  <c:v>0.69299134610347046</c:v>
                </c:pt>
                <c:pt idx="2">
                  <c:v>0.39210209138699664</c:v>
                </c:pt>
                <c:pt idx="3">
                  <c:v>0.16605490807379736</c:v>
                </c:pt>
                <c:pt idx="4">
                  <c:v>0.22360420040141601</c:v>
                </c:pt>
                <c:pt idx="5">
                  <c:v>0.31136748015972299</c:v>
                </c:pt>
                <c:pt idx="6">
                  <c:v>0.21716102932476911</c:v>
                </c:pt>
                <c:pt idx="7">
                  <c:v>0.28514342860678649</c:v>
                </c:pt>
                <c:pt idx="8">
                  <c:v>0.38650466382385867</c:v>
                </c:pt>
                <c:pt idx="9">
                  <c:v>0.74943006377071508</c:v>
                </c:pt>
                <c:pt idx="10">
                  <c:v>6.5569620818331693E-4</c:v>
                </c:pt>
                <c:pt idx="11">
                  <c:v>0.80380085025042614</c:v>
                </c:pt>
                <c:pt idx="12">
                  <c:v>0.35563813696179269</c:v>
                </c:pt>
                <c:pt idx="13">
                  <c:v>0.28014361086716422</c:v>
                </c:pt>
                <c:pt idx="14">
                  <c:v>0.64042836376998125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3-428E-AAD1-738C9D6F3055}"/>
            </c:ext>
          </c:extLst>
        </c:ser>
        <c:ser>
          <c:idx val="1"/>
          <c:order val="1"/>
          <c:tx>
            <c:strRef>
              <c:f>'Results Biogas - MEA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(GF)'!$AO$38,'Results Biogas - MEA (GF)'!$AO$41,'Results Biogas - MEA (GF)'!$AO$44,'Results Biogas - MEA (GF)'!$AO$47,'Results Biogas - MEA (GF)'!$AO$50,'Results Biogas - MEA (GF)'!$AO$53,'Results Biogas - MEA (GF)'!$AO$56,'Results Biogas - MEA (GF)'!$AO$59,'Results Biogas - MEA (GF)'!$AO$62,'Results Biogas - MEA (GF)'!$AO$65,'Results Biogas - MEA (GF)'!$AO$68,'Results Biogas - MEA (GF)'!$AO$71,'Results Biogas - MEA (GF)'!$AO$74,'Results Biogas - MEA (GF)'!$AO$77,'Results Biogas - MEA (GF)'!$AO$80)</c:f>
              <c:numCache>
                <c:formatCode>0.0%</c:formatCode>
                <c:ptCount val="15"/>
                <c:pt idx="0">
                  <c:v>1.1370267647963839E-2</c:v>
                </c:pt>
                <c:pt idx="1">
                  <c:v>3.3411931294175345E-3</c:v>
                </c:pt>
                <c:pt idx="2">
                  <c:v>1.9465201044291239E-2</c:v>
                </c:pt>
                <c:pt idx="3">
                  <c:v>3.8605512235150255E-2</c:v>
                </c:pt>
                <c:pt idx="4">
                  <c:v>1.838701737272494E-2</c:v>
                </c:pt>
                <c:pt idx="5">
                  <c:v>6.1609843497203642E-3</c:v>
                </c:pt>
                <c:pt idx="6">
                  <c:v>8.476440410221938E-3</c:v>
                </c:pt>
                <c:pt idx="7">
                  <c:v>8.4369050622311228E-3</c:v>
                </c:pt>
                <c:pt idx="8">
                  <c:v>1.9172276585461889E-2</c:v>
                </c:pt>
                <c:pt idx="9">
                  <c:v>5.0023083466840578E-3</c:v>
                </c:pt>
                <c:pt idx="10">
                  <c:v>3.0502731537192066E-5</c:v>
                </c:pt>
                <c:pt idx="11">
                  <c:v>4.0851679130303187E-3</c:v>
                </c:pt>
                <c:pt idx="12">
                  <c:v>1.4893131213621569E-2</c:v>
                </c:pt>
                <c:pt idx="13">
                  <c:v>1.7343176836521278E-2</c:v>
                </c:pt>
                <c:pt idx="14">
                  <c:v>4.233016495084195E-3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3-428E-AAD1-738C9D6F3055}"/>
            </c:ext>
          </c:extLst>
        </c:ser>
        <c:ser>
          <c:idx val="2"/>
          <c:order val="2"/>
          <c:tx>
            <c:strRef>
              <c:f>'Results Biogas - MEA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(GF)'!$AP$38,'Results Biogas - MEA (GF)'!$AP$41,'Results Biogas - MEA (GF)'!$AP$44,'Results Biogas - MEA (GF)'!$AP$47,'Results Biogas - MEA (GF)'!$AP$50,'Results Biogas - MEA (GF)'!$AP$53,'Results Biogas - MEA (GF)'!$AP$56,'Results Biogas - MEA (GF)'!$AP$59,'Results Biogas - MEA (GF)'!$AP$62,'Results Biogas - MEA (GF)'!$AP$65,'Results Biogas - MEA (GF)'!$AP$68,'Results Biogas - MEA (GF)'!$AP$71,'Results Biogas - MEA (GF)'!$AP$74,'Results Biogas - MEA (GF)'!$AP$77,'Results Biogas - MEA (GF)'!$AP$80)</c:f>
              <c:numCache>
                <c:formatCode>0.0%</c:formatCode>
                <c:ptCount val="15"/>
                <c:pt idx="0">
                  <c:v>-1.1126667082162579E-2</c:v>
                </c:pt>
                <c:pt idx="1">
                  <c:v>-3.6822353203388846E-3</c:v>
                </c:pt>
                <c:pt idx="2">
                  <c:v>-3.5369686852873387E-2</c:v>
                </c:pt>
                <c:pt idx="3">
                  <c:v>2.4024133888218956E-2</c:v>
                </c:pt>
                <c:pt idx="4">
                  <c:v>8.538413799252801E-3</c:v>
                </c:pt>
                <c:pt idx="5">
                  <c:v>-2.390690397070132E-3</c:v>
                </c:pt>
                <c:pt idx="6">
                  <c:v>-3.4802674243199292E-8</c:v>
                </c:pt>
                <c:pt idx="7">
                  <c:v>-2.5587744849264136E-4</c:v>
                </c:pt>
                <c:pt idx="8">
                  <c:v>-3.4201929694987632E-3</c:v>
                </c:pt>
                <c:pt idx="9">
                  <c:v>-1.1031810762448288E-3</c:v>
                </c:pt>
                <c:pt idx="10">
                  <c:v>-4.7493381838896105E-6</c:v>
                </c:pt>
                <c:pt idx="11">
                  <c:v>-4.6796919058621758E-3</c:v>
                </c:pt>
                <c:pt idx="12">
                  <c:v>-6.6522924579963819E-3</c:v>
                </c:pt>
                <c:pt idx="13">
                  <c:v>8.9115884004214475E-4</c:v>
                </c:pt>
                <c:pt idx="14">
                  <c:v>-9.1700080393288474E-4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3-428E-AAD1-738C9D6F3055}"/>
            </c:ext>
          </c:extLst>
        </c:ser>
        <c:ser>
          <c:idx val="3"/>
          <c:order val="3"/>
          <c:tx>
            <c:strRef>
              <c:f>'Results Biogas - MEA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(GF)'!$AQ$38,'Results Biogas - MEA (GF)'!$AQ$41,'Results Biogas - MEA (GF)'!$AQ$44,'Results Biogas - MEA (GF)'!$AQ$47,'Results Biogas - MEA (GF)'!$AQ$50,'Results Biogas - MEA (GF)'!$AQ$53,'Results Biogas - MEA (GF)'!$AQ$56,'Results Biogas - MEA (GF)'!$AQ$59,'Results Biogas - MEA (GF)'!$AQ$62,'Results Biogas - MEA (GF)'!$AQ$65,'Results Biogas - MEA (GF)'!$AQ$68,'Results Biogas - MEA (GF)'!$AQ$71,'Results Biogas - MEA (GF)'!$AQ$74,'Results Biogas - MEA (GF)'!$AQ$77,'Results Biogas - MEA (GF)'!$AQ$80)</c:f>
              <c:numCache>
                <c:formatCode>0.0%</c:formatCode>
                <c:ptCount val="15"/>
                <c:pt idx="0">
                  <c:v>0.7818989816171984</c:v>
                </c:pt>
                <c:pt idx="1">
                  <c:v>0.30734969608745083</c:v>
                </c:pt>
                <c:pt idx="2">
                  <c:v>0.62380239442158547</c:v>
                </c:pt>
                <c:pt idx="3">
                  <c:v>0.7713154458028334</c:v>
                </c:pt>
                <c:pt idx="4">
                  <c:v>0.74947036842660619</c:v>
                </c:pt>
                <c:pt idx="5">
                  <c:v>0.6848622258876268</c:v>
                </c:pt>
                <c:pt idx="6">
                  <c:v>0.7743625650676832</c:v>
                </c:pt>
                <c:pt idx="7">
                  <c:v>0.70667554377947506</c:v>
                </c:pt>
                <c:pt idx="8">
                  <c:v>0.59774325256017824</c:v>
                </c:pt>
                <c:pt idx="9">
                  <c:v>0.24667080895884572</c:v>
                </c:pt>
                <c:pt idx="10">
                  <c:v>0.9993185503984634</c:v>
                </c:pt>
                <c:pt idx="11">
                  <c:v>0.19679367374240569</c:v>
                </c:pt>
                <c:pt idx="12">
                  <c:v>0.6361210242825821</c:v>
                </c:pt>
                <c:pt idx="13">
                  <c:v>0.70162205345627238</c:v>
                </c:pt>
                <c:pt idx="14">
                  <c:v>0.35625562053886739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73-428E-AAD1-738C9D6F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(GF)'!$AF$38,'Results Biogas - MEA (GF)'!$AF$41,'Results Biogas - MEA (GF)'!$AF$44,'Results Biogas - MEA (GF)'!$AF$47,'Results Biogas - MEA (GF)'!$AF$50,'Results Biogas - MEA (GF)'!$AF$53,'Results Biogas - MEA (GF)'!$AF$56,'Results Biogas - MEA (GF)'!$AF$59,'Results Biogas - MEA (GF)'!$AF$62,'Results Biogas - MEA (GF)'!$AF$65,'Results Biogas - MEA (GF)'!$AF$68,'Results Biogas - MEA (GF)'!$AF$71,'Results Biogas - MEA (GF)'!$AF$74,'Results Biogas - MEA (GF)'!$AF$77,'Results Biogas - MEA (GF)'!$AF$80)</c:f>
              <c:numCache>
                <c:formatCode>0.0%</c:formatCode>
                <c:ptCount val="15"/>
                <c:pt idx="0">
                  <c:v>0.11489980467402999</c:v>
                </c:pt>
                <c:pt idx="1">
                  <c:v>0.18425044568091317</c:v>
                </c:pt>
                <c:pt idx="2">
                  <c:v>0.17293996429672759</c:v>
                </c:pt>
                <c:pt idx="3">
                  <c:v>0.13325972802850722</c:v>
                </c:pt>
                <c:pt idx="4">
                  <c:v>0.35277273938827491</c:v>
                </c:pt>
                <c:pt idx="5">
                  <c:v>0.3443105230244396</c:v>
                </c:pt>
                <c:pt idx="6">
                  <c:v>0.23229049904631893</c:v>
                </c:pt>
                <c:pt idx="7">
                  <c:v>0.4848330329374918</c:v>
                </c:pt>
                <c:pt idx="8">
                  <c:v>0.15439141344119078</c:v>
                </c:pt>
                <c:pt idx="9">
                  <c:v>0.22138620350545671</c:v>
                </c:pt>
                <c:pt idx="10">
                  <c:v>-550.59951433725814</c:v>
                </c:pt>
                <c:pt idx="11">
                  <c:v>7.7887801542732379E-2</c:v>
                </c:pt>
                <c:pt idx="12">
                  <c:v>0.24213624291781155</c:v>
                </c:pt>
                <c:pt idx="13">
                  <c:v>0.23216722936135953</c:v>
                </c:pt>
                <c:pt idx="14">
                  <c:v>0.14922245172840734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EDD-AB39-6C0D734DFDBC}"/>
            </c:ext>
          </c:extLst>
        </c:ser>
        <c:ser>
          <c:idx val="1"/>
          <c:order val="1"/>
          <c:tx>
            <c:strRef>
              <c:f>'Results Biogas - MEA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(GF)'!$AG$38,'Results Biogas - MEA (GF)'!$AG$41,'Results Biogas - MEA (GF)'!$AG$44,'Results Biogas - MEA (GF)'!$AG$47,'Results Biogas - MEA (GF)'!$AG$50,'Results Biogas - MEA (GF)'!$AG$53,'Results Biogas - MEA (GF)'!$AG$56,'Results Biogas - MEA (GF)'!$AG$59,'Results Biogas - MEA (GF)'!$AG$62,'Results Biogas - MEA (GF)'!$AG$65,'Results Biogas - MEA (GF)'!$AG$68,'Results Biogas - MEA (GF)'!$AG$71,'Results Biogas - MEA (GF)'!$AG$74,'Results Biogas - MEA (GF)'!$AG$77,'Results Biogas - MEA (GF)'!$AG$80)</c:f>
              <c:numCache>
                <c:formatCode>0.0%</c:formatCode>
                <c:ptCount val="15"/>
                <c:pt idx="0">
                  <c:v>0.19282564306303851</c:v>
                </c:pt>
                <c:pt idx="1">
                  <c:v>0.56530738173089012</c:v>
                </c:pt>
                <c:pt idx="2">
                  <c:v>0.3242919697018572</c:v>
                </c:pt>
                <c:pt idx="3">
                  <c:v>0.14392647618608428</c:v>
                </c:pt>
                <c:pt idx="4">
                  <c:v>0.14472273408708367</c:v>
                </c:pt>
                <c:pt idx="5">
                  <c:v>0.20416038021312694</c:v>
                </c:pt>
                <c:pt idx="6">
                  <c:v>0.16671658544950618</c:v>
                </c:pt>
                <c:pt idx="7">
                  <c:v>0.14689647529316308</c:v>
                </c:pt>
                <c:pt idx="8">
                  <c:v>0.32683166247448081</c:v>
                </c:pt>
                <c:pt idx="9">
                  <c:v>0.58351658715966415</c:v>
                </c:pt>
                <c:pt idx="10">
                  <c:v>0.36168170998677301</c:v>
                </c:pt>
                <c:pt idx="11">
                  <c:v>0.74119456914624138</c:v>
                </c:pt>
                <c:pt idx="12">
                  <c:v>0.26952525463957416</c:v>
                </c:pt>
                <c:pt idx="13">
                  <c:v>0.21510344490884778</c:v>
                </c:pt>
                <c:pt idx="14">
                  <c:v>0.54486207317181234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B-4EDD-AB39-6C0D734DFDBC}"/>
            </c:ext>
          </c:extLst>
        </c:ser>
        <c:ser>
          <c:idx val="2"/>
          <c:order val="2"/>
          <c:tx>
            <c:strRef>
              <c:f>'Results Biogas - MEA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(GF)'!$AH$38,'Results Biogas - MEA (GF)'!$AH$41,'Results Biogas - MEA (GF)'!$AH$44,'Results Biogas - MEA (GF)'!$AH$47,'Results Biogas - MEA (GF)'!$AH$50,'Results Biogas - MEA (GF)'!$AH$53,'Results Biogas - MEA (GF)'!$AH$56,'Results Biogas - MEA (GF)'!$AH$59,'Results Biogas - MEA (GF)'!$AH$62,'Results Biogas - MEA (GF)'!$AH$65,'Results Biogas - MEA (GF)'!$AH$68,'Results Biogas - MEA (GF)'!$AH$71,'Results Biogas - MEA (GF)'!$AH$74,'Results Biogas - MEA (GF)'!$AH$77,'Results Biogas - MEA (GF)'!$AH$80)</c:f>
              <c:numCache>
                <c:formatCode>0.0%</c:formatCode>
                <c:ptCount val="15"/>
                <c:pt idx="0">
                  <c:v>1.0063826116121341E-2</c:v>
                </c:pt>
                <c:pt idx="1">
                  <c:v>2.7255768062163636E-3</c:v>
                </c:pt>
                <c:pt idx="2">
                  <c:v>1.6098889870662911E-2</c:v>
                </c:pt>
                <c:pt idx="3">
                  <c:v>3.3460952174292909E-2</c:v>
                </c:pt>
                <c:pt idx="4">
                  <c:v>1.1900578884968954E-2</c:v>
                </c:pt>
                <c:pt idx="5">
                  <c:v>4.0396926059227392E-3</c:v>
                </c:pt>
                <c:pt idx="6">
                  <c:v>6.5074438371951239E-3</c:v>
                </c:pt>
                <c:pt idx="7">
                  <c:v>4.3464147923038968E-3</c:v>
                </c:pt>
                <c:pt idx="8">
                  <c:v>1.6212241704547013E-2</c:v>
                </c:pt>
                <c:pt idx="9">
                  <c:v>3.8948662930480232E-3</c:v>
                </c:pt>
                <c:pt idx="10">
                  <c:v>1.6825291901787141E-2</c:v>
                </c:pt>
                <c:pt idx="11">
                  <c:v>3.766983165351471E-3</c:v>
                </c:pt>
                <c:pt idx="12">
                  <c:v>1.1286964376273252E-2</c:v>
                </c:pt>
                <c:pt idx="13">
                  <c:v>1.331665952206205E-2</c:v>
                </c:pt>
                <c:pt idx="14">
                  <c:v>3.6013553954809272E-3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B-4EDD-AB39-6C0D734DFDBC}"/>
            </c:ext>
          </c:extLst>
        </c:ser>
        <c:ser>
          <c:idx val="3"/>
          <c:order val="3"/>
          <c:tx>
            <c:strRef>
              <c:f>'Results Biogas - MEA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(GF)'!$AI$38,'Results Biogas - MEA (GF)'!$AI$41,'Results Biogas - MEA (GF)'!$AI$44,'Results Biogas - MEA (GF)'!$AI$47,'Results Biogas - MEA (GF)'!$AI$50,'Results Biogas - MEA (GF)'!$AI$53,'Results Biogas - MEA (GF)'!$AI$56,'Results Biogas - MEA (GF)'!$AI$59,'Results Biogas - MEA (GF)'!$AI$62,'Results Biogas - MEA (GF)'!$AI$65,'Results Biogas - MEA (GF)'!$AI$68,'Results Biogas - MEA (GF)'!$AI$71,'Results Biogas - MEA (GF)'!$AI$74,'Results Biogas - MEA (GF)'!$AI$77,'Results Biogas - MEA (GF)'!$AI$80)</c:f>
              <c:numCache>
                <c:formatCode>0.0%</c:formatCode>
                <c:ptCount val="15"/>
                <c:pt idx="0">
                  <c:v>-9.8482152077491326E-3</c:v>
                </c:pt>
                <c:pt idx="1">
                  <c:v>-3.0037818214644491E-3</c:v>
                </c:pt>
                <c:pt idx="2">
                  <c:v>-2.9252854471351033E-2</c:v>
                </c:pt>
                <c:pt idx="3">
                  <c:v>2.0822684340154513E-2</c:v>
                </c:pt>
                <c:pt idx="4">
                  <c:v>5.5262941732597704E-3</c:v>
                </c:pt>
                <c:pt idx="5">
                  <c:v>-1.5675505360653917E-3</c:v>
                </c:pt>
                <c:pt idx="6">
                  <c:v>-2.671834364185406E-8</c:v>
                </c:pt>
                <c:pt idx="7">
                  <c:v>-1.3181960907964613E-4</c:v>
                </c:pt>
                <c:pt idx="8">
                  <c:v>-2.8921445426962548E-3</c:v>
                </c:pt>
                <c:pt idx="9">
                  <c:v>-8.5895200599593602E-4</c:v>
                </c:pt>
                <c:pt idx="10">
                  <c:v>-2.6197326356325584E-3</c:v>
                </c:pt>
                <c:pt idx="11">
                  <c:v>-4.315200991417246E-3</c:v>
                </c:pt>
                <c:pt idx="12">
                  <c:v>-5.0415313554266639E-3</c:v>
                </c:pt>
                <c:pt idx="13">
                  <c:v>6.8426096122865853E-4</c:v>
                </c:pt>
                <c:pt idx="14">
                  <c:v>-7.8016369573307917E-4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3B-4EDD-AB39-6C0D734DFDBC}"/>
            </c:ext>
          </c:extLst>
        </c:ser>
        <c:ser>
          <c:idx val="4"/>
          <c:order val="4"/>
          <c:tx>
            <c:strRef>
              <c:f>'Results Biogas - MEA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(GF)'!$AJ$38,'Results Biogas - MEA (GF)'!$AJ$41,'Results Biogas - MEA (GF)'!$AJ$44,'Results Biogas - MEA (GF)'!$AJ$47,'Results Biogas - MEA (GF)'!$AJ$50,'Results Biogas - MEA (GF)'!$AJ$53,'Results Biogas - MEA (GF)'!$AJ$56,'Results Biogas - MEA (GF)'!$AJ$59,'Results Biogas - MEA (GF)'!$AJ$62,'Results Biogas - MEA (GF)'!$AJ$65,'Results Biogas - MEA (GF)'!$AJ$68,'Results Biogas - MEA (GF)'!$AJ$71,'Results Biogas - MEA (GF)'!$AJ$74,'Results Biogas - MEA (GF)'!$AJ$77,'Results Biogas - MEA (GF)'!$AJ$80)</c:f>
              <c:numCache>
                <c:formatCode>0.0%</c:formatCode>
                <c:ptCount val="15"/>
                <c:pt idx="0">
                  <c:v>0.69205894135455925</c:v>
                </c:pt>
                <c:pt idx="1">
                  <c:v>0.25072037760344484</c:v>
                </c:pt>
                <c:pt idx="2">
                  <c:v>0.51592203060210329</c:v>
                </c:pt>
                <c:pt idx="3">
                  <c:v>0.66853015927096104</c:v>
                </c:pt>
                <c:pt idx="4">
                  <c:v>0.48507765346641268</c:v>
                </c:pt>
                <c:pt idx="5">
                  <c:v>0.44905695469257612</c:v>
                </c:pt>
                <c:pt idx="6">
                  <c:v>0.59448549838532339</c:v>
                </c:pt>
                <c:pt idx="7">
                  <c:v>0.36405589658612086</c:v>
                </c:pt>
                <c:pt idx="8">
                  <c:v>0.50545682692247762</c:v>
                </c:pt>
                <c:pt idx="9">
                  <c:v>0.19206129504782707</c:v>
                </c:pt>
                <c:pt idx="10">
                  <c:v>551.22362706800516</c:v>
                </c:pt>
                <c:pt idx="11">
                  <c:v>0.18146584713709196</c:v>
                </c:pt>
                <c:pt idx="12">
                  <c:v>0.48209306942176772</c:v>
                </c:pt>
                <c:pt idx="13">
                  <c:v>0.53872840524650201</c:v>
                </c:pt>
                <c:pt idx="14">
                  <c:v>0.30309428340003247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3B-4EDD-AB39-6C0D734D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8-450B-811A-1FAC4F9C668D}"/>
            </c:ext>
          </c:extLst>
        </c:ser>
        <c:ser>
          <c:idx val="1"/>
          <c:order val="1"/>
          <c:tx>
            <c:strRef>
              <c:f>'Results Flue gas - membran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(GF)'!$O$5:$O$19</c:f>
              <c:numCache>
                <c:formatCode>0%</c:formatCode>
                <c:ptCount val="15"/>
                <c:pt idx="0">
                  <c:v>0.82878579502686212</c:v>
                </c:pt>
                <c:pt idx="1">
                  <c:v>0.80650667530849129</c:v>
                </c:pt>
                <c:pt idx="2">
                  <c:v>0.8021922589074818</c:v>
                </c:pt>
                <c:pt idx="3">
                  <c:v>0.86526007687975348</c:v>
                </c:pt>
                <c:pt idx="4">
                  <c:v>0.59931506849228866</c:v>
                </c:pt>
                <c:pt idx="5">
                  <c:v>0.57540011647679601</c:v>
                </c:pt>
                <c:pt idx="6">
                  <c:v>0.63335470576961828</c:v>
                </c:pt>
                <c:pt idx="7">
                  <c:v>0.48180676851618925</c:v>
                </c:pt>
                <c:pt idx="8">
                  <c:v>0.82072719613999534</c:v>
                </c:pt>
                <c:pt idx="9">
                  <c:v>0.7744140625</c:v>
                </c:pt>
                <c:pt idx="10">
                  <c:v>0.85038394980120813</c:v>
                </c:pt>
                <c:pt idx="11">
                  <c:v>0.9175191815856778</c:v>
                </c:pt>
                <c:pt idx="12">
                  <c:v>0.71000461035964457</c:v>
                </c:pt>
                <c:pt idx="13">
                  <c:v>0.71357768972975666</c:v>
                </c:pt>
                <c:pt idx="14">
                  <c:v>0.82757754615094814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8-450B-811A-1FAC4F9C668D}"/>
            </c:ext>
          </c:extLst>
        </c:ser>
        <c:ser>
          <c:idx val="2"/>
          <c:order val="2"/>
          <c:tx>
            <c:strRef>
              <c:f>'Results Flue gas - membran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(GF)'!$P$5:$P$19</c:f>
              <c:numCache>
                <c:formatCode>0%</c:formatCode>
                <c:ptCount val="15"/>
                <c:pt idx="0">
                  <c:v>2.0156889088924918E-8</c:v>
                </c:pt>
                <c:pt idx="1">
                  <c:v>2.1575337810800404E-7</c:v>
                </c:pt>
                <c:pt idx="2">
                  <c:v>8.4703530443647142E-8</c:v>
                </c:pt>
                <c:pt idx="3">
                  <c:v>2.9434067131393371E-6</c:v>
                </c:pt>
                <c:pt idx="4">
                  <c:v>1.4383561643814929E-12</c:v>
                </c:pt>
                <c:pt idx="5">
                  <c:v>4.377726077011756E-6</c:v>
                </c:pt>
                <c:pt idx="6">
                  <c:v>3.541267493877845E-5</c:v>
                </c:pt>
                <c:pt idx="7">
                  <c:v>1.4303638440324369E-8</c:v>
                </c:pt>
                <c:pt idx="8">
                  <c:v>2.3591883716494768E-7</c:v>
                </c:pt>
                <c:pt idx="9">
                  <c:v>0</c:v>
                </c:pt>
                <c:pt idx="10">
                  <c:v>2.5289511333475202E-6</c:v>
                </c:pt>
                <c:pt idx="11">
                  <c:v>0</c:v>
                </c:pt>
                <c:pt idx="12">
                  <c:v>8.4370677724555156E-11</c:v>
                </c:pt>
                <c:pt idx="13">
                  <c:v>4.3592100111895647E-4</c:v>
                </c:pt>
                <c:pt idx="14">
                  <c:v>1.1679015446439784E-2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8-450B-811A-1FAC4F9C668D}"/>
            </c:ext>
          </c:extLst>
        </c:ser>
        <c:ser>
          <c:idx val="3"/>
          <c:order val="3"/>
          <c:tx>
            <c:strRef>
              <c:f>'Results Flue gas - membran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(GF)'!$Q$5:$Q$19</c:f>
              <c:numCache>
                <c:formatCode>0%</c:formatCode>
                <c:ptCount val="15"/>
                <c:pt idx="0">
                  <c:v>0.17121418481624887</c:v>
                </c:pt>
                <c:pt idx="1">
                  <c:v>0.19349310893813057</c:v>
                </c:pt>
                <c:pt idx="2">
                  <c:v>0.19780765638898773</c:v>
                </c:pt>
                <c:pt idx="3">
                  <c:v>0.13473697971353346</c:v>
                </c:pt>
                <c:pt idx="4">
                  <c:v>0.40068493150627299</c:v>
                </c:pt>
                <c:pt idx="5">
                  <c:v>0.42459550579712685</c:v>
                </c:pt>
                <c:pt idx="6">
                  <c:v>0.36660988155544294</c:v>
                </c:pt>
                <c:pt idx="7">
                  <c:v>0.51819321718017231</c:v>
                </c:pt>
                <c:pt idx="8">
                  <c:v>0.17927256794116764</c:v>
                </c:pt>
                <c:pt idx="9">
                  <c:v>0.2255859375</c:v>
                </c:pt>
                <c:pt idx="10">
                  <c:v>0.14961352124765864</c:v>
                </c:pt>
                <c:pt idx="11">
                  <c:v>8.2480818414322254E-2</c:v>
                </c:pt>
                <c:pt idx="12">
                  <c:v>0.2899953895559847</c:v>
                </c:pt>
                <c:pt idx="13">
                  <c:v>0.28598638926912429</c:v>
                </c:pt>
                <c:pt idx="14">
                  <c:v>0.16074343840261207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8-450B-811A-1FAC4F9C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(GF)'!$N$24:$N$38</c:f>
              <c:numCache>
                <c:formatCode>0%</c:formatCode>
                <c:ptCount val="15"/>
                <c:pt idx="0">
                  <c:v>0.65169016204139718</c:v>
                </c:pt>
                <c:pt idx="1">
                  <c:v>0.26452258092733244</c:v>
                </c:pt>
                <c:pt idx="2">
                  <c:v>0.5334756830015428</c:v>
                </c:pt>
                <c:pt idx="3">
                  <c:v>0.83202390146350735</c:v>
                </c:pt>
                <c:pt idx="4">
                  <c:v>0.72599511952335349</c:v>
                </c:pt>
                <c:pt idx="5">
                  <c:v>0.56248165146037166</c:v>
                </c:pt>
                <c:pt idx="6">
                  <c:v>0.58852401909264052</c:v>
                </c:pt>
                <c:pt idx="7">
                  <c:v>0.67471902846694898</c:v>
                </c:pt>
                <c:pt idx="8">
                  <c:v>0.54035022081867634</c:v>
                </c:pt>
                <c:pt idx="9">
                  <c:v>0.23353458095382795</c:v>
                </c:pt>
                <c:pt idx="10">
                  <c:v>0.99934415240846031</c:v>
                </c:pt>
                <c:pt idx="11">
                  <c:v>0.14060001897846369</c:v>
                </c:pt>
                <c:pt idx="12">
                  <c:v>0.5491223588690668</c:v>
                </c:pt>
                <c:pt idx="13">
                  <c:v>0.62748391044206053</c:v>
                </c:pt>
                <c:pt idx="14">
                  <c:v>0.24115646847794608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1-4385-9C64-DF8FDABF73A7}"/>
            </c:ext>
          </c:extLst>
        </c:ser>
        <c:ser>
          <c:idx val="1"/>
          <c:order val="1"/>
          <c:tx>
            <c:strRef>
              <c:f>'Results Flue gas - membran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(GF)'!$O$24:$O$38</c:f>
              <c:numCache>
                <c:formatCode>0%</c:formatCode>
                <c:ptCount val="15"/>
                <c:pt idx="0">
                  <c:v>0.31550037179977386</c:v>
                </c:pt>
                <c:pt idx="1">
                  <c:v>0.72874900978083801</c:v>
                </c:pt>
                <c:pt idx="2">
                  <c:v>0.40441291022025283</c:v>
                </c:pt>
                <c:pt idx="3">
                  <c:v>9.696823654278236E-2</c:v>
                </c:pt>
                <c:pt idx="4">
                  <c:v>0.23315705577293572</c:v>
                </c:pt>
                <c:pt idx="5">
                  <c:v>0.24479227771647818</c:v>
                </c:pt>
                <c:pt idx="6">
                  <c:v>0.38240884346030757</c:v>
                </c:pt>
                <c:pt idx="7">
                  <c:v>0.30741922406516692</c:v>
                </c:pt>
                <c:pt idx="8">
                  <c:v>0.38526864106273095</c:v>
                </c:pt>
                <c:pt idx="9">
                  <c:v>0.75687471687558783</c:v>
                </c:pt>
                <c:pt idx="10">
                  <c:v>5.6203260403094675E-4</c:v>
                </c:pt>
                <c:pt idx="11">
                  <c:v>0.75886320553810138</c:v>
                </c:pt>
                <c:pt idx="12">
                  <c:v>0.27432842073507391</c:v>
                </c:pt>
                <c:pt idx="13">
                  <c:v>0.18906824139795689</c:v>
                </c:pt>
                <c:pt idx="14">
                  <c:v>0.73683913538779433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1-4385-9C64-DF8FDABF73A7}"/>
            </c:ext>
          </c:extLst>
        </c:ser>
        <c:ser>
          <c:idx val="2"/>
          <c:order val="2"/>
          <c:tx>
            <c:strRef>
              <c:f>'Results Flue gas - membran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8.1939561486238897E-4</c:v>
                </c:pt>
                <c:pt idx="3">
                  <c:v>0</c:v>
                </c:pt>
                <c:pt idx="4">
                  <c:v>0</c:v>
                </c:pt>
                <c:pt idx="5">
                  <c:v>1.5361013502140565E-2</c:v>
                </c:pt>
                <c:pt idx="6">
                  <c:v>1.1610931145873486E-10</c:v>
                </c:pt>
                <c:pt idx="7">
                  <c:v>1.1531951961666786E-9</c:v>
                </c:pt>
                <c:pt idx="8">
                  <c:v>6.6336671914650881E-4</c:v>
                </c:pt>
                <c:pt idx="9">
                  <c:v>0</c:v>
                </c:pt>
                <c:pt idx="10">
                  <c:v>2.5890431114563707E-6</c:v>
                </c:pt>
                <c:pt idx="11">
                  <c:v>9.2631063615970996E-2</c:v>
                </c:pt>
                <c:pt idx="12">
                  <c:v>9.406830410864625E-3</c:v>
                </c:pt>
                <c:pt idx="13">
                  <c:v>6.5821333210082395E-3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1-4385-9C64-DF8FDABF73A7}"/>
            </c:ext>
          </c:extLst>
        </c:ser>
        <c:ser>
          <c:idx val="3"/>
          <c:order val="3"/>
          <c:tx>
            <c:strRef>
              <c:f>'Results Flue gas - membran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(GF)'!$Q$24:$Q$38</c:f>
              <c:numCache>
                <c:formatCode>0%</c:formatCode>
                <c:ptCount val="15"/>
                <c:pt idx="0">
                  <c:v>2.2046625593579234E-8</c:v>
                </c:pt>
                <c:pt idx="1">
                  <c:v>2.4405193065658101E-7</c:v>
                </c:pt>
                <c:pt idx="2">
                  <c:v>9.5808199339981357E-8</c:v>
                </c:pt>
                <c:pt idx="3">
                  <c:v>3.0891480677186822E-6</c:v>
                </c:pt>
                <c:pt idx="4">
                  <c:v>2.1736857679573663E-12</c:v>
                </c:pt>
                <c:pt idx="5">
                  <c:v>6.8957484174693415E-6</c:v>
                </c:pt>
                <c:pt idx="6">
                  <c:v>5.0765825332523129E-5</c:v>
                </c:pt>
                <c:pt idx="7">
                  <c:v>2.6864969259284021E-8</c:v>
                </c:pt>
                <c:pt idx="8">
                  <c:v>2.6098327862212471E-7</c:v>
                </c:pt>
                <c:pt idx="9">
                  <c:v>0</c:v>
                </c:pt>
                <c:pt idx="10">
                  <c:v>3.6345270937012675E-9</c:v>
                </c:pt>
                <c:pt idx="11">
                  <c:v>0</c:v>
                </c:pt>
                <c:pt idx="12">
                  <c:v>1.0794855772293595E-10</c:v>
                </c:pt>
                <c:pt idx="13">
                  <c:v>5.5404711007221827E-4</c:v>
                </c:pt>
                <c:pt idx="14">
                  <c:v>1.2806088998208015E-2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1-4385-9C64-DF8FDABF73A7}"/>
            </c:ext>
          </c:extLst>
        </c:ser>
        <c:ser>
          <c:idx val="4"/>
          <c:order val="4"/>
          <c:tx>
            <c:strRef>
              <c:f>'Results Flue gas - membran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(GF)'!$R$24:$R$38</c:f>
              <c:numCache>
                <c:formatCode>0%</c:formatCode>
                <c:ptCount val="15"/>
                <c:pt idx="0">
                  <c:v>1.7298448159420112E-4</c:v>
                </c:pt>
                <c:pt idx="1">
                  <c:v>3.6194443057022883E-4</c:v>
                </c:pt>
                <c:pt idx="2">
                  <c:v>1.9713143460821089E-2</c:v>
                </c:pt>
                <c:pt idx="3">
                  <c:v>8.9413392704036556E-4</c:v>
                </c:pt>
                <c:pt idx="4">
                  <c:v>3.9677209394564254E-4</c:v>
                </c:pt>
                <c:pt idx="5">
                  <c:v>0.16181579473345092</c:v>
                </c:pt>
                <c:pt idx="6">
                  <c:v>1.8170440871877332E-4</c:v>
                </c:pt>
                <c:pt idx="7">
                  <c:v>5.8277210959640461E-4</c:v>
                </c:pt>
                <c:pt idx="8">
                  <c:v>3.278343709911035E-2</c:v>
                </c:pt>
                <c:pt idx="9">
                  <c:v>4.0587990146007618E-4</c:v>
                </c:pt>
                <c:pt idx="10">
                  <c:v>3.6447933320410931E-5</c:v>
                </c:pt>
                <c:pt idx="11">
                  <c:v>6.394549229546718E-5</c:v>
                </c:pt>
                <c:pt idx="12">
                  <c:v>0.13324430052693578</c:v>
                </c:pt>
                <c:pt idx="13">
                  <c:v>0.13490866891598094</c:v>
                </c:pt>
                <c:pt idx="14">
                  <c:v>1.9357863769930368E-4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E1-4385-9C64-DF8FDABF73A7}"/>
            </c:ext>
          </c:extLst>
        </c:ser>
        <c:ser>
          <c:idx val="5"/>
          <c:order val="5"/>
          <c:tx>
            <c:strRef>
              <c:f>'Results Flue gas - membran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(GF)'!$S$24:$S$38</c:f>
              <c:numCache>
                <c:formatCode>0%</c:formatCode>
                <c:ptCount val="15"/>
                <c:pt idx="0">
                  <c:v>3.2636459630609266E-2</c:v>
                </c:pt>
                <c:pt idx="1">
                  <c:v>6.3662208093286455E-3</c:v>
                </c:pt>
                <c:pt idx="2">
                  <c:v>4.1578771894321423E-2</c:v>
                </c:pt>
                <c:pt idx="3">
                  <c:v>7.0110638918602392E-2</c:v>
                </c:pt>
                <c:pt idx="4">
                  <c:v>4.0451052607591444E-2</c:v>
                </c:pt>
                <c:pt idx="5">
                  <c:v>1.5542366839141472E-2</c:v>
                </c:pt>
                <c:pt idx="6">
                  <c:v>2.8834667096891198E-2</c:v>
                </c:pt>
                <c:pt idx="7">
                  <c:v>1.7278947340123214E-2</c:v>
                </c:pt>
                <c:pt idx="8">
                  <c:v>4.0934073317057326E-2</c:v>
                </c:pt>
                <c:pt idx="9">
                  <c:v>9.1848222691239319E-3</c:v>
                </c:pt>
                <c:pt idx="10">
                  <c:v>5.477437654974607E-5</c:v>
                </c:pt>
                <c:pt idx="11">
                  <c:v>7.8417663751685768E-3</c:v>
                </c:pt>
                <c:pt idx="12">
                  <c:v>3.3898089350110495E-2</c:v>
                </c:pt>
                <c:pt idx="13">
                  <c:v>4.1402998812921248E-2</c:v>
                </c:pt>
                <c:pt idx="14">
                  <c:v>9.004728498352382E-3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1-4385-9C64-DF8FDABF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(GF)'!$K$43:$K$57</c:f>
              <c:numCache>
                <c:formatCode>0%</c:formatCode>
                <c:ptCount val="15"/>
                <c:pt idx="0">
                  <c:v>2.7894778183936056E-2</c:v>
                </c:pt>
                <c:pt idx="1">
                  <c:v>1.3405417996778848E-2</c:v>
                </c:pt>
                <c:pt idx="2">
                  <c:v>4.3412959443574706E-2</c:v>
                </c:pt>
                <c:pt idx="3">
                  <c:v>4.6936347468365461E-2</c:v>
                </c:pt>
                <c:pt idx="4">
                  <c:v>3.1035298449165069E-2</c:v>
                </c:pt>
                <c:pt idx="5">
                  <c:v>1.5390926515117215E-2</c:v>
                </c:pt>
                <c:pt idx="6">
                  <c:v>2.7290526780715016E-2</c:v>
                </c:pt>
                <c:pt idx="7">
                  <c:v>1.4264465236333712E-2</c:v>
                </c:pt>
                <c:pt idx="8">
                  <c:v>4.2195940318606739E-2</c:v>
                </c:pt>
                <c:pt idx="9">
                  <c:v>2.1906889337827765E-2</c:v>
                </c:pt>
                <c:pt idx="10">
                  <c:v>3.0529796725466483E-5</c:v>
                </c:pt>
                <c:pt idx="11">
                  <c:v>3.1065003815110445E-2</c:v>
                </c:pt>
                <c:pt idx="12">
                  <c:v>3.4384860061216528E-2</c:v>
                </c:pt>
                <c:pt idx="13">
                  <c:v>3.6752794914615507E-2</c:v>
                </c:pt>
                <c:pt idx="14">
                  <c:v>2.0798533972767173E-2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9-43C1-98A2-D5E5CF1D3816}"/>
            </c:ext>
          </c:extLst>
        </c:ser>
        <c:ser>
          <c:idx val="1"/>
          <c:order val="1"/>
          <c:tx>
            <c:strRef>
              <c:f>'Results Flue gas - membran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(GF)'!$J$43:$J$57</c:f>
              <c:numCache>
                <c:formatCode>0%</c:formatCode>
                <c:ptCount val="15"/>
                <c:pt idx="0">
                  <c:v>0.97210522181606385</c:v>
                </c:pt>
                <c:pt idx="1">
                  <c:v>0.98659458200322114</c:v>
                </c:pt>
                <c:pt idx="2">
                  <c:v>0.95658704055642529</c:v>
                </c:pt>
                <c:pt idx="3">
                  <c:v>0.9530636525316345</c:v>
                </c:pt>
                <c:pt idx="4">
                  <c:v>0.96896470155083492</c:v>
                </c:pt>
                <c:pt idx="5">
                  <c:v>0.9846090734848828</c:v>
                </c:pt>
                <c:pt idx="6">
                  <c:v>0.97270947321928503</c:v>
                </c:pt>
                <c:pt idx="7">
                  <c:v>0.98573553476366638</c:v>
                </c:pt>
                <c:pt idx="8">
                  <c:v>0.95780405968139326</c:v>
                </c:pt>
                <c:pt idx="9">
                  <c:v>0.9780931106621723</c:v>
                </c:pt>
                <c:pt idx="10">
                  <c:v>0.99996947020327454</c:v>
                </c:pt>
                <c:pt idx="11">
                  <c:v>0.96893499618488954</c:v>
                </c:pt>
                <c:pt idx="12">
                  <c:v>0.96561513993878345</c:v>
                </c:pt>
                <c:pt idx="13">
                  <c:v>0.96324720508538453</c:v>
                </c:pt>
                <c:pt idx="14">
                  <c:v>0.97920146602723279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9-43C1-98A2-D5E5CF1D3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(GF)'!$L$62:$L$76</c:f>
              <c:numCache>
                <c:formatCode>0%</c:formatCode>
                <c:ptCount val="15"/>
                <c:pt idx="0">
                  <c:v>2.5923096908850626E-2</c:v>
                </c:pt>
                <c:pt idx="1">
                  <c:v>1.2603447523892973E-2</c:v>
                </c:pt>
                <c:pt idx="2">
                  <c:v>3.8438508786521372E-2</c:v>
                </c:pt>
                <c:pt idx="3">
                  <c:v>4.620322777863798E-2</c:v>
                </c:pt>
                <c:pt idx="4">
                  <c:v>3.0067015352616865E-2</c:v>
                </c:pt>
                <c:pt idx="5">
                  <c:v>1.4598022115402988E-2</c:v>
                </c:pt>
                <c:pt idx="6">
                  <c:v>2.6054018031710396E-2</c:v>
                </c:pt>
                <c:pt idx="7">
                  <c:v>1.360400973018888E-2</c:v>
                </c:pt>
                <c:pt idx="8">
                  <c:v>4.0010312115645007E-2</c:v>
                </c:pt>
                <c:pt idx="9">
                  <c:v>2.0808432574923545E-2</c:v>
                </c:pt>
                <c:pt idx="10">
                  <c:v>2.910942592185229E-5</c:v>
                </c:pt>
                <c:pt idx="11">
                  <c:v>2.8642790481370063E-2</c:v>
                </c:pt>
                <c:pt idx="12">
                  <c:v>3.2340270532831714E-2</c:v>
                </c:pt>
                <c:pt idx="13">
                  <c:v>3.5169566555079336E-2</c:v>
                </c:pt>
                <c:pt idx="14">
                  <c:v>1.9761052370404365E-2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8-4127-876B-0037C2C05BB7}"/>
            </c:ext>
          </c:extLst>
        </c:ser>
        <c:ser>
          <c:idx val="1"/>
          <c:order val="1"/>
          <c:tx>
            <c:strRef>
              <c:f>'Results Flue gas - membran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(GF)'!$K$62:$K$76</c:f>
              <c:numCache>
                <c:formatCode>0%</c:formatCode>
                <c:ptCount val="15"/>
                <c:pt idx="0">
                  <c:v>0.97407690309114936</c:v>
                </c:pt>
                <c:pt idx="1">
                  <c:v>0.98739655247610703</c:v>
                </c:pt>
                <c:pt idx="2">
                  <c:v>0.96156149121347867</c:v>
                </c:pt>
                <c:pt idx="3">
                  <c:v>0.95379677222136205</c:v>
                </c:pt>
                <c:pt idx="4">
                  <c:v>0.96993298464738309</c:v>
                </c:pt>
                <c:pt idx="5">
                  <c:v>0.98540197788459705</c:v>
                </c:pt>
                <c:pt idx="6">
                  <c:v>0.97394598196828963</c:v>
                </c:pt>
                <c:pt idx="7">
                  <c:v>0.98639599026981106</c:v>
                </c:pt>
                <c:pt idx="8">
                  <c:v>0.95998968788435501</c:v>
                </c:pt>
                <c:pt idx="9">
                  <c:v>0.9791915674250764</c:v>
                </c:pt>
                <c:pt idx="10">
                  <c:v>0.99997089057407818</c:v>
                </c:pt>
                <c:pt idx="11">
                  <c:v>0.97135720951862992</c:v>
                </c:pt>
                <c:pt idx="12">
                  <c:v>0.96765972946716827</c:v>
                </c:pt>
                <c:pt idx="13">
                  <c:v>0.96483043344492059</c:v>
                </c:pt>
                <c:pt idx="14">
                  <c:v>0.98023894762959574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8-4127-876B-0037C2C05BB7}"/>
            </c:ext>
          </c:extLst>
        </c:ser>
        <c:ser>
          <c:idx val="2"/>
          <c:order val="2"/>
          <c:tx>
            <c:strRef>
              <c:f>'Results Flue gas - membran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(GF)'!$M$62:$M$76</c:f>
              <c:numCache>
                <c:formatCode>0%</c:formatCode>
                <c:ptCount val="15"/>
                <c:pt idx="0">
                  <c:v>-5.2528521116779754E-2</c:v>
                </c:pt>
                <c:pt idx="1">
                  <c:v>-2.7171049942645995E-2</c:v>
                </c:pt>
                <c:pt idx="2">
                  <c:v>-0.11169238431487574</c:v>
                </c:pt>
                <c:pt idx="3">
                  <c:v>-1.6048207498926905E-2</c:v>
                </c:pt>
                <c:pt idx="4">
                  <c:v>-1.5422883884477146E-2</c:v>
                </c:pt>
                <c:pt idx="5">
                  <c:v>-2.0539045887686947E-2</c:v>
                </c:pt>
                <c:pt idx="6">
                  <c:v>-2.6054130223919125E-2</c:v>
                </c:pt>
                <c:pt idx="7">
                  <c:v>-1.4036727439257936E-2</c:v>
                </c:pt>
                <c:pt idx="8">
                  <c:v>-4.7496102836913925E-2</c:v>
                </c:pt>
                <c:pt idx="9">
                  <c:v>-2.5621308185990788E-2</c:v>
                </c:pt>
                <c:pt idx="10">
                  <c:v>-3.3862962366555087E-5</c:v>
                </c:pt>
                <c:pt idx="11">
                  <c:v>-6.3053903874378106E-2</c:v>
                </c:pt>
                <c:pt idx="12">
                  <c:v>-4.7490452547559472E-2</c:v>
                </c:pt>
                <c:pt idx="13">
                  <c:v>-3.3274247326084257E-2</c:v>
                </c:pt>
                <c:pt idx="14">
                  <c:v>-2.4250766025835785E-2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8-4127-876B-0037C2C0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3-45FC-86BB-B9C1FA533200}"/>
            </c:ext>
          </c:extLst>
        </c:ser>
        <c:ser>
          <c:idx val="1"/>
          <c:order val="1"/>
          <c:tx>
            <c:strRef>
              <c:f>'Results Flue gas - membran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(GF)'!$O$81:$O$95</c:f>
              <c:numCache>
                <c:formatCode>0%</c:formatCode>
                <c:ptCount val="15"/>
                <c:pt idx="0">
                  <c:v>0.13361396483318785</c:v>
                </c:pt>
                <c:pt idx="1">
                  <c:v>0.38250597939681491</c:v>
                </c:pt>
                <c:pt idx="2">
                  <c:v>0.18800648298217179</c:v>
                </c:pt>
                <c:pt idx="3">
                  <c:v>8.53302669940251E-2</c:v>
                </c:pt>
                <c:pt idx="4">
                  <c:v>0.40469405129721936</c:v>
                </c:pt>
                <c:pt idx="5">
                  <c:v>0.55816710664454305</c:v>
                </c:pt>
                <c:pt idx="6">
                  <c:v>0.42599015291564607</c:v>
                </c:pt>
                <c:pt idx="7">
                  <c:v>0.68142439436097058</c:v>
                </c:pt>
                <c:pt idx="8">
                  <c:v>0.17661297791865438</c:v>
                </c:pt>
                <c:pt idx="9">
                  <c:v>0.53347286316069298</c:v>
                </c:pt>
                <c:pt idx="10">
                  <c:v>0.99943291409447632</c:v>
                </c:pt>
                <c:pt idx="11">
                  <c:v>0.26709141690498961</c:v>
                </c:pt>
                <c:pt idx="12">
                  <c:v>0.3191226359104522</c:v>
                </c:pt>
                <c:pt idx="13">
                  <c:v>0.27995900480103042</c:v>
                </c:pt>
                <c:pt idx="14">
                  <c:v>0.34351968836514923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3-45FC-86BB-B9C1FA533200}"/>
            </c:ext>
          </c:extLst>
        </c:ser>
        <c:ser>
          <c:idx val="2"/>
          <c:order val="2"/>
          <c:tx>
            <c:strRef>
              <c:f>'Results Flue gas - membran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(GF)'!$P$81:$P$95</c:f>
              <c:numCache>
                <c:formatCode>0%</c:formatCode>
                <c:ptCount val="15"/>
                <c:pt idx="0">
                  <c:v>0.13687284202424124</c:v>
                </c:pt>
                <c:pt idx="1">
                  <c:v>6.5781283080980912E-2</c:v>
                </c:pt>
                <c:pt idx="2">
                  <c:v>0.20574938155762176</c:v>
                </c:pt>
                <c:pt idx="3">
                  <c:v>0.24892818729600266</c:v>
                </c:pt>
                <c:pt idx="4">
                  <c:v>0.15937950909112714</c:v>
                </c:pt>
                <c:pt idx="5">
                  <c:v>7.6176652271587778E-2</c:v>
                </c:pt>
                <c:pt idx="6">
                  <c:v>0.13759371864200454</c:v>
                </c:pt>
                <c:pt idx="7">
                  <c:v>7.0991600666874627E-2</c:v>
                </c:pt>
                <c:pt idx="8">
                  <c:v>0.21449121349293945</c:v>
                </c:pt>
                <c:pt idx="9">
                  <c:v>0.10936193694794206</c:v>
                </c:pt>
                <c:pt idx="10">
                  <c:v>1.496825108550797E-4</c:v>
                </c:pt>
                <c:pt idx="11">
                  <c:v>0.15176783315722775</c:v>
                </c:pt>
                <c:pt idx="12">
                  <c:v>0.17180714648099946</c:v>
                </c:pt>
                <c:pt idx="13">
                  <c:v>0.18755295566390709</c:v>
                </c:pt>
                <c:pt idx="14">
                  <c:v>0.10363814326948571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3-45FC-86BB-B9C1FA533200}"/>
            </c:ext>
          </c:extLst>
        </c:ser>
        <c:ser>
          <c:idx val="3"/>
          <c:order val="3"/>
          <c:tx>
            <c:strRef>
              <c:f>'Results Flue gas - membran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(GF)'!$Q$81:$Q$95</c:f>
              <c:numCache>
                <c:formatCode>0%</c:formatCode>
                <c:ptCount val="15"/>
                <c:pt idx="0">
                  <c:v>0.40308910119131897</c:v>
                </c:pt>
                <c:pt idx="1">
                  <c:v>0.24982025873484079</c:v>
                </c:pt>
                <c:pt idx="2">
                  <c:v>0.1446298728994285</c:v>
                </c:pt>
                <c:pt idx="3">
                  <c:v>0.13542548080939112</c:v>
                </c:pt>
                <c:pt idx="4">
                  <c:v>9.1663202618820189E-2</c:v>
                </c:pt>
                <c:pt idx="5">
                  <c:v>0.18637795253779055</c:v>
                </c:pt>
                <c:pt idx="6">
                  <c:v>0.13079802707063676</c:v>
                </c:pt>
                <c:pt idx="7">
                  <c:v>8.6092613786238892E-2</c:v>
                </c:pt>
                <c:pt idx="8">
                  <c:v>0.12968791368709279</c:v>
                </c:pt>
                <c:pt idx="9">
                  <c:v>0.11825854718968414</c:v>
                </c:pt>
                <c:pt idx="10">
                  <c:v>8.5965826981195933E-5</c:v>
                </c:pt>
                <c:pt idx="11">
                  <c:v>0.24212211369657269</c:v>
                </c:pt>
                <c:pt idx="12">
                  <c:v>0.13077938203525316</c:v>
                </c:pt>
                <c:pt idx="13">
                  <c:v>0.12452276938259592</c:v>
                </c:pt>
                <c:pt idx="14">
                  <c:v>0.27861971693162546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D3-45FC-86BB-B9C1FA533200}"/>
            </c:ext>
          </c:extLst>
        </c:ser>
        <c:ser>
          <c:idx val="4"/>
          <c:order val="4"/>
          <c:tx>
            <c:strRef>
              <c:f>'Results Flue gas - membran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(GF)'!$R$81:$R$95</c:f>
              <c:numCache>
                <c:formatCode>0%</c:formatCode>
                <c:ptCount val="15"/>
                <c:pt idx="0">
                  <c:v>3.8236463592226592E-2</c:v>
                </c:pt>
                <c:pt idx="1">
                  <c:v>0.16366989880158683</c:v>
                </c:pt>
                <c:pt idx="2">
                  <c:v>2.8729164889533396E-2</c:v>
                </c:pt>
                <c:pt idx="3">
                  <c:v>5.7525694850210762E-3</c:v>
                </c:pt>
                <c:pt idx="4">
                  <c:v>8.567023330362248E-3</c:v>
                </c:pt>
                <c:pt idx="5">
                  <c:v>1.8854413952238625E-2</c:v>
                </c:pt>
                <c:pt idx="6">
                  <c:v>1.5936155402792862E-2</c:v>
                </c:pt>
                <c:pt idx="7">
                  <c:v>1.2144143265853832E-2</c:v>
                </c:pt>
                <c:pt idx="8">
                  <c:v>2.788540939264782E-2</c:v>
                </c:pt>
                <c:pt idx="9">
                  <c:v>8.7871816206862227E-3</c:v>
                </c:pt>
                <c:pt idx="10">
                  <c:v>1.6207547898985122E-5</c:v>
                </c:pt>
                <c:pt idx="11">
                  <c:v>1.970710305909535E-2</c:v>
                </c:pt>
                <c:pt idx="12">
                  <c:v>1.6379179477698055E-2</c:v>
                </c:pt>
                <c:pt idx="13">
                  <c:v>1.3237560772073316E-2</c:v>
                </c:pt>
                <c:pt idx="14">
                  <c:v>5.5919396385058863E-2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D3-45FC-86BB-B9C1FA533200}"/>
            </c:ext>
          </c:extLst>
        </c:ser>
        <c:ser>
          <c:idx val="5"/>
          <c:order val="5"/>
          <c:tx>
            <c:strRef>
              <c:f>'Results Flue gas - membran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(GF)'!$S$81:$S$95</c:f>
              <c:numCache>
                <c:formatCode>0%</c:formatCode>
                <c:ptCount val="15"/>
                <c:pt idx="0">
                  <c:v>0.28818762835902539</c:v>
                </c:pt>
                <c:pt idx="1">
                  <c:v>0.13822257998577664</c:v>
                </c:pt>
                <c:pt idx="2">
                  <c:v>0.43288509767124456</c:v>
                </c:pt>
                <c:pt idx="3">
                  <c:v>0.52456349541556013</c:v>
                </c:pt>
                <c:pt idx="4">
                  <c:v>0.33569621366247121</c:v>
                </c:pt>
                <c:pt idx="5">
                  <c:v>0.16042387459383994</c:v>
                </c:pt>
                <c:pt idx="6">
                  <c:v>0.28968194596891977</c:v>
                </c:pt>
                <c:pt idx="7">
                  <c:v>0.14934724792006213</c:v>
                </c:pt>
                <c:pt idx="8">
                  <c:v>0.45132248550866561</c:v>
                </c:pt>
                <c:pt idx="9">
                  <c:v>0.23011947108099454</c:v>
                </c:pt>
                <c:pt idx="10">
                  <c:v>3.1523001978849517E-4</c:v>
                </c:pt>
                <c:pt idx="11">
                  <c:v>0.31931153318211469</c:v>
                </c:pt>
                <c:pt idx="12">
                  <c:v>0.36191165609559711</c:v>
                </c:pt>
                <c:pt idx="13">
                  <c:v>0.39472770938039331</c:v>
                </c:pt>
                <c:pt idx="14">
                  <c:v>0.21830305504868072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D3-45FC-86BB-B9C1FA533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(GF)'!$K$43:$K$57</c:f>
              <c:numCache>
                <c:formatCode>0%</c:formatCode>
                <c:ptCount val="15"/>
                <c:pt idx="0">
                  <c:v>2.1314453073763579E-2</c:v>
                </c:pt>
                <c:pt idx="1">
                  <c:v>9.3138464449244313E-3</c:v>
                </c:pt>
                <c:pt idx="2">
                  <c:v>3.5423298529088716E-2</c:v>
                </c:pt>
                <c:pt idx="3">
                  <c:v>4.170502658897339E-2</c:v>
                </c:pt>
                <c:pt idx="4">
                  <c:v>2.666291357733331E-2</c:v>
                </c:pt>
                <c:pt idx="5">
                  <c:v>1.2058436874867653E-2</c:v>
                </c:pt>
                <c:pt idx="6">
                  <c:v>2.0225638638678614E-2</c:v>
                </c:pt>
                <c:pt idx="7">
                  <c:v>1.1269650532504056E-2</c:v>
                </c:pt>
                <c:pt idx="8">
                  <c:v>3.5881432364503779E-2</c:v>
                </c:pt>
                <c:pt idx="9">
                  <c:v>1.6091606236590637E-2</c:v>
                </c:pt>
                <c:pt idx="10">
                  <c:v>3.0525593480646947E-5</c:v>
                </c:pt>
                <c:pt idx="11">
                  <c:v>1.3917302085663137E-2</c:v>
                </c:pt>
                <c:pt idx="12">
                  <c:v>2.4422184671670646E-2</c:v>
                </c:pt>
                <c:pt idx="13">
                  <c:v>2.9022582935140786E-2</c:v>
                </c:pt>
                <c:pt idx="14">
                  <c:v>4.9817517891854665E-3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A-40BC-AE76-6FE9C63775E6}"/>
            </c:ext>
          </c:extLst>
        </c:ser>
        <c:ser>
          <c:idx val="1"/>
          <c:order val="1"/>
          <c:tx>
            <c:strRef>
              <c:f>'Results SimaPro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(GF)'!$J$43:$J$57</c:f>
              <c:numCache>
                <c:formatCode>0%</c:formatCode>
                <c:ptCount val="15"/>
                <c:pt idx="0">
                  <c:v>0.97868554692623633</c:v>
                </c:pt>
                <c:pt idx="1">
                  <c:v>0.99068615355507561</c:v>
                </c:pt>
                <c:pt idx="2">
                  <c:v>0.96457670147091135</c:v>
                </c:pt>
                <c:pt idx="3">
                  <c:v>0.95829497341102665</c:v>
                </c:pt>
                <c:pt idx="4">
                  <c:v>0.9733370864226667</c:v>
                </c:pt>
                <c:pt idx="5">
                  <c:v>0.98794156312513237</c:v>
                </c:pt>
                <c:pt idx="6">
                  <c:v>0.97977436136132146</c:v>
                </c:pt>
                <c:pt idx="7">
                  <c:v>0.98873034946749594</c:v>
                </c:pt>
                <c:pt idx="8">
                  <c:v>0.96411856763549619</c:v>
                </c:pt>
                <c:pt idx="9">
                  <c:v>0.98390839376340944</c:v>
                </c:pt>
                <c:pt idx="10">
                  <c:v>0.9999694744065194</c:v>
                </c:pt>
                <c:pt idx="11">
                  <c:v>0.98608269791433689</c:v>
                </c:pt>
                <c:pt idx="12">
                  <c:v>0.97557781532832921</c:v>
                </c:pt>
                <c:pt idx="13">
                  <c:v>0.97097741706485918</c:v>
                </c:pt>
                <c:pt idx="14">
                  <c:v>0.99501824821081442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A-40BC-AE76-6FE9C637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F-46D3-9B9A-9A84FE09AB2D}"/>
            </c:ext>
          </c:extLst>
        </c:ser>
        <c:ser>
          <c:idx val="1"/>
          <c:order val="1"/>
          <c:tx>
            <c:strRef>
              <c:f>'Results Flue gas - membran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(GF)'!$O$103:$O$106</c:f>
              <c:numCache>
                <c:formatCode>0%</c:formatCode>
                <c:ptCount val="4"/>
                <c:pt idx="0">
                  <c:v>0.80480471441532642</c:v>
                </c:pt>
                <c:pt idx="1">
                  <c:v>0.53895254830219486</c:v>
                </c:pt>
                <c:pt idx="2">
                  <c:v>0.71000461035964457</c:v>
                </c:pt>
                <c:pt idx="3">
                  <c:v>0.71435295681210309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F-46D3-9B9A-9A84FE09AB2D}"/>
            </c:ext>
          </c:extLst>
        </c:ser>
        <c:ser>
          <c:idx val="2"/>
          <c:order val="2"/>
          <c:tx>
            <c:strRef>
              <c:f>'Results Flue gas - membran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(GF)'!$P$103:$P$106</c:f>
              <c:numCache>
                <c:formatCode>0%</c:formatCode>
                <c:ptCount val="4"/>
                <c:pt idx="0">
                  <c:v>1.1231229969825823E-7</c:v>
                </c:pt>
                <c:pt idx="1">
                  <c:v>3.665388183950946E-7</c:v>
                </c:pt>
                <c:pt idx="2">
                  <c:v>8.4370677724555156E-11</c:v>
                </c:pt>
                <c:pt idx="3">
                  <c:v>4.5962244508065541E-4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F-46D3-9B9A-9A84FE09AB2D}"/>
            </c:ext>
          </c:extLst>
        </c:ser>
        <c:ser>
          <c:idx val="3"/>
          <c:order val="3"/>
          <c:tx>
            <c:strRef>
              <c:f>'Results Flue gas - membran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(GF)'!$Q$103:$Q$106</c:f>
              <c:numCache>
                <c:formatCode>0%</c:formatCode>
                <c:ptCount val="4"/>
                <c:pt idx="0">
                  <c:v>0.19519517327237393</c:v>
                </c:pt>
                <c:pt idx="1">
                  <c:v>0.46104708515898662</c:v>
                </c:pt>
                <c:pt idx="2">
                  <c:v>0.2899953895559847</c:v>
                </c:pt>
                <c:pt idx="3">
                  <c:v>0.28518742074281633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9F-46D3-9B9A-9A84FE09A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(GF)'!$N$111:$N$114</c:f>
              <c:numCache>
                <c:formatCode>0%</c:formatCode>
                <c:ptCount val="4"/>
                <c:pt idx="0">
                  <c:v>0.51460747137495333</c:v>
                </c:pt>
                <c:pt idx="1">
                  <c:v>0.57486442143572403</c:v>
                </c:pt>
                <c:pt idx="2">
                  <c:v>0.5491223588690668</c:v>
                </c:pt>
                <c:pt idx="3">
                  <c:v>0.62683377858239142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8-448F-99EE-87C685B14C03}"/>
            </c:ext>
          </c:extLst>
        </c:ser>
        <c:ser>
          <c:idx val="1"/>
          <c:order val="1"/>
          <c:tx>
            <c:strRef>
              <c:f>'Results Flue gas - membran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(GF)'!$O$111:$O$114</c:f>
              <c:numCache>
                <c:formatCode>0%</c:formatCode>
                <c:ptCount val="4"/>
                <c:pt idx="0">
                  <c:v>0.43010977001822753</c:v>
                </c:pt>
                <c:pt idx="1">
                  <c:v>0.40528765068209088</c:v>
                </c:pt>
                <c:pt idx="2">
                  <c:v>0.27432842073507391</c:v>
                </c:pt>
                <c:pt idx="3">
                  <c:v>0.19029721369019623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8-448F-99EE-87C685B14C03}"/>
            </c:ext>
          </c:extLst>
        </c:ser>
        <c:ser>
          <c:idx val="2"/>
          <c:order val="2"/>
          <c:tx>
            <c:strRef>
              <c:f>'Results Flue gas - membran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(GF)'!$P$111:$P$114</c:f>
              <c:numCache>
                <c:formatCode>0%</c:formatCode>
                <c:ptCount val="4"/>
                <c:pt idx="0">
                  <c:v>7.0142901447740023E-4</c:v>
                </c:pt>
                <c:pt idx="1">
                  <c:v>4.171380271320971E-5</c:v>
                </c:pt>
                <c:pt idx="2">
                  <c:v>9.406830410864625E-3</c:v>
                </c:pt>
                <c:pt idx="3">
                  <c:v>6.5593462432641065E-3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8-448F-99EE-87C685B14C03}"/>
            </c:ext>
          </c:extLst>
        </c:ser>
        <c:ser>
          <c:idx val="3"/>
          <c:order val="3"/>
          <c:tx>
            <c:strRef>
              <c:f>'Results Flue gas - membran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(GF)'!$Q$111:$Q$114</c:f>
              <c:numCache>
                <c:formatCode>0%</c:formatCode>
                <c:ptCount val="4"/>
                <c:pt idx="0">
                  <c:v>1.2698013437583582E-7</c:v>
                </c:pt>
                <c:pt idx="1">
                  <c:v>6.1785219455625507E-7</c:v>
                </c:pt>
                <c:pt idx="2">
                  <c:v>1.0794855772293595E-10</c:v>
                </c:pt>
                <c:pt idx="3">
                  <c:v>5.8486413014178422E-4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8-448F-99EE-87C685B14C03}"/>
            </c:ext>
          </c:extLst>
        </c:ser>
        <c:ser>
          <c:idx val="4"/>
          <c:order val="4"/>
          <c:tx>
            <c:strRef>
              <c:f>'Results Flue gas - membran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(GF)'!$R$111:$R$114</c:f>
              <c:numCache>
                <c:formatCode>0%</c:formatCode>
                <c:ptCount val="4"/>
                <c:pt idx="0">
                  <c:v>1.6794286136293118E-2</c:v>
                </c:pt>
                <c:pt idx="1">
                  <c:v>2.5666701069640596E-3</c:v>
                </c:pt>
                <c:pt idx="2">
                  <c:v>0.13324430052693578</c:v>
                </c:pt>
                <c:pt idx="3">
                  <c:v>0.13444211606913464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D8-448F-99EE-87C685B14C03}"/>
            </c:ext>
          </c:extLst>
        </c:ser>
        <c:ser>
          <c:idx val="5"/>
          <c:order val="5"/>
          <c:tx>
            <c:strRef>
              <c:f>'Results Flue gas - membran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(GF)'!$S$111:$S$114</c:f>
              <c:numCache>
                <c:formatCode>0%</c:formatCode>
                <c:ptCount val="4"/>
                <c:pt idx="0">
                  <c:v>3.7786916475914263E-2</c:v>
                </c:pt>
                <c:pt idx="1">
                  <c:v>1.7238926120313153E-2</c:v>
                </c:pt>
                <c:pt idx="2">
                  <c:v>3.3898089350110495E-2</c:v>
                </c:pt>
                <c:pt idx="3">
                  <c:v>4.128268128487176E-2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D8-448F-99EE-87C685B1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(GF)'!$J$119:$J$122</c:f>
              <c:numCache>
                <c:formatCode>0%</c:formatCode>
                <c:ptCount val="4"/>
                <c:pt idx="0">
                  <c:v>0.95909961368470575</c:v>
                </c:pt>
                <c:pt idx="1">
                  <c:v>0.98329655943315297</c:v>
                </c:pt>
                <c:pt idx="2">
                  <c:v>0.96561513993878345</c:v>
                </c:pt>
                <c:pt idx="3">
                  <c:v>0.96331600105144488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2-4513-B2DF-9CAABEB5B186}"/>
            </c:ext>
          </c:extLst>
        </c:ser>
        <c:ser>
          <c:idx val="1"/>
          <c:order val="1"/>
          <c:tx>
            <c:strRef>
              <c:f>'Results Flue gas - membran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(GF)'!$K$119:$K$122</c:f>
              <c:numCache>
                <c:formatCode>0%</c:formatCode>
                <c:ptCount val="4"/>
                <c:pt idx="0">
                  <c:v>4.0900386315294232E-2</c:v>
                </c:pt>
                <c:pt idx="1">
                  <c:v>1.6703440566846965E-2</c:v>
                </c:pt>
                <c:pt idx="2">
                  <c:v>3.4384860061216528E-2</c:v>
                </c:pt>
                <c:pt idx="3">
                  <c:v>3.668399894855523E-2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2-4513-B2DF-9CAABEB5B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(GF)'!$K$127:$K$130</c:f>
              <c:numCache>
                <c:formatCode>0%</c:formatCode>
                <c:ptCount val="4"/>
                <c:pt idx="0">
                  <c:v>0.96353296383947551</c:v>
                </c:pt>
                <c:pt idx="1">
                  <c:v>0.9840805628277951</c:v>
                </c:pt>
                <c:pt idx="2">
                  <c:v>0.96765972946716827</c:v>
                </c:pt>
                <c:pt idx="3">
                  <c:v>0.96489669625523389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3-48F6-9533-AA657DFA0BDD}"/>
            </c:ext>
          </c:extLst>
        </c:ser>
        <c:ser>
          <c:idx val="1"/>
          <c:order val="1"/>
          <c:tx>
            <c:strRef>
              <c:f>'Results Flue gas - membran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(GF)'!$L$127:$L$130</c:f>
              <c:numCache>
                <c:formatCode>0%</c:formatCode>
                <c:ptCount val="4"/>
                <c:pt idx="0">
                  <c:v>3.6467036160524519E-2</c:v>
                </c:pt>
                <c:pt idx="1">
                  <c:v>1.5919437172204908E-2</c:v>
                </c:pt>
                <c:pt idx="2">
                  <c:v>3.2340270532831714E-2</c:v>
                </c:pt>
                <c:pt idx="3">
                  <c:v>3.5103303744766085E-2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3-48F6-9533-AA657DFA0BDD}"/>
            </c:ext>
          </c:extLst>
        </c:ser>
        <c:ser>
          <c:idx val="2"/>
          <c:order val="2"/>
          <c:tx>
            <c:strRef>
              <c:f>'Results Flue gas - membran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(GF)'!$M$127:$M$130</c:f>
              <c:numCache>
                <c:formatCode>0%</c:formatCode>
                <c:ptCount val="4"/>
                <c:pt idx="0">
                  <c:v>-0.10313992669332188</c:v>
                </c:pt>
                <c:pt idx="1">
                  <c:v>-1.7132028127475371E-2</c:v>
                </c:pt>
                <c:pt idx="2">
                  <c:v>-4.7490452547559472E-2</c:v>
                </c:pt>
                <c:pt idx="3">
                  <c:v>-3.3217057186485162E-2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3-48F6-9533-AA657DFA0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(GF)'!$O$135:$O$138</c:f>
              <c:numCache>
                <c:formatCode>0%</c:formatCode>
                <c:ptCount val="4"/>
                <c:pt idx="0">
                  <c:v>0.19378266331119692</c:v>
                </c:pt>
                <c:pt idx="1">
                  <c:v>0.63703933211168851</c:v>
                </c:pt>
                <c:pt idx="2">
                  <c:v>0.3191226359104522</c:v>
                </c:pt>
                <c:pt idx="3">
                  <c:v>0.28120939721868604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8-4D3C-894F-CF531D82A112}"/>
            </c:ext>
          </c:extLst>
        </c:ser>
        <c:ser>
          <c:idx val="1"/>
          <c:order val="1"/>
          <c:tx>
            <c:strRef>
              <c:f>'Results Flue gas - membran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(GF)'!$P$135:$P$138</c:f>
              <c:numCache>
                <c:formatCode>0%</c:formatCode>
                <c:ptCount val="4"/>
                <c:pt idx="0">
                  <c:v>0.19464010872407833</c:v>
                </c:pt>
                <c:pt idx="1">
                  <c:v>8.3158427784639596E-2</c:v>
                </c:pt>
                <c:pt idx="2">
                  <c:v>0.17180714648099946</c:v>
                </c:pt>
                <c:pt idx="3">
                  <c:v>0.18708236287187585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8-4D3C-894F-CF531D82A112}"/>
            </c:ext>
          </c:extLst>
        </c:ser>
        <c:ser>
          <c:idx val="2"/>
          <c:order val="2"/>
          <c:tx>
            <c:strRef>
              <c:f>'Results Flue gas - membran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(GF)'!$Q$135:$Q$138</c:f>
              <c:numCache>
                <c:formatCode>0%</c:formatCode>
                <c:ptCount val="4"/>
                <c:pt idx="0">
                  <c:v>0.16594998520906662</c:v>
                </c:pt>
                <c:pt idx="1">
                  <c:v>9.1804354845378064E-2</c:v>
                </c:pt>
                <c:pt idx="2">
                  <c:v>0.13077938203525316</c:v>
                </c:pt>
                <c:pt idx="3">
                  <c:v>0.124490677010936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8-4D3C-894F-CF531D82A112}"/>
            </c:ext>
          </c:extLst>
        </c:ser>
        <c:ser>
          <c:idx val="3"/>
          <c:order val="3"/>
          <c:tx>
            <c:strRef>
              <c:f>'Results Flue gas - membran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(GF)'!$R$135:$R$138</c:f>
              <c:numCache>
                <c:formatCode>0%</c:formatCode>
                <c:ptCount val="4"/>
                <c:pt idx="0">
                  <c:v>3.5785484306605331E-2</c:v>
                </c:pt>
                <c:pt idx="1">
                  <c:v>1.2820252530656231E-2</c:v>
                </c:pt>
                <c:pt idx="2">
                  <c:v>1.6379179477698055E-2</c:v>
                </c:pt>
                <c:pt idx="3">
                  <c:v>1.3260612849319989E-2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68-4D3C-894F-CF531D82A112}"/>
            </c:ext>
          </c:extLst>
        </c:ser>
        <c:ser>
          <c:idx val="4"/>
          <c:order val="4"/>
          <c:tx>
            <c:strRef>
              <c:f>'Results Flue gas - membran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(GF)'!$S$135:$S$138</c:f>
              <c:numCache>
                <c:formatCode>0%</c:formatCode>
                <c:ptCount val="4"/>
                <c:pt idx="0">
                  <c:v>0.40984175844905274</c:v>
                </c:pt>
                <c:pt idx="1">
                  <c:v>0.17517763272763756</c:v>
                </c:pt>
                <c:pt idx="2">
                  <c:v>0.36191165609559711</c:v>
                </c:pt>
                <c:pt idx="3">
                  <c:v>0.39395695004918196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68-4D3C-894F-CF531D82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(GF)'!$AF$7,'Results Flue gas - membran (GF)'!$AF$10,'Results Flue gas - membran (GF)'!$AF$13,'Results Flue gas - membran (GF)'!$AF$16)</c:f>
              <c:numCache>
                <c:formatCode>0.00%</c:formatCode>
                <c:ptCount val="4"/>
                <c:pt idx="0">
                  <c:v>0.28922432604357745</c:v>
                </c:pt>
                <c:pt idx="1">
                  <c:v>0.19797198887468367</c:v>
                </c:pt>
                <c:pt idx="2">
                  <c:v>0.46125142445037381</c:v>
                </c:pt>
                <c:pt idx="3">
                  <c:v>0.28580830375879174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3-4DBA-8633-BB2DBAD9B6E1}"/>
            </c:ext>
          </c:extLst>
        </c:ser>
        <c:ser>
          <c:idx val="1"/>
          <c:order val="1"/>
          <c:tx>
            <c:strRef>
              <c:f>'Results Flue gas - membran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(GF)'!$AG$7,'Results Flue gas - membran (GF)'!$AG$10,'Results Flue gas - membran (GF)'!$AG$13,'Results Flue gas - membran (GF)'!$AG$16)</c:f>
              <c:numCache>
                <c:formatCode>0.00%</c:formatCode>
                <c:ptCount val="4"/>
                <c:pt idx="0">
                  <c:v>0.32047285924672109</c:v>
                </c:pt>
                <c:pt idx="1">
                  <c:v>0.38929840434823426</c:v>
                </c:pt>
                <c:pt idx="2">
                  <c:v>0.22904118736696982</c:v>
                </c:pt>
                <c:pt idx="3">
                  <c:v>0.26651221665416419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3-4DBA-8633-BB2DBAD9B6E1}"/>
            </c:ext>
          </c:extLst>
        </c:ser>
        <c:ser>
          <c:idx val="2"/>
          <c:order val="2"/>
          <c:tx>
            <c:strRef>
              <c:f>'Results Flue gas - membran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(GF)'!$AH$7,'Results Flue gas - membran (GF)'!$AH$10,'Results Flue gas - membran (GF)'!$AH$13,'Results Flue gas - membran (GF)'!$AH$16)</c:f>
              <c:numCache>
                <c:formatCode>0.00%</c:formatCode>
                <c:ptCount val="4"/>
                <c:pt idx="0">
                  <c:v>1.3420507665292033E-2</c:v>
                </c:pt>
                <c:pt idx="1">
                  <c:v>1.6880800360942194E-2</c:v>
                </c:pt>
                <c:pt idx="2">
                  <c:v>5.1731789516224307E-3</c:v>
                </c:pt>
                <c:pt idx="3">
                  <c:v>1.6422673558460808E-2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3-4DBA-8633-BB2DBAD9B6E1}"/>
            </c:ext>
          </c:extLst>
        </c:ser>
        <c:ser>
          <c:idx val="3"/>
          <c:order val="3"/>
          <c:tx>
            <c:strRef>
              <c:f>'Results Flue gas - membran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(GF)'!$AI$7,'Results Flue gas - membran (GF)'!$AI$10,'Results Flue gas - membran (GF)'!$AI$13,'Results Flue gas - membran (GF)'!$AI$16)</c:f>
              <c:numCache>
                <c:formatCode>0.00%</c:formatCode>
                <c:ptCount val="4"/>
                <c:pt idx="0">
                  <c:v>-5.9945179186127098E-3</c:v>
                </c:pt>
                <c:pt idx="1">
                  <c:v>-2.9427538278534785E-2</c:v>
                </c:pt>
                <c:pt idx="2">
                  <c:v>-3.7571213861048105E-4</c:v>
                </c:pt>
                <c:pt idx="3">
                  <c:v>8.4140568692632912E-4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3-4DBA-8633-BB2DBAD9B6E1}"/>
            </c:ext>
          </c:extLst>
        </c:ser>
        <c:ser>
          <c:idx val="4"/>
          <c:order val="4"/>
          <c:tx>
            <c:strRef>
              <c:f>'Results Flue gas - membran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(GF)'!$AJ$7,'Results Flue gas - membran (GF)'!$AJ$10,'Results Flue gas - membran (GF)'!$AJ$13,'Results Flue gas - membran (GF)'!$AJ$16)</c:f>
              <c:numCache>
                <c:formatCode>0.00%</c:formatCode>
                <c:ptCount val="4"/>
                <c:pt idx="0">
                  <c:v>0.38287682496302211</c:v>
                </c:pt>
                <c:pt idx="1">
                  <c:v>0.42527634469467462</c:v>
                </c:pt>
                <c:pt idx="2">
                  <c:v>0.3049099213696444</c:v>
                </c:pt>
                <c:pt idx="3">
                  <c:v>0.43041540034165698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3-4DBA-8633-BB2DBAD9B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(GF)'!$AN$7,'Results Flue gas - membran (GF)'!$AN$10,'Results Flue gas - membran (GF)'!$AN$13,'Results Flue gas - membran (GF)'!$AN$16)</c:f>
              <c:numCache>
                <c:formatCode>0.0%</c:formatCode>
                <c:ptCount val="4"/>
                <c:pt idx="0">
                  <c:v>0.45087764113093326</c:v>
                </c:pt>
                <c:pt idx="1">
                  <c:v>0.48539252862504662</c:v>
                </c:pt>
                <c:pt idx="2">
                  <c:v>0.42513557856427597</c:v>
                </c:pt>
                <c:pt idx="3">
                  <c:v>0.37316622141760852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3-4579-8F91-C98AF3FBF3E7}"/>
            </c:ext>
          </c:extLst>
        </c:ser>
        <c:ser>
          <c:idx val="1"/>
          <c:order val="1"/>
          <c:tx>
            <c:strRef>
              <c:f>'Results Flue gas - membran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(GF)'!$AO$7,'Results Flue gas - membran (GF)'!$AO$10,'Results Flue gas - membran (GF)'!$AO$13,'Results Flue gas - membran (GF)'!$AO$16)</c:f>
              <c:numCache>
                <c:formatCode>0.0%</c:formatCode>
                <c:ptCount val="4"/>
                <c:pt idx="0">
                  <c:v>1.8881495466197998E-2</c:v>
                </c:pt>
                <c:pt idx="1">
                  <c:v>2.1047644379972343E-2</c:v>
                </c:pt>
                <c:pt idx="2">
                  <c:v>9.6022136974465086E-3</c:v>
                </c:pt>
                <c:pt idx="3">
                  <c:v>2.2994769674435311E-2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3-4579-8F91-C98AF3FBF3E7}"/>
            </c:ext>
          </c:extLst>
        </c:ser>
        <c:ser>
          <c:idx val="2"/>
          <c:order val="2"/>
          <c:tx>
            <c:strRef>
              <c:f>'Results Flue gas - membran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(GF)'!$AP$7,'Results Flue gas - membran (GF)'!$AP$10,'Results Flue gas - membran (GF)'!$AP$13,'Results Flue gas - membran (GF)'!$AP$16)</c:f>
              <c:numCache>
                <c:formatCode>0.0%</c:formatCode>
                <c:ptCount val="4"/>
                <c:pt idx="0">
                  <c:v>-8.433769103612019E-3</c:v>
                </c:pt>
                <c:pt idx="1">
                  <c:v>-3.6691409614541176E-2</c:v>
                </c:pt>
                <c:pt idx="2">
                  <c:v>-6.973793633277117E-4</c:v>
                </c:pt>
                <c:pt idx="3">
                  <c:v>1.1781230324499749E-3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3-4579-8F91-C98AF3FBF3E7}"/>
            </c:ext>
          </c:extLst>
        </c:ser>
        <c:ser>
          <c:idx val="3"/>
          <c:order val="3"/>
          <c:tx>
            <c:strRef>
              <c:f>'Results Flue gas - membran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(GF)'!$AQ$7,'Results Flue gas - membran (GF)'!$AQ$10,'Results Flue gas - membran (GF)'!$AQ$13,'Results Flue gas - membran (GF)'!$AQ$16)</c:f>
              <c:numCache>
                <c:formatCode>0.0%</c:formatCode>
                <c:ptCount val="4"/>
                <c:pt idx="0">
                  <c:v>0.53867463250648073</c:v>
                </c:pt>
                <c:pt idx="1">
                  <c:v>0.53025123660952223</c:v>
                </c:pt>
                <c:pt idx="2">
                  <c:v>0.56595958710160521</c:v>
                </c:pt>
                <c:pt idx="3">
                  <c:v>0.60266088587550615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3-4579-8F91-C98AF3FB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(GF)'!$AN$38,'Results Flue gas - membran (GF)'!$AN$41,'Results Flue gas - membran (GF)'!$AN$44,'Results Flue gas - membran (GF)'!$AN$47,'Results Flue gas - membran (GF)'!$AN$50,'Results Flue gas - membran (GF)'!$AN$53,'Results Flue gas - membran (GF)'!$AN$56,'Results Flue gas - membran (GF)'!$AN$59,'Results Flue gas - membran (GF)'!$AN$62,'Results Flue gas - membran (GF)'!$AN$65,'Results Flue gas - membran (GF)'!$AN$68,'Results Flue gas - membran (GF)'!$AN$71,'Results Flue gas - membran (GF)'!$AN$74,'Results Flue gas - membran (GF)'!$AN$77,'Results Flue gas - membran (GF)'!$AN$80)</c:f>
              <c:numCache>
                <c:formatCode>0.0%</c:formatCode>
                <c:ptCount val="15"/>
                <c:pt idx="0">
                  <c:v>0.34830983795860282</c:v>
                </c:pt>
                <c:pt idx="1">
                  <c:v>0.7354774190726675</c:v>
                </c:pt>
                <c:pt idx="2">
                  <c:v>0.4665243169984572</c:v>
                </c:pt>
                <c:pt idx="3">
                  <c:v>0.1679760985364927</c:v>
                </c:pt>
                <c:pt idx="4">
                  <c:v>0.27400488047664656</c:v>
                </c:pt>
                <c:pt idx="5">
                  <c:v>0.4375183485396284</c:v>
                </c:pt>
                <c:pt idx="6">
                  <c:v>0.41147598090735943</c:v>
                </c:pt>
                <c:pt idx="7">
                  <c:v>0.32528097153305108</c:v>
                </c:pt>
                <c:pt idx="8">
                  <c:v>0.45964977918132366</c:v>
                </c:pt>
                <c:pt idx="9">
                  <c:v>0.76646541904617194</c:v>
                </c:pt>
                <c:pt idx="10">
                  <c:v>6.5584759153966131E-4</c:v>
                </c:pt>
                <c:pt idx="11">
                  <c:v>0.85939998102153636</c:v>
                </c:pt>
                <c:pt idx="12">
                  <c:v>0.45087764113093326</c:v>
                </c:pt>
                <c:pt idx="13">
                  <c:v>0.37251608955793941</c:v>
                </c:pt>
                <c:pt idx="14">
                  <c:v>0.75884353152205386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F-46B0-B23B-A4FA31A0D509}"/>
            </c:ext>
          </c:extLst>
        </c:ser>
        <c:ser>
          <c:idx val="1"/>
          <c:order val="1"/>
          <c:tx>
            <c:strRef>
              <c:f>'Results Flue gas - membran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(GF)'!$AO$38,'Results Flue gas - membran (GF)'!$AO$41,'Results Flue gas - membran (GF)'!$AO$44,'Results Flue gas - membran (GF)'!$AO$47,'Results Flue gas - membran (GF)'!$AO$50,'Results Flue gas - membran (GF)'!$AO$53,'Results Flue gas - membran (GF)'!$AO$56,'Results Flue gas - membran (GF)'!$AO$59,'Results Flue gas - membran (GF)'!$AO$62,'Results Flue gas - membran (GF)'!$AO$65,'Results Flue gas - membran (GF)'!$AO$68,'Results Flue gas - membran (GF)'!$AO$71,'Results Flue gas - membran (GF)'!$AO$74,'Results Flue gas - membran (GF)'!$AO$77,'Results Flue gas - membran (GF)'!$AO$80)</c:f>
              <c:numCache>
                <c:formatCode>0.0%</c:formatCode>
                <c:ptCount val="15"/>
                <c:pt idx="0">
                  <c:v>1.8178752514798165E-2</c:v>
                </c:pt>
                <c:pt idx="1">
                  <c:v>3.5460357669176473E-3</c:v>
                </c:pt>
                <c:pt idx="2">
                  <c:v>2.3159758190279274E-2</c:v>
                </c:pt>
                <c:pt idx="3">
                  <c:v>3.9052162941076253E-2</c:v>
                </c:pt>
                <c:pt idx="4">
                  <c:v>2.2531475207044526E-2</c:v>
                </c:pt>
                <c:pt idx="5">
                  <c:v>8.6571137637283472E-3</c:v>
                </c:pt>
                <c:pt idx="6">
                  <c:v>1.6061130504141739E-2</c:v>
                </c:pt>
                <c:pt idx="7">
                  <c:v>9.6245061258596141E-3</c:v>
                </c:pt>
                <c:pt idx="8">
                  <c:v>2.2800585668810831E-2</c:v>
                </c:pt>
                <c:pt idx="9">
                  <c:v>5.1160162215114786E-3</c:v>
                </c:pt>
                <c:pt idx="10">
                  <c:v>3.050977383180982E-5</c:v>
                </c:pt>
                <c:pt idx="11">
                  <c:v>4.3677401259705822E-3</c:v>
                </c:pt>
                <c:pt idx="12">
                  <c:v>1.8881495466197998E-2</c:v>
                </c:pt>
                <c:pt idx="13">
                  <c:v>2.3061787472697968E-2</c:v>
                </c:pt>
                <c:pt idx="14">
                  <c:v>5.0157010023911168E-3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F-46B0-B23B-A4FA31A0D509}"/>
            </c:ext>
          </c:extLst>
        </c:ser>
        <c:ser>
          <c:idx val="2"/>
          <c:order val="2"/>
          <c:tx>
            <c:strRef>
              <c:f>'Results Flue gas - membran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(GF)'!$AP$38,'Results Flue gas - membran (GF)'!$AP$41,'Results Flue gas - membran (GF)'!$AP$44,'Results Flue gas - membran (GF)'!$AP$47,'Results Flue gas - membran (GF)'!$AP$50,'Results Flue gas - membran (GF)'!$AP$53,'Results Flue gas - membran (GF)'!$AP$56,'Results Flue gas - membran (GF)'!$AP$59,'Results Flue gas - membran (GF)'!$AP$62,'Results Flue gas - membran (GF)'!$AP$65,'Results Flue gas - membran (GF)'!$AP$68,'Results Flue gas - membran (GF)'!$AP$71,'Results Flue gas - membran (GF)'!$AP$74,'Results Flue gas - membran (GF)'!$AP$77,'Results Flue gas - membran (GF)'!$AP$80)</c:f>
              <c:numCache>
                <c:formatCode>0.0%</c:formatCode>
                <c:ptCount val="15"/>
                <c:pt idx="0">
                  <c:v>-1.7789284602936044E-2</c:v>
                </c:pt>
                <c:pt idx="1">
                  <c:v>-3.9079866509858247E-3</c:v>
                </c:pt>
                <c:pt idx="2">
                  <c:v>-4.2082966053858799E-2</c:v>
                </c:pt>
                <c:pt idx="3">
                  <c:v>2.4302083738879498E-2</c:v>
                </c:pt>
                <c:pt idx="4">
                  <c:v>1.0462983469560965E-2</c:v>
                </c:pt>
                <c:pt idx="5">
                  <c:v>-3.3592811743189057E-3</c:v>
                </c:pt>
                <c:pt idx="6">
                  <c:v>-6.5943989184516107E-8</c:v>
                </c:pt>
                <c:pt idx="7">
                  <c:v>-2.9189543467916215E-4</c:v>
                </c:pt>
                <c:pt idx="8">
                  <c:v>-4.0674565932380816E-3</c:v>
                </c:pt>
                <c:pt idx="9">
                  <c:v>-1.1282575743405084E-3</c:v>
                </c:pt>
                <c:pt idx="10">
                  <c:v>-4.7504346836797854E-6</c:v>
                </c:pt>
                <c:pt idx="11">
                  <c:v>-5.0033875105153216E-3</c:v>
                </c:pt>
                <c:pt idx="12">
                  <c:v>-8.433769103612019E-3</c:v>
                </c:pt>
                <c:pt idx="13">
                  <c:v>1.1850029534491145E-3</c:v>
                </c:pt>
                <c:pt idx="14">
                  <c:v>-1.0865542000181004E-3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F-46B0-B23B-A4FA31A0D509}"/>
            </c:ext>
          </c:extLst>
        </c:ser>
        <c:ser>
          <c:idx val="3"/>
          <c:order val="3"/>
          <c:tx>
            <c:strRef>
              <c:f>'Results Flue gas - membran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(GF)'!$AQ$38,'Results Flue gas - membran (GF)'!$AQ$41,'Results Flue gas - membran (GF)'!$AQ$44,'Results Flue gas - membran (GF)'!$AQ$47,'Results Flue gas - membran (GF)'!$AQ$50,'Results Flue gas - membran (GF)'!$AQ$53,'Results Flue gas - membran (GF)'!$AQ$56,'Results Flue gas - membran (GF)'!$AQ$59,'Results Flue gas - membran (GF)'!$AQ$62,'Results Flue gas - membran (GF)'!$AQ$65,'Results Flue gas - membran (GF)'!$AQ$68,'Results Flue gas - membran (GF)'!$AQ$71,'Results Flue gas - membran (GF)'!$AQ$74,'Results Flue gas - membran (GF)'!$AQ$77,'Results Flue gas - membran (GF)'!$AQ$80)</c:f>
              <c:numCache>
                <c:formatCode>0.0%</c:formatCode>
                <c:ptCount val="15"/>
                <c:pt idx="0">
                  <c:v>0.65130069412953506</c:v>
                </c:pt>
                <c:pt idx="1">
                  <c:v>0.26488453181140065</c:v>
                </c:pt>
                <c:pt idx="2">
                  <c:v>0.55239889086512239</c:v>
                </c:pt>
                <c:pt idx="3">
                  <c:v>0.76866965478355154</c:v>
                </c:pt>
                <c:pt idx="4">
                  <c:v>0.69300066084674794</c:v>
                </c:pt>
                <c:pt idx="5">
                  <c:v>0.55718381887096213</c:v>
                </c:pt>
                <c:pt idx="6">
                  <c:v>0.57246295453248797</c:v>
                </c:pt>
                <c:pt idx="7">
                  <c:v>0.66538641777576846</c:v>
                </c:pt>
                <c:pt idx="8">
                  <c:v>0.52161709174310356</c:v>
                </c:pt>
                <c:pt idx="9">
                  <c:v>0.22954682230665699</c:v>
                </c:pt>
                <c:pt idx="10">
                  <c:v>0.99931839306931225</c:v>
                </c:pt>
                <c:pt idx="11">
                  <c:v>0.14123566636300844</c:v>
                </c:pt>
                <c:pt idx="12">
                  <c:v>0.53867463250648073</c:v>
                </c:pt>
                <c:pt idx="13">
                  <c:v>0.60323712001591345</c:v>
                </c:pt>
                <c:pt idx="14">
                  <c:v>0.23722732167557306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EF-46B0-B23B-A4FA31A0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(GF)'!$AF$38,'Results Flue gas - membran (GF)'!$AF$41,'Results Flue gas - membran (GF)'!$AF$44,'Results Flue gas - membran (GF)'!$AF$47,'Results Flue gas - membran (GF)'!$AF$50,'Results Flue gas - membran (GF)'!$AF$53,'Results Flue gas - membran (GF)'!$AF$56,'Results Flue gas - membran (GF)'!$AF$59,'Results Flue gas - membran (GF)'!$AF$62,'Results Flue gas - membran (GF)'!$AF$65,'Results Flue gas - membran (GF)'!$AF$68,'Results Flue gas - membran (GF)'!$AF$71,'Results Flue gas - membran (GF)'!$AF$74,'Results Flue gas - membran (GF)'!$AF$77,'Results Flue gas - membran (GF)'!$AF$80)</c:f>
              <c:numCache>
                <c:formatCode>0.0%</c:formatCode>
                <c:ptCount val="15"/>
                <c:pt idx="0">
                  <c:v>0.17072722119377248</c:v>
                </c:pt>
                <c:pt idx="1">
                  <c:v>0.19452162758954156</c:v>
                </c:pt>
                <c:pt idx="2">
                  <c:v>0.19750827056610581</c:v>
                </c:pt>
                <c:pt idx="3">
                  <c:v>0.13447636367332702</c:v>
                </c:pt>
                <c:pt idx="4">
                  <c:v>0.3994714040584274</c:v>
                </c:pt>
                <c:pt idx="5">
                  <c:v>0.42405408162701896</c:v>
                </c:pt>
                <c:pt idx="6">
                  <c:v>0.36696754081907246</c:v>
                </c:pt>
                <c:pt idx="7">
                  <c:v>0.5178036095197579</c:v>
                </c:pt>
                <c:pt idx="8">
                  <c:v>0.17910581935320918</c:v>
                </c:pt>
                <c:pt idx="9">
                  <c:v>0.22530919215213657</c:v>
                </c:pt>
                <c:pt idx="10">
                  <c:v>-629.78604405143142</c:v>
                </c:pt>
                <c:pt idx="11">
                  <c:v>8.2399879372330523E-2</c:v>
                </c:pt>
                <c:pt idx="12">
                  <c:v>0.28922432604357745</c:v>
                </c:pt>
                <c:pt idx="13">
                  <c:v>0.28628688518341944</c:v>
                </c:pt>
                <c:pt idx="14">
                  <c:v>0.17197736173863565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E-4666-8DA2-66EE8B223B9B}"/>
            </c:ext>
          </c:extLst>
        </c:ser>
        <c:ser>
          <c:idx val="1"/>
          <c:order val="1"/>
          <c:tx>
            <c:strRef>
              <c:f>'Results Flue gas - membran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(GF)'!$AG$38,'Results Flue gas - membran (GF)'!$AG$41,'Results Flue gas - membran (GF)'!$AG$44,'Results Flue gas - membran (GF)'!$AG$47,'Results Flue gas - membran (GF)'!$AG$50,'Results Flue gas - membran (GF)'!$AG$53,'Results Flue gas - membran (GF)'!$AG$56,'Results Flue gas - membran (GF)'!$AG$59,'Results Flue gas - membran (GF)'!$AG$62,'Results Flue gas - membran (GF)'!$AG$65,'Results Flue gas - membran (GF)'!$AG$68,'Results Flue gas - membran (GF)'!$AG$71,'Results Flue gas - membran (GF)'!$AG$74,'Results Flue gas - membran (GF)'!$AG$77,'Results Flue gas - membran (GF)'!$AG$80)</c:f>
              <c:numCache>
                <c:formatCode>0.0%</c:formatCode>
                <c:ptCount val="15"/>
                <c:pt idx="0">
                  <c:v>0.28884386720947736</c:v>
                </c:pt>
                <c:pt idx="1">
                  <c:v>0.59241115445929693</c:v>
                </c:pt>
                <c:pt idx="2">
                  <c:v>0.37438190597105819</c:v>
                </c:pt>
                <c:pt idx="3">
                  <c:v>0.14538728362127271</c:v>
                </c:pt>
                <c:pt idx="4">
                  <c:v>0.16454776615377897</c:v>
                </c:pt>
                <c:pt idx="5">
                  <c:v>0.25198690705468629</c:v>
                </c:pt>
                <c:pt idx="6">
                  <c:v>0.26047765208767015</c:v>
                </c:pt>
                <c:pt idx="7">
                  <c:v>0.1568493103651436</c:v>
                </c:pt>
                <c:pt idx="8">
                  <c:v>0.37732382886553101</c:v>
                </c:pt>
                <c:pt idx="9">
                  <c:v>0.59377371466833018</c:v>
                </c:pt>
                <c:pt idx="10">
                  <c:v>0.41369950776793651</c:v>
                </c:pt>
                <c:pt idx="11">
                  <c:v>0.78858552625277867</c:v>
                </c:pt>
                <c:pt idx="12">
                  <c:v>0.32047285924672109</c:v>
                </c:pt>
                <c:pt idx="13">
                  <c:v>0.26586961859768915</c:v>
                </c:pt>
                <c:pt idx="14">
                  <c:v>0.6283396229984618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E-4666-8DA2-66EE8B223B9B}"/>
            </c:ext>
          </c:extLst>
        </c:ser>
        <c:ser>
          <c:idx val="2"/>
          <c:order val="2"/>
          <c:tx>
            <c:strRef>
              <c:f>'Results Flue gas - membran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(GF)'!$AH$38,'Results Flue gas - membran (GF)'!$AH$41,'Results Flue gas - membran (GF)'!$AH$44,'Results Flue gas - membran (GF)'!$AH$47,'Results Flue gas - membran (GF)'!$AH$50,'Results Flue gas - membran (GF)'!$AH$53,'Results Flue gas - membran (GF)'!$AH$56,'Results Flue gas - membran (GF)'!$AH$59,'Results Flue gas - membran (GF)'!$AH$62,'Results Flue gas - membran (GF)'!$AH$65,'Results Flue gas - membran (GF)'!$AH$68,'Results Flue gas - membran (GF)'!$AH$71,'Results Flue gas - membran (GF)'!$AH$74,'Results Flue gas - membran (GF)'!$AH$77,'Results Flue gas - membran (GF)'!$AH$80)</c:f>
              <c:numCache>
                <c:formatCode>0.0%</c:formatCode>
                <c:ptCount val="15"/>
                <c:pt idx="0">
                  <c:v>1.5075144613177357E-2</c:v>
                </c:pt>
                <c:pt idx="1">
                  <c:v>2.8562551180461044E-3</c:v>
                </c:pt>
                <c:pt idx="2">
                  <c:v>1.858551440338797E-2</c:v>
                </c:pt>
                <c:pt idx="3">
                  <c:v>3.3800570075182043E-2</c:v>
                </c:pt>
                <c:pt idx="4">
                  <c:v>1.3530795170578796E-2</c:v>
                </c:pt>
                <c:pt idx="5">
                  <c:v>4.9860293371098725E-3</c:v>
                </c:pt>
                <c:pt idx="6">
                  <c:v>1.0167216940262647E-2</c:v>
                </c:pt>
                <c:pt idx="7">
                  <c:v>4.6409021140444923E-3</c:v>
                </c:pt>
                <c:pt idx="8">
                  <c:v>1.8716868090865393E-2</c:v>
                </c:pt>
                <c:pt idx="9">
                  <c:v>3.9633307396055081E-3</c:v>
                </c:pt>
                <c:pt idx="10">
                  <c:v>1.924513954028054E-2</c:v>
                </c:pt>
                <c:pt idx="11">
                  <c:v>4.0078388664609192E-3</c:v>
                </c:pt>
                <c:pt idx="12">
                  <c:v>1.3420507665292033E-2</c:v>
                </c:pt>
                <c:pt idx="13">
                  <c:v>1.6459500170377294E-2</c:v>
                </c:pt>
                <c:pt idx="14">
                  <c:v>4.1531139767300735E-3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BE-4666-8DA2-66EE8B223B9B}"/>
            </c:ext>
          </c:extLst>
        </c:ser>
        <c:ser>
          <c:idx val="3"/>
          <c:order val="3"/>
          <c:tx>
            <c:strRef>
              <c:f>'Results Flue gas - membran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(GF)'!$AI$38,'Results Flue gas - membran (GF)'!$AI$41,'Results Flue gas - membran (GF)'!$AI$44,'Results Flue gas - membran (GF)'!$AI$47,'Results Flue gas - membran (GF)'!$AI$50,'Results Flue gas - membran (GF)'!$AI$53,'Results Flue gas - membran (GF)'!$AI$56,'Results Flue gas - membran (GF)'!$AI$59,'Results Flue gas - membran (GF)'!$AI$62,'Results Flue gas - membran (GF)'!$AI$65,'Results Flue gas - membran (GF)'!$AI$68,'Results Flue gas - membran (GF)'!$AI$71,'Results Flue gas - membran (GF)'!$AI$74,'Results Flue gas - membran (GF)'!$AI$77,'Results Flue gas - membran (GF)'!$AI$80)</c:f>
              <c:numCache>
                <c:formatCode>0.0%</c:formatCode>
                <c:ptCount val="15"/>
                <c:pt idx="0">
                  <c:v>-1.47521694756516E-2</c:v>
                </c:pt>
                <c:pt idx="1">
                  <c:v>-3.1477987270378642E-3</c:v>
                </c:pt>
                <c:pt idx="2">
                  <c:v>-3.3771232208268984E-2</c:v>
                </c:pt>
                <c:pt idx="3">
                  <c:v>2.1034027887990348E-2</c:v>
                </c:pt>
                <c:pt idx="4">
                  <c:v>6.2833207723353634E-3</c:v>
                </c:pt>
                <c:pt idx="5">
                  <c:v>-1.934764281016146E-3</c:v>
                </c:pt>
                <c:pt idx="6">
                  <c:v>-4.1744685632946154E-8</c:v>
                </c:pt>
                <c:pt idx="7">
                  <c:v>-1.4075092499995213E-4</c:v>
                </c:pt>
                <c:pt idx="8">
                  <c:v>-3.3389514474225241E-3</c:v>
                </c:pt>
                <c:pt idx="9">
                  <c:v>-8.7405077172631167E-4</c:v>
                </c:pt>
                <c:pt idx="10">
                  <c:v>-2.9965079016152371E-3</c:v>
                </c:pt>
                <c:pt idx="11">
                  <c:v>-4.5911089831958424E-3</c:v>
                </c:pt>
                <c:pt idx="12">
                  <c:v>-5.9945179186127098E-3</c:v>
                </c:pt>
                <c:pt idx="13">
                  <c:v>8.4575214897299211E-4</c:v>
                </c:pt>
                <c:pt idx="14">
                  <c:v>-8.9969147531295836E-4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BE-4666-8DA2-66EE8B223B9B}"/>
            </c:ext>
          </c:extLst>
        </c:ser>
        <c:ser>
          <c:idx val="4"/>
          <c:order val="4"/>
          <c:tx>
            <c:strRef>
              <c:f>'Results Flue gas - membran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(GF)'!$AJ$38,'Results Flue gas - membran (GF)'!$AJ$41,'Results Flue gas - membran (GF)'!$AJ$44,'Results Flue gas - membran (GF)'!$AJ$47,'Results Flue gas - membran (GF)'!$AJ$50,'Results Flue gas - membran (GF)'!$AJ$53,'Results Flue gas - membran (GF)'!$AJ$56,'Results Flue gas - membran (GF)'!$AJ$59,'Results Flue gas - membran (GF)'!$AJ$62,'Results Flue gas - membran (GF)'!$AJ$65,'Results Flue gas - membran (GF)'!$AJ$68,'Results Flue gas - membran (GF)'!$AJ$71,'Results Flue gas - membran (GF)'!$AJ$74,'Results Flue gas - membran (GF)'!$AJ$77,'Results Flue gas - membran (GF)'!$AJ$80)</c:f>
              <c:numCache>
                <c:formatCode>0.0%</c:formatCode>
                <c:ptCount val="15"/>
                <c:pt idx="0">
                  <c:v>0.54010593645922444</c:v>
                </c:pt>
                <c:pt idx="1">
                  <c:v>0.21335876156015329</c:v>
                </c:pt>
                <c:pt idx="2">
                  <c:v>0.44329554126771697</c:v>
                </c:pt>
                <c:pt idx="3">
                  <c:v>0.66530175474222786</c:v>
                </c:pt>
                <c:pt idx="4">
                  <c:v>0.41616671384487947</c:v>
                </c:pt>
                <c:pt idx="5">
                  <c:v>0.32090774626220103</c:v>
                </c:pt>
                <c:pt idx="6">
                  <c:v>0.36238763189768036</c:v>
                </c:pt>
                <c:pt idx="7">
                  <c:v>0.32084692892605393</c:v>
                </c:pt>
                <c:pt idx="8">
                  <c:v>0.42819243513781691</c:v>
                </c:pt>
                <c:pt idx="9">
                  <c:v>0.17782781321165406</c:v>
                </c:pt>
                <c:pt idx="10">
                  <c:v>630.35609591202478</c:v>
                </c:pt>
                <c:pt idx="11">
                  <c:v>0.12959786449162583</c:v>
                </c:pt>
                <c:pt idx="12">
                  <c:v>0.38287682496302211</c:v>
                </c:pt>
                <c:pt idx="13">
                  <c:v>0.4305382438995411</c:v>
                </c:pt>
                <c:pt idx="14">
                  <c:v>0.19642959276148536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BE-4666-8DA2-66EE8B223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9-4B69-9E88-E676E0061A58}"/>
            </c:ext>
          </c:extLst>
        </c:ser>
        <c:ser>
          <c:idx val="1"/>
          <c:order val="1"/>
          <c:tx>
            <c:strRef>
              <c:f>'Results Biogas - membrane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(GF)'!$O$5:$O$19</c:f>
              <c:numCache>
                <c:formatCode>0%</c:formatCode>
                <c:ptCount val="15"/>
                <c:pt idx="0">
                  <c:v>0.8299457828422101</c:v>
                </c:pt>
                <c:pt idx="1">
                  <c:v>0.80650667530849129</c:v>
                </c:pt>
                <c:pt idx="2">
                  <c:v>0.80414398781229501</c:v>
                </c:pt>
                <c:pt idx="3">
                  <c:v>0.8672806647198924</c:v>
                </c:pt>
                <c:pt idx="4">
                  <c:v>0.60204081632567052</c:v>
                </c:pt>
                <c:pt idx="5">
                  <c:v>0.57663981875465975</c:v>
                </c:pt>
                <c:pt idx="6">
                  <c:v>0.6350332058274728</c:v>
                </c:pt>
                <c:pt idx="7">
                  <c:v>0.483103872956966</c:v>
                </c:pt>
                <c:pt idx="8">
                  <c:v>0.82244163122419012</c:v>
                </c:pt>
                <c:pt idx="9">
                  <c:v>0.77485380116959068</c:v>
                </c:pt>
                <c:pt idx="10">
                  <c:v>0.85167250585457865</c:v>
                </c:pt>
                <c:pt idx="11">
                  <c:v>0.91769459804338582</c:v>
                </c:pt>
                <c:pt idx="12">
                  <c:v>0.71133547492878635</c:v>
                </c:pt>
                <c:pt idx="13">
                  <c:v>0.71594379290499699</c:v>
                </c:pt>
                <c:pt idx="14">
                  <c:v>0.82800952023048979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9-4B69-9E88-E676E0061A58}"/>
            </c:ext>
          </c:extLst>
        </c:ser>
        <c:ser>
          <c:idx val="2"/>
          <c:order val="2"/>
          <c:tx>
            <c:strRef>
              <c:f>'Results Biogas - membrane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(GF)'!$P$5:$P$19</c:f>
              <c:numCache>
                <c:formatCode>0%</c:formatCode>
                <c:ptCount val="15"/>
                <c:pt idx="0">
                  <c:v>2.0020324802438615E-8</c:v>
                </c:pt>
                <c:pt idx="1">
                  <c:v>2.1575337810800404E-7</c:v>
                </c:pt>
                <c:pt idx="2">
                  <c:v>8.3867777869993964E-8</c:v>
                </c:pt>
                <c:pt idx="3">
                  <c:v>2.8992667754324931E-6</c:v>
                </c:pt>
                <c:pt idx="4">
                  <c:v>1.4285714285693878E-12</c:v>
                </c:pt>
                <c:pt idx="5">
                  <c:v>4.3649444508264115E-6</c:v>
                </c:pt>
                <c:pt idx="6">
                  <c:v>3.5250555915654774E-5</c:v>
                </c:pt>
                <c:pt idx="7">
                  <c:v>1.4267834589920759E-8</c:v>
                </c:pt>
                <c:pt idx="8">
                  <c:v>2.3366268049896564E-7</c:v>
                </c:pt>
                <c:pt idx="9">
                  <c:v>0</c:v>
                </c:pt>
                <c:pt idx="10">
                  <c:v>2.5071707475719054E-6</c:v>
                </c:pt>
                <c:pt idx="11">
                  <c:v>0</c:v>
                </c:pt>
                <c:pt idx="12">
                  <c:v>8.3983478652882512E-11</c:v>
                </c:pt>
                <c:pt idx="13">
                  <c:v>4.3231990571570975E-4</c:v>
                </c:pt>
                <c:pt idx="14">
                  <c:v>1.1649755730928222E-2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C9-4B69-9E88-E676E0061A58}"/>
            </c:ext>
          </c:extLst>
        </c:ser>
        <c:ser>
          <c:idx val="3"/>
          <c:order val="3"/>
          <c:tx>
            <c:strRef>
              <c:f>'Results Biogas - membrane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(GF)'!$Q$5:$Q$19</c:f>
              <c:numCache>
                <c:formatCode>0%</c:formatCode>
                <c:ptCount val="15"/>
                <c:pt idx="0">
                  <c:v>0.17005419713746506</c:v>
                </c:pt>
                <c:pt idx="1">
                  <c:v>0.19349310893813057</c:v>
                </c:pt>
                <c:pt idx="2">
                  <c:v>0.19585592831992707</c:v>
                </c:pt>
                <c:pt idx="3">
                  <c:v>0.13271643601333225</c:v>
                </c:pt>
                <c:pt idx="4">
                  <c:v>0.3979591836729009</c:v>
                </c:pt>
                <c:pt idx="5">
                  <c:v>0.42335581630088948</c:v>
                </c:pt>
                <c:pt idx="6">
                  <c:v>0.36493154361661156</c:v>
                </c:pt>
                <c:pt idx="7">
                  <c:v>0.51689611277519931</c:v>
                </c:pt>
                <c:pt idx="8">
                  <c:v>0.17755813511312943</c:v>
                </c:pt>
                <c:pt idx="9">
                  <c:v>0.22514619883040937</c:v>
                </c:pt>
                <c:pt idx="10">
                  <c:v>0.14832498697467381</c:v>
                </c:pt>
                <c:pt idx="11">
                  <c:v>8.2305401956614205E-2</c:v>
                </c:pt>
                <c:pt idx="12">
                  <c:v>0.28866452498723011</c:v>
                </c:pt>
                <c:pt idx="13">
                  <c:v>0.28362388718928727</c:v>
                </c:pt>
                <c:pt idx="14">
                  <c:v>0.16034072403858199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9-4B69-9E88-E676E006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(GF)'!$L$62:$L$76</c:f>
              <c:numCache>
                <c:formatCode>0%</c:formatCode>
                <c:ptCount val="15"/>
                <c:pt idx="0">
                  <c:v>1.9927007376801659E-2</c:v>
                </c:pt>
                <c:pt idx="1">
                  <c:v>8.7941021926195972E-3</c:v>
                </c:pt>
                <c:pt idx="2">
                  <c:v>3.1781835819664657E-2</c:v>
                </c:pt>
                <c:pt idx="3">
                  <c:v>4.0905857415259136E-2</c:v>
                </c:pt>
                <c:pt idx="4">
                  <c:v>2.5772542823045707E-2</c:v>
                </c:pt>
                <c:pt idx="5">
                  <c:v>1.1450177383544547E-2</c:v>
                </c:pt>
                <c:pt idx="6">
                  <c:v>1.9302881895103357E-2</c:v>
                </c:pt>
                <c:pt idx="7">
                  <c:v>1.0747335987623884E-2</c:v>
                </c:pt>
                <c:pt idx="8">
                  <c:v>3.4051075093265798E-2</c:v>
                </c:pt>
                <c:pt idx="9">
                  <c:v>1.5300163797779927E-2</c:v>
                </c:pt>
                <c:pt idx="10">
                  <c:v>2.9105418242501413E-5</c:v>
                </c:pt>
                <c:pt idx="11">
                  <c:v>1.3070327612358847E-2</c:v>
                </c:pt>
                <c:pt idx="12">
                  <c:v>2.3060679430745579E-2</c:v>
                </c:pt>
                <c:pt idx="13">
                  <c:v>2.775127626133814E-2</c:v>
                </c:pt>
                <c:pt idx="14">
                  <c:v>4.7459743005630762E-3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F-4AC5-950D-B1C8C88F58A7}"/>
            </c:ext>
          </c:extLst>
        </c:ser>
        <c:ser>
          <c:idx val="1"/>
          <c:order val="1"/>
          <c:tx>
            <c:strRef>
              <c:f>'Results SimaPro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(GF)'!$K$62:$K$76</c:f>
              <c:numCache>
                <c:formatCode>0%</c:formatCode>
                <c:ptCount val="15"/>
                <c:pt idx="0">
                  <c:v>0.98007299262319836</c:v>
                </c:pt>
                <c:pt idx="1">
                  <c:v>0.99120589780738044</c:v>
                </c:pt>
                <c:pt idx="2">
                  <c:v>0.96821816418033546</c:v>
                </c:pt>
                <c:pt idx="3">
                  <c:v>0.95909414258474091</c:v>
                </c:pt>
                <c:pt idx="4">
                  <c:v>0.97422745717695425</c:v>
                </c:pt>
                <c:pt idx="5">
                  <c:v>0.98854982261645552</c:v>
                </c:pt>
                <c:pt idx="6">
                  <c:v>0.98069711810489668</c:v>
                </c:pt>
                <c:pt idx="7">
                  <c:v>0.9892526640123761</c:v>
                </c:pt>
                <c:pt idx="8">
                  <c:v>0.96594892490673412</c:v>
                </c:pt>
                <c:pt idx="9">
                  <c:v>0.98469983620222001</c:v>
                </c:pt>
                <c:pt idx="10">
                  <c:v>0.99997089458175747</c:v>
                </c:pt>
                <c:pt idx="11">
                  <c:v>0.98692967238764118</c:v>
                </c:pt>
                <c:pt idx="12">
                  <c:v>0.97693932056925437</c:v>
                </c:pt>
                <c:pt idx="13">
                  <c:v>0.97224872373866178</c:v>
                </c:pt>
                <c:pt idx="14">
                  <c:v>0.99525402569943688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F-4AC5-950D-B1C8C88F58A7}"/>
            </c:ext>
          </c:extLst>
        </c:ser>
        <c:ser>
          <c:idx val="2"/>
          <c:order val="2"/>
          <c:tx>
            <c:strRef>
              <c:f>'Results SimaPro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(GF)'!$M$62:$M$76</c:f>
              <c:numCache>
                <c:formatCode>0%</c:formatCode>
                <c:ptCount val="15"/>
                <c:pt idx="0">
                  <c:v>-4.0378517715959183E-2</c:v>
                </c:pt>
                <c:pt idx="1">
                  <c:v>-1.8958700738303549E-2</c:v>
                </c:pt>
                <c:pt idx="2">
                  <c:v>-9.2349810975159832E-2</c:v>
                </c:pt>
                <c:pt idx="3">
                  <c:v>-1.4208221421564027E-2</c:v>
                </c:pt>
                <c:pt idx="4">
                  <c:v>-1.3220033006467126E-2</c:v>
                </c:pt>
                <c:pt idx="5">
                  <c:v>-1.6110108399865548E-2</c:v>
                </c:pt>
                <c:pt idx="6">
                  <c:v>-1.9302965055699648E-2</c:v>
                </c:pt>
                <c:pt idx="7">
                  <c:v>-1.108918833405898E-2</c:v>
                </c:pt>
                <c:pt idx="8">
                  <c:v>-4.0421913222337243E-2</c:v>
                </c:pt>
                <c:pt idx="9">
                  <c:v>-1.8839007241298618E-2</c:v>
                </c:pt>
                <c:pt idx="10">
                  <c:v>-3.3858300237683145E-5</c:v>
                </c:pt>
                <c:pt idx="11">
                  <c:v>-2.8772866296401578E-2</c:v>
                </c:pt>
                <c:pt idx="12">
                  <c:v>-3.3863727420888771E-2</c:v>
                </c:pt>
                <c:pt idx="13">
                  <c:v>-2.6255735436703731E-2</c:v>
                </c:pt>
                <c:pt idx="14">
                  <c:v>-5.8242602757309359E-3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F-4AC5-950D-B1C8C88F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(GF)'!$N$24:$N$38</c:f>
              <c:numCache>
                <c:formatCode>0%</c:formatCode>
                <c:ptCount val="15"/>
                <c:pt idx="0">
                  <c:v>0.65453689170010942</c:v>
                </c:pt>
                <c:pt idx="1">
                  <c:v>0.26565995579396023</c:v>
                </c:pt>
                <c:pt idx="2">
                  <c:v>0.53826233676501334</c:v>
                </c:pt>
                <c:pt idx="3">
                  <c:v>0.83496148786120439</c:v>
                </c:pt>
                <c:pt idx="4">
                  <c:v>0.72876551880352303</c:v>
                </c:pt>
                <c:pt idx="5">
                  <c:v>0.56419686507420419</c:v>
                </c:pt>
                <c:pt idx="6">
                  <c:v>0.59148436531121318</c:v>
                </c:pt>
                <c:pt idx="7">
                  <c:v>0.67612610703153742</c:v>
                </c:pt>
                <c:pt idx="8">
                  <c:v>0.54522186490444291</c:v>
                </c:pt>
                <c:pt idx="9">
                  <c:v>0.23529040676122168</c:v>
                </c:pt>
                <c:pt idx="10">
                  <c:v>0.99934416154827099</c:v>
                </c:pt>
                <c:pt idx="11">
                  <c:v>0.14229337131417788</c:v>
                </c:pt>
                <c:pt idx="12">
                  <c:v>0.55299524484167573</c:v>
                </c:pt>
                <c:pt idx="13">
                  <c:v>0.6314878371144752</c:v>
                </c:pt>
                <c:pt idx="14">
                  <c:v>0.24289934531627316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2-442F-877A-A28D49BE76DD}"/>
            </c:ext>
          </c:extLst>
        </c:ser>
        <c:ser>
          <c:idx val="1"/>
          <c:order val="1"/>
          <c:tx>
            <c:strRef>
              <c:f>'Results Biogas - membrane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(GF)'!$O$24:$O$38</c:f>
              <c:numCache>
                <c:formatCode>0%</c:formatCode>
                <c:ptCount val="15"/>
                <c:pt idx="0">
                  <c:v>0.31292179328186276</c:v>
                </c:pt>
                <c:pt idx="1">
                  <c:v>0.72762204002444542</c:v>
                </c:pt>
                <c:pt idx="2">
                  <c:v>0.40026353470397452</c:v>
                </c:pt>
                <c:pt idx="3">
                  <c:v>9.527244425353075E-2</c:v>
                </c:pt>
                <c:pt idx="4">
                  <c:v>0.23079965929752932</c:v>
                </c:pt>
                <c:pt idx="5">
                  <c:v>0.24383261271339457</c:v>
                </c:pt>
                <c:pt idx="6">
                  <c:v>0.37965761950990806</c:v>
                </c:pt>
                <c:pt idx="7">
                  <c:v>0.30608941064729056</c:v>
                </c:pt>
                <c:pt idx="8">
                  <c:v>0.38118533289709339</c:v>
                </c:pt>
                <c:pt idx="9">
                  <c:v>0.75514086153413262</c:v>
                </c:pt>
                <c:pt idx="10">
                  <c:v>5.6202477161430646E-4</c:v>
                </c:pt>
                <c:pt idx="11">
                  <c:v>0.75736794976667576</c:v>
                </c:pt>
                <c:pt idx="12">
                  <c:v>0.27197203266959363</c:v>
                </c:pt>
                <c:pt idx="13">
                  <c:v>0.1870360731350017</c:v>
                </c:pt>
                <c:pt idx="14">
                  <c:v>0.73514679723204224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2-442F-877A-A28D49BE76DD}"/>
            </c:ext>
          </c:extLst>
        </c:ser>
        <c:ser>
          <c:idx val="2"/>
          <c:order val="2"/>
          <c:tx>
            <c:strRef>
              <c:f>'Results Biogas - membrane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8.1098841515008478E-4</c:v>
                </c:pt>
                <c:pt idx="3">
                  <c:v>0</c:v>
                </c:pt>
                <c:pt idx="4">
                  <c:v>0</c:v>
                </c:pt>
                <c:pt idx="5">
                  <c:v>1.5300793354644847E-2</c:v>
                </c:pt>
                <c:pt idx="6">
                  <c:v>1.1527396801934386E-10</c:v>
                </c:pt>
                <c:pt idx="7">
                  <c:v>1.1482067818931199E-9</c:v>
                </c:pt>
                <c:pt idx="8">
                  <c:v>6.5633596072913196E-4</c:v>
                </c:pt>
                <c:pt idx="9">
                  <c:v>0</c:v>
                </c:pt>
                <c:pt idx="10">
                  <c:v>2.5890070308727836E-6</c:v>
                </c:pt>
                <c:pt idx="11">
                  <c:v>9.2448544379995043E-2</c:v>
                </c:pt>
                <c:pt idx="12">
                  <c:v>9.3260289289956912E-3</c:v>
                </c:pt>
                <c:pt idx="13">
                  <c:v>6.5113863656306916E-3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2-442F-877A-A28D49BE76DD}"/>
            </c:ext>
          </c:extLst>
        </c:ser>
        <c:ser>
          <c:idx val="3"/>
          <c:order val="3"/>
          <c:tx>
            <c:strRef>
              <c:f>'Results Biogas - membrane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(GF)'!$Q$24:$Q$38</c:f>
              <c:numCache>
                <c:formatCode>0%</c:formatCode>
                <c:ptCount val="15"/>
                <c:pt idx="0">
                  <c:v>2.1866438943326693E-8</c:v>
                </c:pt>
                <c:pt idx="1">
                  <c:v>2.4367451793814467E-7</c:v>
                </c:pt>
                <c:pt idx="2">
                  <c:v>9.4825183747369548E-8</c:v>
                </c:pt>
                <c:pt idx="3">
                  <c:v>3.0351246713946434E-6</c:v>
                </c:pt>
                <c:pt idx="4">
                  <c:v>2.1517081393969247E-12</c:v>
                </c:pt>
                <c:pt idx="5">
                  <c:v>6.8687148505282337E-6</c:v>
                </c:pt>
                <c:pt idx="6">
                  <c:v>5.0400592789120578E-5</c:v>
                </c:pt>
                <c:pt idx="7">
                  <c:v>2.6748758580851433E-8</c:v>
                </c:pt>
                <c:pt idx="8">
                  <c:v>2.5821722128158173E-7</c:v>
                </c:pt>
                <c:pt idx="9">
                  <c:v>0</c:v>
                </c:pt>
                <c:pt idx="10">
                  <c:v>3.6344764433826136E-9</c:v>
                </c:pt>
                <c:pt idx="11">
                  <c:v>0</c:v>
                </c:pt>
                <c:pt idx="12">
                  <c:v>1.070213162347134E-10</c:v>
                </c:pt>
                <c:pt idx="13">
                  <c:v>5.4809202769060916E-4</c:v>
                </c:pt>
                <c:pt idx="14">
                  <c:v>1.2776676563394521E-2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2-442F-877A-A28D49BE76DD}"/>
            </c:ext>
          </c:extLst>
        </c:ser>
        <c:ser>
          <c:idx val="4"/>
          <c:order val="4"/>
          <c:tx>
            <c:strRef>
              <c:f>'Results Biogas - membrane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(GF)'!$R$24:$R$38</c:f>
              <c:numCache>
                <c:formatCode>0%</c:formatCode>
                <c:ptCount val="15"/>
                <c:pt idx="0">
                  <c:v>1.7157068272725755E-4</c:v>
                </c:pt>
                <c:pt idx="1">
                  <c:v>3.6138470366662721E-4</c:v>
                </c:pt>
                <c:pt idx="2">
                  <c:v>1.9510881780350344E-2</c:v>
                </c:pt>
                <c:pt idx="3">
                  <c:v>8.7849720440733774E-4</c:v>
                </c:pt>
                <c:pt idx="4">
                  <c:v>3.9276042407484959E-4</c:v>
                </c:pt>
                <c:pt idx="5">
                  <c:v>0.16118142441507136</c:v>
                </c:pt>
                <c:pt idx="6">
                  <c:v>1.8039714417793077E-4</c:v>
                </c:pt>
                <c:pt idx="7">
                  <c:v>5.8025119317270976E-4</c:v>
                </c:pt>
                <c:pt idx="8">
                  <c:v>3.2435978567226707E-2</c:v>
                </c:pt>
                <c:pt idx="9">
                  <c:v>4.0495010816741481E-4</c:v>
                </c:pt>
                <c:pt idx="10">
                  <c:v>3.6447425386534156E-5</c:v>
                </c:pt>
                <c:pt idx="11">
                  <c:v>6.3819494795899857E-5</c:v>
                </c:pt>
                <c:pt idx="12">
                  <c:v>0.13209977718985816</c:v>
                </c:pt>
                <c:pt idx="13">
                  <c:v>0.13345862572870906</c:v>
                </c:pt>
                <c:pt idx="14">
                  <c:v>1.9313403520876871E-4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C2-442F-877A-A28D49BE76DD}"/>
            </c:ext>
          </c:extLst>
        </c:ser>
        <c:ser>
          <c:idx val="5"/>
          <c:order val="5"/>
          <c:tx>
            <c:strRef>
              <c:f>'Results Biogas - membrane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(GF)'!$S$24:$S$38</c:f>
              <c:numCache>
                <c:formatCode>0%</c:formatCode>
                <c:ptCount val="15"/>
                <c:pt idx="0">
                  <c:v>3.2369722468861738E-2</c:v>
                </c:pt>
                <c:pt idx="1">
                  <c:v>6.3563758034098205E-3</c:v>
                </c:pt>
                <c:pt idx="2">
                  <c:v>4.1152163510327806E-2</c:v>
                </c:pt>
                <c:pt idx="3">
                  <c:v>6.8884535556186233E-2</c:v>
                </c:pt>
                <c:pt idx="4">
                  <c:v>4.004206147272104E-2</c:v>
                </c:pt>
                <c:pt idx="5">
                  <c:v>1.5481435727834576E-2</c:v>
                </c:pt>
                <c:pt idx="6">
                  <c:v>2.8627217326637654E-2</c:v>
                </c:pt>
                <c:pt idx="7">
                  <c:v>1.7204203231033912E-2</c:v>
                </c:pt>
                <c:pt idx="8">
                  <c:v>4.0500229453286615E-2</c:v>
                </c:pt>
                <c:pt idx="9">
                  <c:v>9.1637815964781648E-3</c:v>
                </c:pt>
                <c:pt idx="10">
                  <c:v>5.4773613220830145E-5</c:v>
                </c:pt>
                <c:pt idx="11">
                  <c:v>7.8263150443554988E-3</c:v>
                </c:pt>
                <c:pt idx="12">
                  <c:v>3.3606916262855627E-2</c:v>
                </c:pt>
                <c:pt idx="13">
                  <c:v>4.0957985628492809E-2</c:v>
                </c:pt>
                <c:pt idx="14">
                  <c:v>8.9840468530812886E-3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C2-442F-877A-A28D49BE7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(GF)'!$K$43:$K$57</c:f>
              <c:numCache>
                <c:formatCode>0%</c:formatCode>
                <c:ptCount val="15"/>
                <c:pt idx="0">
                  <c:v>2.7546465517893762E-2</c:v>
                </c:pt>
                <c:pt idx="1">
                  <c:v>1.3327383156098967E-2</c:v>
                </c:pt>
                <c:pt idx="2">
                  <c:v>4.2585430621487216E-2</c:v>
                </c:pt>
                <c:pt idx="3">
                  <c:v>4.5953273933945063E-2</c:v>
                </c:pt>
                <c:pt idx="4">
                  <c:v>3.0604720110840117E-2</c:v>
                </c:pt>
                <c:pt idx="5">
                  <c:v>1.5283982609667139E-2</c:v>
                </c:pt>
                <c:pt idx="6">
                  <c:v>2.6958581372207267E-2</c:v>
                </c:pt>
                <c:pt idx="7">
                  <c:v>1.4173203762526147E-2</c:v>
                </c:pt>
                <c:pt idx="8">
                  <c:v>4.1375690955943359E-2</c:v>
                </c:pt>
                <c:pt idx="9">
                  <c:v>2.1693601861008438E-2</c:v>
                </c:pt>
                <c:pt idx="10">
                  <c:v>3.0529370986791253E-5</c:v>
                </c:pt>
                <c:pt idx="11">
                  <c:v>3.0634835187850717E-2</c:v>
                </c:pt>
                <c:pt idx="12">
                  <c:v>3.3850760925145218E-2</c:v>
                </c:pt>
                <c:pt idx="13">
                  <c:v>3.6127238530130536E-2</c:v>
                </c:pt>
                <c:pt idx="14">
                  <c:v>2.0601871796118963E-2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1-4450-A4DA-28DDD245D816}"/>
            </c:ext>
          </c:extLst>
        </c:ser>
        <c:ser>
          <c:idx val="1"/>
          <c:order val="1"/>
          <c:tx>
            <c:strRef>
              <c:f>'Results Biogas - membrane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(GF)'!$J$43:$J$57</c:f>
              <c:numCache>
                <c:formatCode>0%</c:formatCode>
                <c:ptCount val="15"/>
                <c:pt idx="0">
                  <c:v>0.97245353448210614</c:v>
                </c:pt>
                <c:pt idx="1">
                  <c:v>0.98667261684390106</c:v>
                </c:pt>
                <c:pt idx="2">
                  <c:v>0.95741456937851277</c:v>
                </c:pt>
                <c:pt idx="3">
                  <c:v>0.9540467260660549</c:v>
                </c:pt>
                <c:pt idx="4">
                  <c:v>0.96939527988915986</c:v>
                </c:pt>
                <c:pt idx="5">
                  <c:v>0.98471601739033288</c:v>
                </c:pt>
                <c:pt idx="6">
                  <c:v>0.9730414186277927</c:v>
                </c:pt>
                <c:pt idx="7">
                  <c:v>0.98582679623747393</c:v>
                </c:pt>
                <c:pt idx="8">
                  <c:v>0.9586243090440566</c:v>
                </c:pt>
                <c:pt idx="9">
                  <c:v>0.97830639813899156</c:v>
                </c:pt>
                <c:pt idx="10">
                  <c:v>0.9999694706290132</c:v>
                </c:pt>
                <c:pt idx="11">
                  <c:v>0.96936516481214929</c:v>
                </c:pt>
                <c:pt idx="12">
                  <c:v>0.96614923907485473</c:v>
                </c:pt>
                <c:pt idx="13">
                  <c:v>0.96387276146986955</c:v>
                </c:pt>
                <c:pt idx="14">
                  <c:v>0.97939812820388106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1-4450-A4DA-28DDD245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(GF)'!$L$62:$L$76</c:f>
              <c:numCache>
                <c:formatCode>0%</c:formatCode>
                <c:ptCount val="15"/>
                <c:pt idx="0">
                  <c:v>2.5607506679427575E-2</c:v>
                </c:pt>
                <c:pt idx="1">
                  <c:v>1.2531098849164689E-2</c:v>
                </c:pt>
                <c:pt idx="2">
                  <c:v>3.7757174159586473E-2</c:v>
                </c:pt>
                <c:pt idx="3">
                  <c:v>4.5204823938345046E-2</c:v>
                </c:pt>
                <c:pt idx="4">
                  <c:v>2.964324430725011E-2</c:v>
                </c:pt>
                <c:pt idx="5">
                  <c:v>1.4497114401966925E-2</c:v>
                </c:pt>
                <c:pt idx="6">
                  <c:v>2.5736714857497994E-2</c:v>
                </c:pt>
                <c:pt idx="7">
                  <c:v>1.3516953751954311E-2</c:v>
                </c:pt>
                <c:pt idx="8">
                  <c:v>3.9236769974090445E-2</c:v>
                </c:pt>
                <c:pt idx="9">
                  <c:v>2.0606601680068889E-2</c:v>
                </c:pt>
                <c:pt idx="10">
                  <c:v>2.9109019991631677E-5</c:v>
                </c:pt>
                <c:pt idx="11">
                  <c:v>2.8259082174291527E-2</c:v>
                </c:pt>
                <c:pt idx="12">
                  <c:v>3.1844643369253356E-2</c:v>
                </c:pt>
                <c:pt idx="13">
                  <c:v>3.4568832928781996E-2</c:v>
                </c:pt>
                <c:pt idx="14">
                  <c:v>1.9574852733919023E-2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7-419C-A629-E9F432D76468}"/>
            </c:ext>
          </c:extLst>
        </c:ser>
        <c:ser>
          <c:idx val="1"/>
          <c:order val="1"/>
          <c:tx>
            <c:strRef>
              <c:f>'Results Biogas - membrane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(GF)'!$K$62:$K$76</c:f>
              <c:numCache>
                <c:formatCode>0%</c:formatCode>
                <c:ptCount val="15"/>
                <c:pt idx="0">
                  <c:v>0.97439249332057243</c:v>
                </c:pt>
                <c:pt idx="1">
                  <c:v>0.98746890115083541</c:v>
                </c:pt>
                <c:pt idx="2">
                  <c:v>0.96224282584041354</c:v>
                </c:pt>
                <c:pt idx="3">
                  <c:v>0.95479517606165498</c:v>
                </c:pt>
                <c:pt idx="4">
                  <c:v>0.97035675569274982</c:v>
                </c:pt>
                <c:pt idx="5">
                  <c:v>0.98550288559803312</c:v>
                </c:pt>
                <c:pt idx="6">
                  <c:v>0.97426328514250193</c:v>
                </c:pt>
                <c:pt idx="7">
                  <c:v>0.98648304624804561</c:v>
                </c:pt>
                <c:pt idx="8">
                  <c:v>0.96076323002590958</c:v>
                </c:pt>
                <c:pt idx="9">
                  <c:v>0.979393398319931</c:v>
                </c:pt>
                <c:pt idx="10">
                  <c:v>0.99997089098000835</c:v>
                </c:pt>
                <c:pt idx="11">
                  <c:v>0.97174091782570848</c:v>
                </c:pt>
                <c:pt idx="12">
                  <c:v>0.9681553566307467</c:v>
                </c:pt>
                <c:pt idx="13">
                  <c:v>0.96543116707121801</c:v>
                </c:pt>
                <c:pt idx="14">
                  <c:v>0.98042514726608099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7-419C-A629-E9F432D76468}"/>
            </c:ext>
          </c:extLst>
        </c:ser>
        <c:ser>
          <c:idx val="2"/>
          <c:order val="2"/>
          <c:tx>
            <c:strRef>
              <c:f>'Results Biogas - membrane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(GF)'!$M$62:$M$76</c:f>
              <c:numCache>
                <c:formatCode>0%</c:formatCode>
                <c:ptCount val="15"/>
                <c:pt idx="0">
                  <c:v>-5.1889033940969435E-2</c:v>
                </c:pt>
                <c:pt idx="1">
                  <c:v>-2.7015077582654826E-2</c:v>
                </c:pt>
                <c:pt idx="2">
                  <c:v>-0.10971260176344311</c:v>
                </c:pt>
                <c:pt idx="3">
                  <c:v>-1.5701422376607928E-2</c:v>
                </c:pt>
                <c:pt idx="4">
                  <c:v>-1.520551040893774E-2</c:v>
                </c:pt>
                <c:pt idx="5">
                  <c:v>-2.0397071300972347E-2</c:v>
                </c:pt>
                <c:pt idx="6">
                  <c:v>-2.5736825683355325E-2</c:v>
                </c:pt>
                <c:pt idx="7">
                  <c:v>-1.39469023757162E-2</c:v>
                </c:pt>
                <c:pt idx="8">
                  <c:v>-4.6577833641768207E-2</c:v>
                </c:pt>
                <c:pt idx="9">
                  <c:v>-2.5372794919078154E-2</c:v>
                </c:pt>
                <c:pt idx="10">
                  <c:v>-3.3862490148386968E-5</c:v>
                </c:pt>
                <c:pt idx="11">
                  <c:v>-6.2209212896169576E-2</c:v>
                </c:pt>
                <c:pt idx="12">
                  <c:v>-4.676264298055835E-2</c:v>
                </c:pt>
                <c:pt idx="13">
                  <c:v>-3.270588776932918E-2</c:v>
                </c:pt>
                <c:pt idx="14">
                  <c:v>-2.4022261807848666E-2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7-419C-A629-E9F432D7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6-4DAE-8931-C815C7A20CC1}"/>
            </c:ext>
          </c:extLst>
        </c:ser>
        <c:ser>
          <c:idx val="1"/>
          <c:order val="1"/>
          <c:tx>
            <c:strRef>
              <c:f>'Results Biogas - membrane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(GF)'!$O$81:$O$95</c:f>
              <c:numCache>
                <c:formatCode>0%</c:formatCode>
                <c:ptCount val="15"/>
                <c:pt idx="0">
                  <c:v>0.13194458721088564</c:v>
                </c:pt>
                <c:pt idx="1">
                  <c:v>0.38028238267985726</c:v>
                </c:pt>
                <c:pt idx="2">
                  <c:v>0.18454324709034581</c:v>
                </c:pt>
                <c:pt idx="3">
                  <c:v>8.3399068942487636E-2</c:v>
                </c:pt>
                <c:pt idx="4">
                  <c:v>0.39881595972845063</c:v>
                </c:pt>
                <c:pt idx="5">
                  <c:v>0.5542520622852789</c:v>
                </c:pt>
                <c:pt idx="6">
                  <c:v>0.42066511222302366</c:v>
                </c:pt>
                <c:pt idx="7">
                  <c:v>0.677004013222823</c:v>
                </c:pt>
                <c:pt idx="8">
                  <c:v>0.17305897091757408</c:v>
                </c:pt>
                <c:pt idx="9">
                  <c:v>0.52818958546476402</c:v>
                </c:pt>
                <c:pt idx="10">
                  <c:v>0.99941897662163615</c:v>
                </c:pt>
                <c:pt idx="11">
                  <c:v>0.26340931912629834</c:v>
                </c:pt>
                <c:pt idx="12">
                  <c:v>0.31407109342627271</c:v>
                </c:pt>
                <c:pt idx="13">
                  <c:v>0.27500577984407215</c:v>
                </c:pt>
                <c:pt idx="14">
                  <c:v>0.34021822904263876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6-4DAE-8931-C815C7A20CC1}"/>
            </c:ext>
          </c:extLst>
        </c:ser>
        <c:ser>
          <c:idx val="2"/>
          <c:order val="2"/>
          <c:tx>
            <c:strRef>
              <c:f>'Results Biogas - membrane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(GF)'!$P$81:$P$95</c:f>
              <c:numCache>
                <c:formatCode>0%</c:formatCode>
                <c:ptCount val="15"/>
                <c:pt idx="0">
                  <c:v>0.14765678339238278</c:v>
                </c:pt>
                <c:pt idx="1">
                  <c:v>7.1212114973170718E-2</c:v>
                </c:pt>
                <c:pt idx="2">
                  <c:v>0.22038013899355269</c:v>
                </c:pt>
                <c:pt idx="3">
                  <c:v>0.26592647491837984</c:v>
                </c:pt>
                <c:pt idx="4">
                  <c:v>0.17158933575970992</c:v>
                </c:pt>
                <c:pt idx="5">
                  <c:v>8.2656448990931164E-2</c:v>
                </c:pt>
                <c:pt idx="6">
                  <c:v>0.14837412872982617</c:v>
                </c:pt>
                <c:pt idx="7">
                  <c:v>7.7018052375349019E-2</c:v>
                </c:pt>
                <c:pt idx="8">
                  <c:v>0.23029811375336087</c:v>
                </c:pt>
                <c:pt idx="9">
                  <c:v>0.11818241974774094</c:v>
                </c:pt>
                <c:pt idx="10">
                  <c:v>1.6362580454456555E-4</c:v>
                </c:pt>
                <c:pt idx="11">
                  <c:v>0.1634614840185627</c:v>
                </c:pt>
                <c:pt idx="12">
                  <c:v>0.18491700116964968</c:v>
                </c:pt>
                <c:pt idx="13">
                  <c:v>0.20192732086452847</c:v>
                </c:pt>
                <c:pt idx="14">
                  <c:v>0.11225279421519833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6-4DAE-8931-C815C7A20CC1}"/>
            </c:ext>
          </c:extLst>
        </c:ser>
        <c:ser>
          <c:idx val="3"/>
          <c:order val="3"/>
          <c:tx>
            <c:strRef>
              <c:f>'Results Biogas - membrane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(GF)'!$Q$81:$Q$95</c:f>
              <c:numCache>
                <c:formatCode>0%</c:formatCode>
                <c:ptCount val="15"/>
                <c:pt idx="0">
                  <c:v>0.39805289164418967</c:v>
                </c:pt>
                <c:pt idx="1">
                  <c:v>0.248367995144012</c:v>
                </c:pt>
                <c:pt idx="2">
                  <c:v>0.14196567026710208</c:v>
                </c:pt>
                <c:pt idx="3">
                  <c:v>0.13236052585400659</c:v>
                </c:pt>
                <c:pt idx="4">
                  <c:v>9.0331814878494079E-2</c:v>
                </c:pt>
                <c:pt idx="5">
                  <c:v>0.18507067745280606</c:v>
                </c:pt>
                <c:pt idx="6">
                  <c:v>0.12916300144410828</c:v>
                </c:pt>
                <c:pt idx="7">
                  <c:v>8.5534133389493783E-2</c:v>
                </c:pt>
                <c:pt idx="8">
                  <c:v>0.12707818614254215</c:v>
                </c:pt>
                <c:pt idx="9">
                  <c:v>0.11708736719560067</c:v>
                </c:pt>
                <c:pt idx="10">
                  <c:v>8.5964628154979752E-5</c:v>
                </c:pt>
                <c:pt idx="11">
                  <c:v>0.23878424044199589</c:v>
                </c:pt>
                <c:pt idx="12">
                  <c:v>0.12870921361075069</c:v>
                </c:pt>
                <c:pt idx="13">
                  <c:v>0.12231962792817548</c:v>
                </c:pt>
                <c:pt idx="14">
                  <c:v>0.27594199075448311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46-4DAE-8931-C815C7A20CC1}"/>
            </c:ext>
          </c:extLst>
        </c:ser>
        <c:ser>
          <c:idx val="4"/>
          <c:order val="4"/>
          <c:tx>
            <c:strRef>
              <c:f>'Results Biogas - membrane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(GF)'!$R$81:$R$95</c:f>
              <c:numCache>
                <c:formatCode>0%</c:formatCode>
                <c:ptCount val="15"/>
                <c:pt idx="0">
                  <c:v>3.7758735858029593E-2</c:v>
                </c:pt>
                <c:pt idx="1">
                  <c:v>0.16271844740149657</c:v>
                </c:pt>
                <c:pt idx="2">
                  <c:v>2.8199949761366489E-2</c:v>
                </c:pt>
                <c:pt idx="3">
                  <c:v>5.6223770999253575E-3</c:v>
                </c:pt>
                <c:pt idx="4">
                  <c:v>8.4425892116836345E-3</c:v>
                </c:pt>
                <c:pt idx="5">
                  <c:v>1.8722167056797773E-2</c:v>
                </c:pt>
                <c:pt idx="6">
                  <c:v>1.57369473332565E-2</c:v>
                </c:pt>
                <c:pt idx="7">
                  <c:v>1.2065364545462285E-2</c:v>
                </c:pt>
                <c:pt idx="8">
                  <c:v>2.7324267502751669E-2</c:v>
                </c:pt>
                <c:pt idx="9">
                  <c:v>8.7001572866055882E-3</c:v>
                </c:pt>
                <c:pt idx="10">
                  <c:v>1.6207321878553473E-5</c:v>
                </c:pt>
                <c:pt idx="11">
                  <c:v>1.943542274364685E-2</c:v>
                </c:pt>
                <c:pt idx="12">
                  <c:v>1.6119905732507479E-2</c:v>
                </c:pt>
                <c:pt idx="13">
                  <c:v>1.3003352851409767E-2</c:v>
                </c:pt>
                <c:pt idx="14">
                  <c:v>5.5381972712537447E-2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46-4DAE-8931-C815C7A20CC1}"/>
            </c:ext>
          </c:extLst>
        </c:ser>
        <c:ser>
          <c:idx val="5"/>
          <c:order val="5"/>
          <c:tx>
            <c:strRef>
              <c:f>'Results Biogas - membrane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(GF)'!$S$81:$S$95</c:f>
              <c:numCache>
                <c:formatCode>0%</c:formatCode>
                <c:ptCount val="15"/>
                <c:pt idx="0">
                  <c:v>0.28458700189451225</c:v>
                </c:pt>
                <c:pt idx="1">
                  <c:v>0.13741905980146354</c:v>
                </c:pt>
                <c:pt idx="2">
                  <c:v>0.42491099388763287</c:v>
                </c:pt>
                <c:pt idx="3">
                  <c:v>0.51269155318520065</c:v>
                </c:pt>
                <c:pt idx="4">
                  <c:v>0.33082030042166172</c:v>
                </c:pt>
                <c:pt idx="5">
                  <c:v>0.1592986442141861</c:v>
                </c:pt>
                <c:pt idx="6">
                  <c:v>0.28606081026978541</c:v>
                </c:pt>
                <c:pt idx="7">
                  <c:v>0.14837843646687193</c:v>
                </c:pt>
                <c:pt idx="8">
                  <c:v>0.44224046168377124</c:v>
                </c:pt>
                <c:pt idx="9">
                  <c:v>0.22784047030528878</c:v>
                </c:pt>
                <c:pt idx="10">
                  <c:v>3.1522562378574477E-4</c:v>
                </c:pt>
                <c:pt idx="11">
                  <c:v>0.31490953366949614</c:v>
                </c:pt>
                <c:pt idx="12">
                  <c:v>0.35618278606081943</c:v>
                </c:pt>
                <c:pt idx="13">
                  <c:v>0.38774391851181411</c:v>
                </c:pt>
                <c:pt idx="14">
                  <c:v>0.21620501327514233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46-4DAE-8931-C815C7A2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B-4670-949C-28407BFAB283}"/>
            </c:ext>
          </c:extLst>
        </c:ser>
        <c:ser>
          <c:idx val="1"/>
          <c:order val="1"/>
          <c:tx>
            <c:strRef>
              <c:f>'Results Biogas - membrane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(GF)'!$O$103:$O$106</c:f>
              <c:numCache>
                <c:formatCode>0%</c:formatCode>
                <c:ptCount val="4"/>
                <c:pt idx="0">
                  <c:v>0.8059700592737904</c:v>
                </c:pt>
                <c:pt idx="1">
                  <c:v>0.53895254830219486</c:v>
                </c:pt>
                <c:pt idx="2">
                  <c:v>0.71133547498852678</c:v>
                </c:pt>
                <c:pt idx="3">
                  <c:v>0.71670611753980329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B-4670-949C-28407BFAB283}"/>
            </c:ext>
          </c:extLst>
        </c:ser>
        <c:ser>
          <c:idx val="2"/>
          <c:order val="2"/>
          <c:tx>
            <c:strRef>
              <c:f>'Results Biogas - membrane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(GF)'!$P$103:$P$106</c:f>
              <c:numCache>
                <c:formatCode>0%</c:formatCode>
                <c:ptCount val="4"/>
                <c:pt idx="0">
                  <c:v>1.1164177858088801E-7</c:v>
                </c:pt>
                <c:pt idx="1">
                  <c:v>3.665388183950946E-7</c:v>
                </c:pt>
                <c:pt idx="2">
                  <c:v>0</c:v>
                </c:pt>
                <c:pt idx="3">
                  <c:v>4.5583607475711623E-4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B-4670-949C-28407BFAB283}"/>
            </c:ext>
          </c:extLst>
        </c:ser>
        <c:ser>
          <c:idx val="3"/>
          <c:order val="3"/>
          <c:tx>
            <c:strRef>
              <c:f>'Results Biogas - membrane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(GF)'!$Q$103:$Q$106</c:f>
              <c:numCache>
                <c:formatCode>0%</c:formatCode>
                <c:ptCount val="4"/>
                <c:pt idx="0">
                  <c:v>0.194029829084431</c:v>
                </c:pt>
                <c:pt idx="1">
                  <c:v>0.46104708515898662</c:v>
                </c:pt>
                <c:pt idx="2">
                  <c:v>0.28866452501147316</c:v>
                </c:pt>
                <c:pt idx="3">
                  <c:v>0.28283804638543963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B-4670-949C-28407BFA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(GF)'!$N$111:$N$114</c:f>
              <c:numCache>
                <c:formatCode>0%</c:formatCode>
                <c:ptCount val="4"/>
                <c:pt idx="0">
                  <c:v>0.51919811550524075</c:v>
                </c:pt>
                <c:pt idx="1">
                  <c:v>0.57672252082125641</c:v>
                </c:pt>
                <c:pt idx="2">
                  <c:v>0.55299524484167573</c:v>
                </c:pt>
                <c:pt idx="3">
                  <c:v>0.63083095620130403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C-48A1-AEE2-9102661FFA22}"/>
            </c:ext>
          </c:extLst>
        </c:ser>
        <c:ser>
          <c:idx val="1"/>
          <c:order val="1"/>
          <c:tx>
            <c:strRef>
              <c:f>'Results Biogas - membrane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(GF)'!$O$111:$O$114</c:f>
              <c:numCache>
                <c:formatCode>0%</c:formatCode>
                <c:ptCount val="4"/>
                <c:pt idx="0">
                  <c:v>0.4260419676218733</c:v>
                </c:pt>
                <c:pt idx="1">
                  <c:v>0.40351629873540273</c:v>
                </c:pt>
                <c:pt idx="2">
                  <c:v>0.27197203266959363</c:v>
                </c:pt>
                <c:pt idx="3">
                  <c:v>0.18825884119063219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C-48A1-AEE2-9102661FFA22}"/>
            </c:ext>
          </c:extLst>
        </c:ser>
        <c:ser>
          <c:idx val="2"/>
          <c:order val="2"/>
          <c:tx>
            <c:strRef>
              <c:f>'Results Biogas - membrane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(GF)'!$P$111:$P$114</c:f>
              <c:numCache>
                <c:formatCode>0%</c:formatCode>
                <c:ptCount val="4"/>
                <c:pt idx="0">
                  <c:v>6.9479518556939232E-4</c:v>
                </c:pt>
                <c:pt idx="1">
                  <c:v>4.1531488187920189E-5</c:v>
                </c:pt>
                <c:pt idx="2">
                  <c:v>9.3260289289956912E-3</c:v>
                </c:pt>
                <c:pt idx="3">
                  <c:v>6.4890856717186125E-3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C-48A1-AEE2-9102661FFA22}"/>
            </c:ext>
          </c:extLst>
        </c:ser>
        <c:ser>
          <c:idx val="3"/>
          <c:order val="3"/>
          <c:tx>
            <c:strRef>
              <c:f>'Results Biogas - membrane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(GF)'!$Q$111:$Q$114</c:f>
              <c:numCache>
                <c:formatCode>0%</c:formatCode>
                <c:ptCount val="4"/>
                <c:pt idx="0">
                  <c:v>1.2577920816836672E-7</c:v>
                </c:pt>
                <c:pt idx="1">
                  <c:v>6.1515180710119475E-7</c:v>
                </c:pt>
                <c:pt idx="2">
                  <c:v>1.070213162347134E-10</c:v>
                </c:pt>
                <c:pt idx="3">
                  <c:v>5.7859934604040841E-4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6C-48A1-AEE2-9102661FFA22}"/>
            </c:ext>
          </c:extLst>
        </c:ser>
        <c:ser>
          <c:idx val="4"/>
          <c:order val="4"/>
          <c:tx>
            <c:strRef>
              <c:f>'Results Biogas - membrane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(GF)'!$R$111:$R$114</c:f>
              <c:numCache>
                <c:formatCode>0%</c:formatCode>
                <c:ptCount val="4"/>
                <c:pt idx="0">
                  <c:v>1.6635452642723845E-2</c:v>
                </c:pt>
                <c:pt idx="1">
                  <c:v>2.5554522075713062E-3</c:v>
                </c:pt>
                <c:pt idx="2">
                  <c:v>0.13209977718985816</c:v>
                </c:pt>
                <c:pt idx="3">
                  <c:v>0.13300203659101542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C-48A1-AEE2-9102661FFA22}"/>
            </c:ext>
          </c:extLst>
        </c:ser>
        <c:ser>
          <c:idx val="5"/>
          <c:order val="5"/>
          <c:tx>
            <c:strRef>
              <c:f>'Results Biogas - membrane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(GF)'!$S$111:$S$114</c:f>
              <c:numCache>
                <c:formatCode>0%</c:formatCode>
                <c:ptCount val="4"/>
                <c:pt idx="0">
                  <c:v>3.7429543265384661E-2</c:v>
                </c:pt>
                <c:pt idx="1">
                  <c:v>1.7163581595774503E-2</c:v>
                </c:pt>
                <c:pt idx="2">
                  <c:v>3.3606916262855627E-2</c:v>
                </c:pt>
                <c:pt idx="3">
                  <c:v>4.0840480999289309E-2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C-48A1-AEE2-9102661F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(GF)'!$J$119:$J$122</c:f>
              <c:numCache>
                <c:formatCode>0%</c:formatCode>
                <c:ptCount val="4"/>
                <c:pt idx="0">
                  <c:v>0.95984464554071547</c:v>
                </c:pt>
                <c:pt idx="1">
                  <c:v>0.98342314392819752</c:v>
                </c:pt>
                <c:pt idx="2">
                  <c:v>0.96614923907485473</c:v>
                </c:pt>
                <c:pt idx="3">
                  <c:v>0.96393889598351112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0-4120-B7B8-BA0FCB352094}"/>
            </c:ext>
          </c:extLst>
        </c:ser>
        <c:ser>
          <c:idx val="1"/>
          <c:order val="1"/>
          <c:tx>
            <c:strRef>
              <c:f>'Results Biogas - membrane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(GF)'!$K$119:$K$122</c:f>
              <c:numCache>
                <c:formatCode>0%</c:formatCode>
                <c:ptCount val="4"/>
                <c:pt idx="0">
                  <c:v>4.0155354459284497E-2</c:v>
                </c:pt>
                <c:pt idx="1">
                  <c:v>1.6576856071802572E-2</c:v>
                </c:pt>
                <c:pt idx="2">
                  <c:v>3.3850760925145218E-2</c:v>
                </c:pt>
                <c:pt idx="3">
                  <c:v>3.6061104016488967E-2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0-4120-B7B8-BA0FCB35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(GF)'!$K$127:$K$130</c:f>
              <c:numCache>
                <c:formatCode>0%</c:formatCode>
                <c:ptCount val="4"/>
                <c:pt idx="0">
                  <c:v>0.96415486669787787</c:v>
                </c:pt>
                <c:pt idx="1">
                  <c:v>0.98420115368571137</c:v>
                </c:pt>
                <c:pt idx="2">
                  <c:v>0.9681553566307467</c:v>
                </c:pt>
                <c:pt idx="3">
                  <c:v>0.9654948595822731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D-4E6A-A480-1F23CBF7AECF}"/>
            </c:ext>
          </c:extLst>
        </c:ser>
        <c:ser>
          <c:idx val="1"/>
          <c:order val="1"/>
          <c:tx>
            <c:strRef>
              <c:f>'Results Biogas - membrane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(GF)'!$L$127:$L$130</c:f>
              <c:numCache>
                <c:formatCode>0%</c:formatCode>
                <c:ptCount val="4"/>
                <c:pt idx="0">
                  <c:v>3.5845133302122099E-2</c:v>
                </c:pt>
                <c:pt idx="1">
                  <c:v>1.5798846314288628E-2</c:v>
                </c:pt>
                <c:pt idx="2">
                  <c:v>3.1844643369253356E-2</c:v>
                </c:pt>
                <c:pt idx="3">
                  <c:v>3.4505140417726933E-2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D-4E6A-A480-1F23CBF7AECF}"/>
            </c:ext>
          </c:extLst>
        </c:ser>
        <c:ser>
          <c:idx val="2"/>
          <c:order val="2"/>
          <c:tx>
            <c:strRef>
              <c:f>'Results Biogas - membrane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(GF)'!$M$127:$M$130</c:f>
              <c:numCache>
                <c:formatCode>0%</c:formatCode>
                <c:ptCount val="4"/>
                <c:pt idx="0">
                  <c:v>-0.10138099528623847</c:v>
                </c:pt>
                <c:pt idx="1">
                  <c:v>-1.7002251807660171E-2</c:v>
                </c:pt>
                <c:pt idx="2">
                  <c:v>-4.676264298055835E-2</c:v>
                </c:pt>
                <c:pt idx="3">
                  <c:v>-3.2651035663679627E-2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D-4E6A-A480-1F23CBF7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(GF)'!$N$134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(GF)'!$N$135:$N$138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5C5-915B-6E0EEF409B36}"/>
            </c:ext>
          </c:extLst>
        </c:ser>
        <c:ser>
          <c:idx val="1"/>
          <c:order val="1"/>
          <c:tx>
            <c:strRef>
              <c:f>'Results Biogas - membrane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(GF)'!$O$135:$O$138</c:f>
              <c:numCache>
                <c:formatCode>0%</c:formatCode>
                <c:ptCount val="4"/>
                <c:pt idx="0">
                  <c:v>0.19035506272873137</c:v>
                </c:pt>
                <c:pt idx="1">
                  <c:v>0.63213625127847506</c:v>
                </c:pt>
                <c:pt idx="2">
                  <c:v>0.31407109342627271</c:v>
                </c:pt>
                <c:pt idx="3">
                  <c:v>0.2762463128853565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4-45C5-915B-6E0EEF409B36}"/>
            </c:ext>
          </c:extLst>
        </c:ser>
        <c:ser>
          <c:idx val="2"/>
          <c:order val="2"/>
          <c:tx>
            <c:strRef>
              <c:f>'Results Biogas - membrane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(GF)'!$P$135:$P$138</c:f>
              <c:numCache>
                <c:formatCode>0%</c:formatCode>
                <c:ptCount val="4"/>
                <c:pt idx="0">
                  <c:v>0.20888520157843088</c:v>
                </c:pt>
                <c:pt idx="1">
                  <c:v>9.0215053825171587E-2</c:v>
                </c:pt>
                <c:pt idx="2">
                  <c:v>0.18491700116964968</c:v>
                </c:pt>
                <c:pt idx="3">
                  <c:v>0.20142960314557246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4-45C5-915B-6E0EEF409B36}"/>
            </c:ext>
          </c:extLst>
        </c:ser>
        <c:ser>
          <c:idx val="3"/>
          <c:order val="3"/>
          <c:tx>
            <c:strRef>
              <c:f>'Results Biogas - membrane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(GF)'!$Q$135:$Q$138</c:f>
              <c:numCache>
                <c:formatCode>0%</c:formatCode>
                <c:ptCount val="4"/>
                <c:pt idx="0">
                  <c:v>0.16301468513503836</c:v>
                </c:pt>
                <c:pt idx="1">
                  <c:v>9.1097767120008263E-2</c:v>
                </c:pt>
                <c:pt idx="2">
                  <c:v>0.12870921361075069</c:v>
                </c:pt>
                <c:pt idx="3">
                  <c:v>0.12229353233928025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4-45C5-915B-6E0EEF409B36}"/>
            </c:ext>
          </c:extLst>
        </c:ser>
        <c:ser>
          <c:idx val="4"/>
          <c:order val="4"/>
          <c:tx>
            <c:strRef>
              <c:f>'Results Biogas - membrane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(GF)'!$R$135:$R$138</c:f>
              <c:numCache>
                <c:formatCode>0%</c:formatCode>
                <c:ptCount val="4"/>
                <c:pt idx="0">
                  <c:v>3.51525156769186E-2</c:v>
                </c:pt>
                <c:pt idx="1">
                  <c:v>1.2721579291357725E-2</c:v>
                </c:pt>
                <c:pt idx="2">
                  <c:v>1.6119905732507479E-2</c:v>
                </c:pt>
                <c:pt idx="3">
                  <c:v>1.3026575365033405E-2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84-45C5-915B-6E0EEF409B36}"/>
            </c:ext>
          </c:extLst>
        </c:ser>
        <c:ser>
          <c:idx val="5"/>
          <c:order val="5"/>
          <c:tx>
            <c:strRef>
              <c:f>'Results Biogas - membrane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(GF)'!$S$135:$S$138</c:f>
              <c:numCache>
                <c:formatCode>0%</c:formatCode>
                <c:ptCount val="4"/>
                <c:pt idx="0">
                  <c:v>0.40259253488088065</c:v>
                </c:pt>
                <c:pt idx="1">
                  <c:v>0.17382934848498738</c:v>
                </c:pt>
                <c:pt idx="2">
                  <c:v>0.35618278606081943</c:v>
                </c:pt>
                <c:pt idx="3">
                  <c:v>0.38700397626475735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84-45C5-915B-6E0EEF40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(GF)'!$AF$7,'Results Biogas - membrane (GF)'!$AF$10,'Results Biogas - membrane (GF)'!$AF$13,'Results Biogas - membrane (GF)'!$AF$16)</c:f>
              <c:numCache>
                <c:formatCode>0.00%</c:formatCode>
                <c:ptCount val="4"/>
                <c:pt idx="0">
                  <c:v>0.28635630391712208</c:v>
                </c:pt>
                <c:pt idx="1">
                  <c:v>0.19514825646710138</c:v>
                </c:pt>
                <c:pt idx="2">
                  <c:v>0.45888643116245448</c:v>
                </c:pt>
                <c:pt idx="3">
                  <c:v>0.28402260944330515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3-42F5-BACE-84F0C8CDAD07}"/>
            </c:ext>
          </c:extLst>
        </c:ser>
        <c:ser>
          <c:idx val="1"/>
          <c:order val="1"/>
          <c:tx>
            <c:strRef>
              <c:f>'Results Biogas - membrane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(GF)'!$AG$7,'Results Biogas - membrane (GF)'!$AG$10,'Results Biogas - membrane (GF)'!$AG$13,'Results Biogas - membrane (GF)'!$AG$16)</c:f>
              <c:numCache>
                <c:formatCode>0.00%</c:formatCode>
                <c:ptCount val="4"/>
                <c:pt idx="0">
                  <c:v>0.3190021256378085</c:v>
                </c:pt>
                <c:pt idx="1">
                  <c:v>0.38697423502951028</c:v>
                </c:pt>
                <c:pt idx="2">
                  <c:v>0.2290411873669698</c:v>
                </c:pt>
                <c:pt idx="3">
                  <c:v>0.26431668865330055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3-42F5-BACE-84F0C8CDAD07}"/>
            </c:ext>
          </c:extLst>
        </c:ser>
        <c:ser>
          <c:idx val="2"/>
          <c:order val="2"/>
          <c:tx>
            <c:strRef>
              <c:f>'Results Biogas - membrane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(GF)'!$AH$7,'Results Biogas - membrane (GF)'!$AH$10,'Results Biogas - membrane (GF)'!$AH$13,'Results Biogas - membrane (GF)'!$AH$16)</c:f>
              <c:numCache>
                <c:formatCode>0.00%</c:formatCode>
                <c:ptCount val="4"/>
                <c:pt idx="0">
                  <c:v>1.3358917452259858E-2</c:v>
                </c:pt>
                <c:pt idx="1">
                  <c:v>1.6780019474516288E-2</c:v>
                </c:pt>
                <c:pt idx="2">
                  <c:v>5.1731789516223847E-3</c:v>
                </c:pt>
                <c:pt idx="3">
                  <c:v>1.6287383551498707E-2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33-42F5-BACE-84F0C8CDAD07}"/>
            </c:ext>
          </c:extLst>
        </c:ser>
        <c:ser>
          <c:idx val="3"/>
          <c:order val="3"/>
          <c:tx>
            <c:strRef>
              <c:f>'Results Biogas - membrane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(GF)'!$AI$7,'Results Biogas - membrane (GF)'!$AI$10,'Results Biogas - membrane (GF)'!$AI$13,'Results Biogas - membrane (GF)'!$AI$16)</c:f>
              <c:numCache>
                <c:formatCode>0.00%</c:formatCode>
                <c:ptCount val="4"/>
                <c:pt idx="0">
                  <c:v>-5.9670075110453517E-3</c:v>
                </c:pt>
                <c:pt idx="1">
                  <c:v>-2.9251851502456027E-2</c:v>
                </c:pt>
                <c:pt idx="2">
                  <c:v>-3.7571213861052643E-4</c:v>
                </c:pt>
                <c:pt idx="3">
                  <c:v>8.3447418574060137E-4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33-42F5-BACE-84F0C8CDAD07}"/>
            </c:ext>
          </c:extLst>
        </c:ser>
        <c:ser>
          <c:idx val="4"/>
          <c:order val="4"/>
          <c:tx>
            <c:strRef>
              <c:f>'Results Biogas - membrane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(GF)'!$AJ$7,'Results Biogas - membrane (GF)'!$AJ$10,'Results Biogas - membrane (GF)'!$AJ$13,'Results Biogas - membrane (GF)'!$AJ$16)</c:f>
              <c:numCache>
                <c:formatCode>0.00%</c:formatCode>
                <c:ptCount val="4"/>
                <c:pt idx="0">
                  <c:v>0.3872496605038549</c:v>
                </c:pt>
                <c:pt idx="1">
                  <c:v>0.43034934053132806</c:v>
                </c:pt>
                <c:pt idx="2">
                  <c:v>0.30727491465756385</c:v>
                </c:pt>
                <c:pt idx="3">
                  <c:v>0.43453884416615501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33-42F5-BACE-84F0C8CD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0.30837051069224652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61-4887-96D9-DC7D5CF82499}"/>
            </c:ext>
          </c:extLst>
        </c:ser>
        <c:ser>
          <c:idx val="1"/>
          <c:order val="1"/>
          <c:tx>
            <c:strRef>
              <c:f>'Results SimaPro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(GF)'!$O$81:$O$95</c:f>
              <c:numCache>
                <c:formatCode>0%</c:formatCode>
                <c:ptCount val="15"/>
                <c:pt idx="0">
                  <c:v>0.10208028489919169</c:v>
                </c:pt>
                <c:pt idx="1">
                  <c:v>0.2658692485855968</c:v>
                </c:pt>
                <c:pt idx="2">
                  <c:v>0.15437931530111951</c:v>
                </c:pt>
                <c:pt idx="3">
                  <c:v>7.5129568893619256E-2</c:v>
                </c:pt>
                <c:pt idx="4">
                  <c:v>0.34536246430188605</c:v>
                </c:pt>
                <c:pt idx="5">
                  <c:v>0.43641262326220065</c:v>
                </c:pt>
                <c:pt idx="6">
                  <c:v>0.31343463067205074</c:v>
                </c:pt>
                <c:pt idx="7">
                  <c:v>0.53677915531311615</c:v>
                </c:pt>
                <c:pt idx="8">
                  <c:v>0.1493804993832554</c:v>
                </c:pt>
                <c:pt idx="9">
                  <c:v>0.39006128240618471</c:v>
                </c:pt>
                <c:pt idx="10">
                  <c:v>0.99929531181933751</c:v>
                </c:pt>
                <c:pt idx="11">
                  <c:v>0.11995651520269458</c:v>
                </c:pt>
                <c:pt idx="12">
                  <c:v>0.22539337324521735</c:v>
                </c:pt>
                <c:pt idx="13">
                  <c:v>0.21922193175932198</c:v>
                </c:pt>
                <c:pt idx="14">
                  <c:v>8.125778083421295E-2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61-4887-96D9-DC7D5CF82499}"/>
            </c:ext>
          </c:extLst>
        </c:ser>
        <c:ser>
          <c:idx val="2"/>
          <c:order val="2"/>
          <c:tx>
            <c:strRef>
              <c:f>'Results SimaPro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(GF)'!$P$81:$P$95</c:f>
              <c:numCache>
                <c:formatCode>0%</c:formatCode>
                <c:ptCount val="15"/>
                <c:pt idx="0">
                  <c:v>0.34057591734221015</c:v>
                </c:pt>
                <c:pt idx="1">
                  <c:v>0.35065059983235336</c:v>
                </c:pt>
                <c:pt idx="2">
                  <c:v>0.34781043340802004</c:v>
                </c:pt>
                <c:pt idx="3">
                  <c:v>0.33871411475988755</c:v>
                </c:pt>
                <c:pt idx="4">
                  <c:v>0.28262161662037677</c:v>
                </c:pt>
                <c:pt idx="5">
                  <c:v>0.27769270920191724</c:v>
                </c:pt>
                <c:pt idx="6">
                  <c:v>0.36545952467657294</c:v>
                </c:pt>
                <c:pt idx="7">
                  <c:v>0.26819123495320396</c:v>
                </c:pt>
                <c:pt idx="8">
                  <c:v>0.3356111414847171</c:v>
                </c:pt>
                <c:pt idx="9">
                  <c:v>0.3487889468724466</c:v>
                </c:pt>
                <c:pt idx="10">
                  <c:v>2.8734225423996215E-4</c:v>
                </c:pt>
                <c:pt idx="11">
                  <c:v>0.61904064160367744</c:v>
                </c:pt>
                <c:pt idx="12">
                  <c:v>0.41505502917502152</c:v>
                </c:pt>
                <c:pt idx="13">
                  <c:v>0.3638132475388654</c:v>
                </c:pt>
                <c:pt idx="14">
                  <c:v>0.78797030339369145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61-4887-96D9-DC7D5CF82499}"/>
            </c:ext>
          </c:extLst>
        </c:ser>
        <c:ser>
          <c:idx val="3"/>
          <c:order val="3"/>
          <c:tx>
            <c:strRef>
              <c:f>'Results SimaPro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(GF)'!$Q$81:$Q$95</c:f>
              <c:numCache>
                <c:formatCode>0%</c:formatCode>
                <c:ptCount val="15"/>
                <c:pt idx="0">
                  <c:v>0.30795770742032869</c:v>
                </c:pt>
                <c:pt idx="1">
                  <c:v>0.17364310115107331</c:v>
                </c:pt>
                <c:pt idx="2">
                  <c:v>0.11876112140462201</c:v>
                </c:pt>
                <c:pt idx="3">
                  <c:v>0.11923621518866824</c:v>
                </c:pt>
                <c:pt idx="4">
                  <c:v>7.8224598164377199E-2</c:v>
                </c:pt>
                <c:pt idx="5">
                  <c:v>0.14572283141910991</c:v>
                </c:pt>
                <c:pt idx="6">
                  <c:v>9.6238448299616031E-2</c:v>
                </c:pt>
                <c:pt idx="7">
                  <c:v>6.7817825263231504E-2</c:v>
                </c:pt>
                <c:pt idx="8">
                  <c:v>0.10969094988859381</c:v>
                </c:pt>
                <c:pt idx="9">
                  <c:v>8.6467529574050281E-2</c:v>
                </c:pt>
                <c:pt idx="10">
                  <c:v>8.5953991175900763E-5</c:v>
                </c:pt>
                <c:pt idx="11">
                  <c:v>0.10874226266463333</c:v>
                </c:pt>
                <c:pt idx="12">
                  <c:v>9.2368270849085318E-2</c:v>
                </c:pt>
                <c:pt idx="13">
                  <c:v>9.7507569265272501E-2</c:v>
                </c:pt>
                <c:pt idx="14">
                  <c:v>6.5906032932979766E-2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61-4887-96D9-DC7D5CF82499}"/>
            </c:ext>
          </c:extLst>
        </c:ser>
        <c:ser>
          <c:idx val="4"/>
          <c:order val="4"/>
          <c:tx>
            <c:strRef>
              <c:f>'Results SimaPro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(GF)'!$R$81:$R$95</c:f>
              <c:numCache>
                <c:formatCode>0%</c:formatCode>
                <c:ptCount val="15"/>
                <c:pt idx="0">
                  <c:v>2.921243375948801E-2</c:v>
                </c:pt>
                <c:pt idx="1">
                  <c:v>0.11376238635296194</c:v>
                </c:pt>
                <c:pt idx="2">
                  <c:v>2.3590616315287947E-2</c:v>
                </c:pt>
                <c:pt idx="3">
                  <c:v>5.0648858713963291E-3</c:v>
                </c:pt>
                <c:pt idx="4">
                  <c:v>7.3110249078820249E-3</c:v>
                </c:pt>
                <c:pt idx="5">
                  <c:v>1.4741650224487191E-2</c:v>
                </c:pt>
                <c:pt idx="6">
                  <c:v>1.1725489307251378E-2</c:v>
                </c:pt>
                <c:pt idx="7">
                  <c:v>9.5663187555233425E-3</c:v>
                </c:pt>
                <c:pt idx="8">
                  <c:v>2.3585675467738522E-2</c:v>
                </c:pt>
                <c:pt idx="9">
                  <c:v>6.4249553602288472E-3</c:v>
                </c:pt>
                <c:pt idx="10">
                  <c:v>1.6205316438089776E-5</c:v>
                </c:pt>
                <c:pt idx="11">
                  <c:v>8.8508849707827422E-3</c:v>
                </c:pt>
                <c:pt idx="12">
                  <c:v>1.1568463336781703E-2</c:v>
                </c:pt>
                <c:pt idx="13">
                  <c:v>1.0365673540630052E-2</c:v>
                </c:pt>
                <c:pt idx="14">
                  <c:v>1.3227439968473084E-2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61-4887-96D9-DC7D5CF82499}"/>
            </c:ext>
          </c:extLst>
        </c:ser>
        <c:ser>
          <c:idx val="5"/>
          <c:order val="5"/>
          <c:tx>
            <c:strRef>
              <c:f>'Results SimaPro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(GF)'!$S$81:$S$95</c:f>
              <c:numCache>
                <c:formatCode>0%</c:formatCode>
                <c:ptCount val="15"/>
                <c:pt idx="0">
                  <c:v>0.22017365657878143</c:v>
                </c:pt>
                <c:pt idx="1">
                  <c:v>9.607466407801464E-2</c:v>
                </c:pt>
                <c:pt idx="2">
                  <c:v>0.35545851357095043</c:v>
                </c:pt>
                <c:pt idx="3">
                  <c:v>0.46185521528642859</c:v>
                </c:pt>
                <c:pt idx="4">
                  <c:v>0.28648029600547803</c:v>
                </c:pt>
                <c:pt idx="5">
                  <c:v>0.12543018589228516</c:v>
                </c:pt>
                <c:pt idx="6">
                  <c:v>0.21314190704450894</c:v>
                </c:pt>
                <c:pt idx="7">
                  <c:v>0.11764546571492507</c:v>
                </c:pt>
                <c:pt idx="8">
                  <c:v>0.38173173377569519</c:v>
                </c:pt>
                <c:pt idx="9">
                  <c:v>0.16825728578708959</c:v>
                </c:pt>
                <c:pt idx="10">
                  <c:v>3.1518661880849616E-4</c:v>
                </c:pt>
                <c:pt idx="11">
                  <c:v>0.14340969555821206</c:v>
                </c:pt>
                <c:pt idx="12">
                  <c:v>0.25561486339389417</c:v>
                </c:pt>
                <c:pt idx="13">
                  <c:v>0.30909157789591007</c:v>
                </c:pt>
                <c:pt idx="14">
                  <c:v>5.1638442870642939E-2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7-4590-9006-F8F4F0C0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(GF)'!$AN$7,'Results Biogas - membrane (GF)'!$AN$10,'Results Biogas - membrane (GF)'!$AN$13,'Results Biogas - membrane (GF)'!$AN$16)</c:f>
              <c:numCache>
                <c:formatCode>0.0%</c:formatCode>
                <c:ptCount val="4"/>
                <c:pt idx="0">
                  <c:v>0.44700475515832433</c:v>
                </c:pt>
                <c:pt idx="1">
                  <c:v>0.48080188449475925</c:v>
                </c:pt>
                <c:pt idx="2">
                  <c:v>0.42327747917874359</c:v>
                </c:pt>
                <c:pt idx="3">
                  <c:v>0.36916904379869597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2-4418-8A3A-7F9BFB4C6B9B}"/>
            </c:ext>
          </c:extLst>
        </c:ser>
        <c:ser>
          <c:idx val="1"/>
          <c:order val="1"/>
          <c:tx>
            <c:strRef>
              <c:f>'Results Biogas - membrane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(GF)'!$AO$7,'Results Biogas - membrane (GF)'!$AO$10,'Results Biogas - membrane (GF)'!$AO$13,'Results Biogas - membrane (GF)'!$AO$16)</c:f>
              <c:numCache>
                <c:formatCode>0.0%</c:formatCode>
                <c:ptCount val="4"/>
                <c:pt idx="0">
                  <c:v>1.871930982587772E-2</c:v>
                </c:pt>
                <c:pt idx="1">
                  <c:v>2.0848584362705508E-2</c:v>
                </c:pt>
                <c:pt idx="2">
                  <c:v>9.5602462210210917E-3</c:v>
                </c:pt>
                <c:pt idx="3">
                  <c:v>2.2748460728396376E-2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2-4418-8A3A-7F9BFB4C6B9B}"/>
            </c:ext>
          </c:extLst>
        </c:ser>
        <c:ser>
          <c:idx val="2"/>
          <c:order val="2"/>
          <c:tx>
            <c:strRef>
              <c:f>'Results Biogas - membrane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(GF)'!$AP$7,'Results Biogas - membrane (GF)'!$AP$10,'Results Biogas - membrane (GF)'!$AP$13,'Results Biogas - membrane (GF)'!$AP$16)</c:f>
              <c:numCache>
                <c:formatCode>0.0%</c:formatCode>
                <c:ptCount val="4"/>
                <c:pt idx="0">
                  <c:v>-8.3613258882516989E-3</c:v>
                </c:pt>
                <c:pt idx="1">
                  <c:v>-3.6344397260115194E-2</c:v>
                </c:pt>
                <c:pt idx="2">
                  <c:v>-6.943313940872681E-4</c:v>
                </c:pt>
                <c:pt idx="3">
                  <c:v>1.1655035434733334E-3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2-4418-8A3A-7F9BFB4C6B9B}"/>
            </c:ext>
          </c:extLst>
        </c:ser>
        <c:ser>
          <c:idx val="3"/>
          <c:order val="3"/>
          <c:tx>
            <c:strRef>
              <c:f>'Results Biogas - membrane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(GF)'!$AQ$7,'Results Biogas - membrane (GF)'!$AQ$10,'Results Biogas - membrane (GF)'!$AQ$13,'Results Biogas - membrane (GF)'!$AQ$16)</c:f>
              <c:numCache>
                <c:formatCode>0.0%</c:formatCode>
                <c:ptCount val="4"/>
                <c:pt idx="0">
                  <c:v>0.54263726090404962</c:v>
                </c:pt>
                <c:pt idx="1">
                  <c:v>0.5346939284026504</c:v>
                </c:pt>
                <c:pt idx="2">
                  <c:v>0.56785660599432253</c:v>
                </c:pt>
                <c:pt idx="3">
                  <c:v>0.60691699192943438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A2-4418-8A3A-7F9BFB4C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(GF)'!$AN$38,'Results Biogas - membrane (GF)'!$AN$41,'Results Biogas - membrane (GF)'!$AN$44,'Results Biogas - membrane (GF)'!$AN$47,'Results Biogas - membrane (GF)'!$AN$50,'Results Biogas - membrane (GF)'!$AN$53,'Results Biogas - membrane (GF)'!$AN$56,'Results Biogas - membrane (GF)'!$AN$59,'Results Biogas - membrane (GF)'!$AN$62,'Results Biogas - membrane (GF)'!$AN$65,'Results Biogas - membrane (GF)'!$AN$68,'Results Biogas - membrane (GF)'!$AN$71,'Results Biogas - membrane (GF)'!$AN$74,'Results Biogas - membrane (GF)'!$AN$77,'Results Biogas - membrane (GF)'!$AN$80)</c:f>
              <c:numCache>
                <c:formatCode>0.0%</c:formatCode>
                <c:ptCount val="15"/>
                <c:pt idx="0">
                  <c:v>0.34546310829989058</c:v>
                </c:pt>
                <c:pt idx="1">
                  <c:v>0.73434004420603982</c:v>
                </c:pt>
                <c:pt idx="2">
                  <c:v>0.46173766323498661</c:v>
                </c:pt>
                <c:pt idx="3">
                  <c:v>0.16503851213879558</c:v>
                </c:pt>
                <c:pt idx="4">
                  <c:v>0.27123448119647697</c:v>
                </c:pt>
                <c:pt idx="5">
                  <c:v>0.43580313492579587</c:v>
                </c:pt>
                <c:pt idx="6">
                  <c:v>0.40851563468878677</c:v>
                </c:pt>
                <c:pt idx="7">
                  <c:v>0.32387389296846258</c:v>
                </c:pt>
                <c:pt idx="8">
                  <c:v>0.45477813509555703</c:v>
                </c:pt>
                <c:pt idx="9">
                  <c:v>0.7647095932387783</c:v>
                </c:pt>
                <c:pt idx="10">
                  <c:v>6.5583845172899444E-4</c:v>
                </c:pt>
                <c:pt idx="11">
                  <c:v>0.85770662868582215</c:v>
                </c:pt>
                <c:pt idx="12">
                  <c:v>0.44700475515832433</c:v>
                </c:pt>
                <c:pt idx="13">
                  <c:v>0.36851216288552474</c:v>
                </c:pt>
                <c:pt idx="14">
                  <c:v>0.75710065468372678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8-4442-B54B-AFD90BB66EB9}"/>
            </c:ext>
          </c:extLst>
        </c:ser>
        <c:ser>
          <c:idx val="1"/>
          <c:order val="1"/>
          <c:tx>
            <c:strRef>
              <c:f>'Results Biogas - membrane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(GF)'!$AO$38,'Results Biogas - membrane (GF)'!$AO$41,'Results Biogas - membrane (GF)'!$AO$44,'Results Biogas - membrane (GF)'!$AO$47,'Results Biogas - membrane (GF)'!$AO$50,'Results Biogas - membrane (GF)'!$AO$53,'Results Biogas - membrane (GF)'!$AO$56,'Results Biogas - membrane (GF)'!$AO$59,'Results Biogas - membrane (GF)'!$AO$62,'Results Biogas - membrane (GF)'!$AO$65,'Results Biogas - membrane (GF)'!$AO$68,'Results Biogas - membrane (GF)'!$AO$71,'Results Biogas - membrane (GF)'!$AO$74,'Results Biogas - membrane (GF)'!$AO$77,'Results Biogas - membrane (GF)'!$AO$80)</c:f>
              <c:numCache>
                <c:formatCode>0.0%</c:formatCode>
                <c:ptCount val="15"/>
                <c:pt idx="0">
                  <c:v>1.8030177917406472E-2</c:v>
                </c:pt>
                <c:pt idx="1">
                  <c:v>3.5405520200984175E-3</c:v>
                </c:pt>
                <c:pt idx="2">
                  <c:v>2.2922133398466042E-2</c:v>
                </c:pt>
                <c:pt idx="3">
                  <c:v>3.8369213975980275E-2</c:v>
                </c:pt>
                <c:pt idx="4">
                  <c:v>2.2303664729413E-2</c:v>
                </c:pt>
                <c:pt idx="5">
                  <c:v>8.6231750742228469E-3</c:v>
                </c:pt>
                <c:pt idx="6">
                  <c:v>1.5945579392630707E-2</c:v>
                </c:pt>
                <c:pt idx="7">
                  <c:v>9.5828730841215071E-3</c:v>
                </c:pt>
                <c:pt idx="8">
                  <c:v>2.2558931384709324E-2</c:v>
                </c:pt>
                <c:pt idx="9">
                  <c:v>5.1042964059926609E-3</c:v>
                </c:pt>
                <c:pt idx="10">
                  <c:v>3.0509348651386945E-5</c:v>
                </c:pt>
                <c:pt idx="11">
                  <c:v>4.3591339785334759E-3</c:v>
                </c:pt>
                <c:pt idx="12">
                  <c:v>1.871930982587772E-2</c:v>
                </c:pt>
                <c:pt idx="13">
                  <c:v>2.2813911720310814E-2</c:v>
                </c:pt>
                <c:pt idx="14">
                  <c:v>5.0041811715670886E-3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8-4442-B54B-AFD90BB66EB9}"/>
            </c:ext>
          </c:extLst>
        </c:ser>
        <c:ser>
          <c:idx val="2"/>
          <c:order val="2"/>
          <c:tx>
            <c:strRef>
              <c:f>'Results Biogas - membrane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(GF)'!$AP$38,'Results Biogas - membrane (GF)'!$AP$41,'Results Biogas - membrane (GF)'!$AP$44,'Results Biogas - membrane (GF)'!$AP$47,'Results Biogas - membrane (GF)'!$AP$50,'Results Biogas - membrane (GF)'!$AP$53,'Results Biogas - membrane (GF)'!$AP$56,'Results Biogas - membrane (GF)'!$AP$59,'Results Biogas - membrane (GF)'!$AP$62,'Results Biogas - membrane (GF)'!$AP$65,'Results Biogas - membrane (GF)'!$AP$68,'Results Biogas - membrane (GF)'!$AP$71,'Results Biogas - membrane (GF)'!$AP$74,'Results Biogas - membrane (GF)'!$AP$77,'Results Biogas - membrane (GF)'!$AP$80)</c:f>
              <c:numCache>
                <c:formatCode>0.0%</c:formatCode>
                <c:ptCount val="15"/>
                <c:pt idx="0">
                  <c:v>-1.7643893119355644E-2</c:v>
                </c:pt>
                <c:pt idx="1">
                  <c:v>-3.9019431672830179E-3</c:v>
                </c:pt>
                <c:pt idx="2">
                  <c:v>-4.1651184514290361E-2</c:v>
                </c:pt>
                <c:pt idx="3">
                  <c:v>2.3877085949021201E-2</c:v>
                </c:pt>
                <c:pt idx="4">
                  <c:v>1.0357194690098081E-2</c:v>
                </c:pt>
                <c:pt idx="5">
                  <c:v>-3.346111704233557E-3</c:v>
                </c:pt>
                <c:pt idx="6">
                  <c:v>-6.5469557995143895E-8</c:v>
                </c:pt>
                <c:pt idx="7">
                  <c:v>-2.90632773026061E-4</c:v>
                </c:pt>
                <c:pt idx="8">
                  <c:v>-4.0243472483541282E-3</c:v>
                </c:pt>
                <c:pt idx="9">
                  <c:v>-1.1256729518419753E-3</c:v>
                </c:pt>
                <c:pt idx="10">
                  <c:v>-4.7503684822114043E-6</c:v>
                </c:pt>
                <c:pt idx="11">
                  <c:v>-4.993528890414667E-3</c:v>
                </c:pt>
                <c:pt idx="12">
                  <c:v>-8.3613258882516989E-3</c:v>
                </c:pt>
                <c:pt idx="13">
                  <c:v>1.1722661480729078E-3</c:v>
                </c:pt>
                <c:pt idx="14">
                  <c:v>-1.0840586524247771E-3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8-4442-B54B-AFD90BB66EB9}"/>
            </c:ext>
          </c:extLst>
        </c:ser>
        <c:ser>
          <c:idx val="3"/>
          <c:order val="3"/>
          <c:tx>
            <c:strRef>
              <c:f>'Results Biogas - membrane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(GF)'!$AQ$38,'Results Biogas - membrane (GF)'!$AQ$41,'Results Biogas - membrane (GF)'!$AQ$44,'Results Biogas - membrane (GF)'!$AQ$47,'Results Biogas - membrane (GF)'!$AQ$50,'Results Biogas - membrane (GF)'!$AQ$53,'Results Biogas - membrane (GF)'!$AQ$56,'Results Biogas - membrane (GF)'!$AQ$59,'Results Biogas - membrane (GF)'!$AQ$62,'Results Biogas - membrane (GF)'!$AQ$65,'Results Biogas - membrane (GF)'!$AQ$68,'Results Biogas - membrane (GF)'!$AQ$71,'Results Biogas - membrane (GF)'!$AQ$74,'Results Biogas - membrane (GF)'!$AQ$77,'Results Biogas - membrane (GF)'!$AQ$80)</c:f>
              <c:numCache>
                <c:formatCode>0.0%</c:formatCode>
                <c:ptCount val="15"/>
                <c:pt idx="0">
                  <c:v>0.65415060690205862</c:v>
                </c:pt>
                <c:pt idx="1">
                  <c:v>0.26602134694114482</c:v>
                </c:pt>
                <c:pt idx="2">
                  <c:v>0.55699138788083769</c:v>
                </c:pt>
                <c:pt idx="3">
                  <c:v>0.77271518793620297</c:v>
                </c:pt>
                <c:pt idx="4">
                  <c:v>0.69610465938401189</c:v>
                </c:pt>
                <c:pt idx="5">
                  <c:v>0.55891980170421485</c:v>
                </c:pt>
                <c:pt idx="6">
                  <c:v>0.57553885138814054</c:v>
                </c:pt>
                <c:pt idx="7">
                  <c:v>0.66683386672044198</c:v>
                </c:pt>
                <c:pt idx="8">
                  <c:v>0.5266872807680878</c:v>
                </c:pt>
                <c:pt idx="9">
                  <c:v>0.231311783307071</c:v>
                </c:pt>
                <c:pt idx="10">
                  <c:v>0.99931840256810178</c:v>
                </c:pt>
                <c:pt idx="11">
                  <c:v>0.14292776622605907</c:v>
                </c:pt>
                <c:pt idx="12">
                  <c:v>0.54263726090404962</c:v>
                </c:pt>
                <c:pt idx="13">
                  <c:v>0.60750165924609156</c:v>
                </c:pt>
                <c:pt idx="14">
                  <c:v>0.23897922279713085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8-4442-B54B-AFD90BB66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(GF)'!$AF$38,'Results Biogas - membrane (GF)'!$AF$41,'Results Biogas - membrane (GF)'!$AF$44,'Results Biogas - membrane (GF)'!$AF$47,'Results Biogas - membrane (GF)'!$AF$50,'Results Biogas - membrane (GF)'!$AF$53,'Results Biogas - membrane (GF)'!$AF$56,'Results Biogas - membrane (GF)'!$AF$59,'Results Biogas - membrane (GF)'!$AF$62,'Results Biogas - membrane (GF)'!$AF$65,'Results Biogas - membrane (GF)'!$AF$68,'Results Biogas - membrane (GF)'!$AF$71,'Results Biogas - membrane (GF)'!$AF$74,'Results Biogas - membrane (GF)'!$AF$77,'Results Biogas - membrane (GF)'!$AF$80)</c:f>
              <c:numCache>
                <c:formatCode>0.0%</c:formatCode>
                <c:ptCount val="15"/>
                <c:pt idx="0">
                  <c:v>0.1695584171323373</c:v>
                </c:pt>
                <c:pt idx="1">
                  <c:v>0.193274070870253</c:v>
                </c:pt>
                <c:pt idx="2">
                  <c:v>0.19718925902891377</c:v>
                </c:pt>
                <c:pt idx="3">
                  <c:v>0.13228116335820672</c:v>
                </c:pt>
                <c:pt idx="4">
                  <c:v>0.39746453742167476</c:v>
                </c:pt>
                <c:pt idx="5">
                  <c:v>0.42347550548689944</c:v>
                </c:pt>
                <c:pt idx="6">
                  <c:v>0.36529923246331319</c:v>
                </c:pt>
                <c:pt idx="7">
                  <c:v>0.5169209382909008</c:v>
                </c:pt>
                <c:pt idx="8">
                  <c:v>0.17824682286035734</c:v>
                </c:pt>
                <c:pt idx="9">
                  <c:v>0.22504403465949932</c:v>
                </c:pt>
                <c:pt idx="10">
                  <c:v>-624.36216556350257</c:v>
                </c:pt>
                <c:pt idx="11">
                  <c:v>8.2543643641070641E-2</c:v>
                </c:pt>
                <c:pt idx="12">
                  <c:v>0.28635630397705636</c:v>
                </c:pt>
                <c:pt idx="13">
                  <c:v>0.28449227596380516</c:v>
                </c:pt>
                <c:pt idx="14">
                  <c:v>0.17215045991464048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3-4190-8820-925A923844A1}"/>
            </c:ext>
          </c:extLst>
        </c:ser>
        <c:ser>
          <c:idx val="1"/>
          <c:order val="1"/>
          <c:tx>
            <c:strRef>
              <c:f>'Results Biogas - membrane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(GF)'!$AG$38,'Results Biogas - membrane (GF)'!$AG$41,'Results Biogas - membrane (GF)'!$AG$44,'Results Biogas - membrane (GF)'!$AG$47,'Results Biogas - membrane (GF)'!$AG$50,'Results Biogas - membrane (GF)'!$AG$53,'Results Biogas - membrane (GF)'!$AG$56,'Results Biogas - membrane (GF)'!$AG$59,'Results Biogas - membrane (GF)'!$AG$62,'Results Biogas - membrane (GF)'!$AG$65,'Results Biogas - membrane (GF)'!$AG$68,'Results Biogas - membrane (GF)'!$AG$71,'Results Biogas - membrane (GF)'!$AG$74,'Results Biogas - membrane (GF)'!$AG$77,'Results Biogas - membrane (GF)'!$AG$80)</c:f>
              <c:numCache>
                <c:formatCode>0.0%</c:formatCode>
                <c:ptCount val="15"/>
                <c:pt idx="0">
                  <c:v>0.28688693047894392</c:v>
                </c:pt>
                <c:pt idx="1">
                  <c:v>0.59241115445929693</c:v>
                </c:pt>
                <c:pt idx="2">
                  <c:v>0.37068795555593748</c:v>
                </c:pt>
                <c:pt idx="3">
                  <c:v>0.1432070257541681</c:v>
                </c:pt>
                <c:pt idx="4">
                  <c:v>0.16342839359491132</c:v>
                </c:pt>
                <c:pt idx="5">
                  <c:v>0.25125118207031899</c:v>
                </c:pt>
                <c:pt idx="6">
                  <c:v>0.25928518688770974</c:v>
                </c:pt>
                <c:pt idx="7">
                  <c:v>0.1564566963272781</c:v>
                </c:pt>
                <c:pt idx="8">
                  <c:v>0.37371537740841565</c:v>
                </c:pt>
                <c:pt idx="9">
                  <c:v>0.59261626103349907</c:v>
                </c:pt>
                <c:pt idx="10">
                  <c:v>0.41013655443303343</c:v>
                </c:pt>
                <c:pt idx="11">
                  <c:v>0.78690839837899562</c:v>
                </c:pt>
                <c:pt idx="12">
                  <c:v>0.3190021256110176</c:v>
                </c:pt>
                <c:pt idx="13">
                  <c:v>0.26367329894587738</c:v>
                </c:pt>
                <c:pt idx="14">
                  <c:v>0.62676542877824792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3-4190-8820-925A923844A1}"/>
            </c:ext>
          </c:extLst>
        </c:ser>
        <c:ser>
          <c:idx val="2"/>
          <c:order val="2"/>
          <c:tx>
            <c:strRef>
              <c:f>'Results Biogas - membrane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(GF)'!$AH$38,'Results Biogas - membrane (GF)'!$AH$41,'Results Biogas - membrane (GF)'!$AH$44,'Results Biogas - membrane (GF)'!$AH$47,'Results Biogas - membrane (GF)'!$AH$50,'Results Biogas - membrane (GF)'!$AH$53,'Results Biogas - membrane (GF)'!$AH$56,'Results Biogas - membrane (GF)'!$AH$59,'Results Biogas - membrane (GF)'!$AH$62,'Results Biogas - membrane (GF)'!$AH$65,'Results Biogas - membrane (GF)'!$AH$68,'Results Biogas - membrane (GF)'!$AH$71,'Results Biogas - membrane (GF)'!$AH$74,'Results Biogas - membrane (GF)'!$AH$77,'Results Biogas - membrane (GF)'!$AH$80)</c:f>
              <c:numCache>
                <c:formatCode>0.0%</c:formatCode>
                <c:ptCount val="15"/>
                <c:pt idx="0">
                  <c:v>1.4973009489116595E-2</c:v>
                </c:pt>
                <c:pt idx="1">
                  <c:v>2.8562551180461044E-3</c:v>
                </c:pt>
                <c:pt idx="2">
                  <c:v>1.8402134898260637E-2</c:v>
                </c:pt>
                <c:pt idx="3">
                  <c:v>3.3293689714097741E-2</c:v>
                </c:pt>
                <c:pt idx="4">
                  <c:v>1.3438748944928731E-2</c:v>
                </c:pt>
                <c:pt idx="5">
                  <c:v>4.9714716507643216E-3</c:v>
                </c:pt>
                <c:pt idx="6">
                  <c:v>1.0120671479319878E-2</c:v>
                </c:pt>
                <c:pt idx="7">
                  <c:v>4.6292853379548086E-3</c:v>
                </c:pt>
                <c:pt idx="8">
                  <c:v>1.8537873538260051E-2</c:v>
                </c:pt>
                <c:pt idx="9">
                  <c:v>3.9556049486900759E-3</c:v>
                </c:pt>
                <c:pt idx="10">
                  <c:v>1.907939234257253E-2</c:v>
                </c:pt>
                <c:pt idx="11">
                  <c:v>3.9993151768257214E-3</c:v>
                </c:pt>
                <c:pt idx="12">
                  <c:v>1.3358917451137929E-2</c:v>
                </c:pt>
                <c:pt idx="13">
                  <c:v>1.632353005136223E-2</c:v>
                </c:pt>
                <c:pt idx="14">
                  <c:v>4.1427090813856409E-3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3-4190-8820-925A923844A1}"/>
            </c:ext>
          </c:extLst>
        </c:ser>
        <c:ser>
          <c:idx val="3"/>
          <c:order val="3"/>
          <c:tx>
            <c:strRef>
              <c:f>'Results Biogas - membrane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(GF)'!$AI$38,'Results Biogas - membrane (GF)'!$AI$41,'Results Biogas - membrane (GF)'!$AI$44,'Results Biogas - membrane (GF)'!$AI$47,'Results Biogas - membrane (GF)'!$AI$50,'Results Biogas - membrane (GF)'!$AI$53,'Results Biogas - membrane (GF)'!$AI$56,'Results Biogas - membrane (GF)'!$AI$59,'Results Biogas - membrane (GF)'!$AI$62,'Results Biogas - membrane (GF)'!$AI$65,'Results Biogas - membrane (GF)'!$AI$68,'Results Biogas - membrane (GF)'!$AI$71,'Results Biogas - membrane (GF)'!$AI$74,'Results Biogas - membrane (GF)'!$AI$77,'Results Biogas - membrane (GF)'!$AI$80)</c:f>
              <c:numCache>
                <c:formatCode>0.0%</c:formatCode>
                <c:ptCount val="15"/>
                <c:pt idx="0">
                  <c:v>-1.4652222529985551E-2</c:v>
                </c:pt>
                <c:pt idx="1">
                  <c:v>-3.1477987270378642E-3</c:v>
                </c:pt>
                <c:pt idx="2">
                  <c:v>-3.343801830224092E-2</c:v>
                </c:pt>
                <c:pt idx="3">
                  <c:v>2.0718597242080732E-2</c:v>
                </c:pt>
                <c:pt idx="4">
                  <c:v>6.2405770936120545E-3</c:v>
                </c:pt>
                <c:pt idx="5">
                  <c:v>-1.9291153588676493E-3</c:v>
                </c:pt>
                <c:pt idx="6">
                  <c:v>-4.1553578701116852E-8</c:v>
                </c:pt>
                <c:pt idx="7">
                  <c:v>-1.4039860729534202E-4</c:v>
                </c:pt>
                <c:pt idx="8">
                  <c:v>-3.3070201372481455E-3</c:v>
                </c:pt>
                <c:pt idx="9">
                  <c:v>-8.7234696905238128E-4</c:v>
                </c:pt>
                <c:pt idx="10">
                  <c:v>-2.9707007212327252E-3</c:v>
                </c:pt>
                <c:pt idx="11">
                  <c:v>-4.5813448211728825E-3</c:v>
                </c:pt>
                <c:pt idx="12">
                  <c:v>-5.9670075105442222E-3</c:v>
                </c:pt>
                <c:pt idx="13">
                  <c:v>8.3876548357236303E-4</c:v>
                </c:pt>
                <c:pt idx="14">
                  <c:v>-8.9743745683541114E-4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73-4190-8820-925A923844A1}"/>
            </c:ext>
          </c:extLst>
        </c:ser>
        <c:ser>
          <c:idx val="4"/>
          <c:order val="4"/>
          <c:tx>
            <c:strRef>
              <c:f>'Results Biogas - membrane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(GF)'!$AJ$38,'Results Biogas - membrane (GF)'!$AJ$41,'Results Biogas - membrane (GF)'!$AJ$44,'Results Biogas - membrane (GF)'!$AJ$47,'Results Biogas - membrane (GF)'!$AJ$50,'Results Biogas - membrane (GF)'!$AJ$53,'Results Biogas - membrane (GF)'!$AJ$56,'Results Biogas - membrane (GF)'!$AJ$59,'Results Biogas - membrane (GF)'!$AJ$62,'Results Biogas - membrane (GF)'!$AJ$65,'Results Biogas - membrane (GF)'!$AJ$68,'Results Biogas - membrane (GF)'!$AJ$71,'Results Biogas - membrane (GF)'!$AJ$74,'Results Biogas - membrane (GF)'!$AJ$77,'Results Biogas - membrane (GF)'!$AJ$80)</c:f>
              <c:numCache>
                <c:formatCode>0.0%</c:formatCode>
                <c:ptCount val="15"/>
                <c:pt idx="0">
                  <c:v>0.54323386542958774</c:v>
                </c:pt>
                <c:pt idx="1">
                  <c:v>0.21460631827944185</c:v>
                </c:pt>
                <c:pt idx="2">
                  <c:v>0.44715866881912902</c:v>
                </c:pt>
                <c:pt idx="3">
                  <c:v>0.67049952393144674</c:v>
                </c:pt>
                <c:pt idx="4">
                  <c:v>0.41942774294487317</c:v>
                </c:pt>
                <c:pt idx="5">
                  <c:v>0.32223095615088487</c:v>
                </c:pt>
                <c:pt idx="6">
                  <c:v>0.36529495072323587</c:v>
                </c:pt>
                <c:pt idx="7">
                  <c:v>0.32213347865116165</c:v>
                </c:pt>
                <c:pt idx="8">
                  <c:v>0.4328069463302151</c:v>
                </c:pt>
                <c:pt idx="9">
                  <c:v>0.17925644632736393</c:v>
                </c:pt>
                <c:pt idx="10">
                  <c:v>624.93592031744822</c:v>
                </c:pt>
                <c:pt idx="11">
                  <c:v>0.13112998762428099</c:v>
                </c:pt>
                <c:pt idx="12">
                  <c:v>0.38724966047133236</c:v>
                </c:pt>
                <c:pt idx="13">
                  <c:v>0.43467212955538287</c:v>
                </c:pt>
                <c:pt idx="14">
                  <c:v>0.19783883968256144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73-4190-8820-925A9238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(MEA)'!$L$3:$L$17</c:f>
              <c:numCache>
                <c:formatCode>0%</c:formatCode>
                <c:ptCount val="15"/>
                <c:pt idx="0">
                  <c:v>0.75131082657275761</c:v>
                </c:pt>
                <c:pt idx="1">
                  <c:v>1</c:v>
                </c:pt>
                <c:pt idx="2">
                  <c:v>0.94160487211496646</c:v>
                </c:pt>
                <c:pt idx="3">
                  <c:v>0.87410062651603926</c:v>
                </c:pt>
                <c:pt idx="4">
                  <c:v>0.50271278292304689</c:v>
                </c:pt>
                <c:pt idx="5">
                  <c:v>0.69807716596093439</c:v>
                </c:pt>
                <c:pt idx="6">
                  <c:v>0.63625485598965892</c:v>
                </c:pt>
                <c:pt idx="7">
                  <c:v>0.94540638927598053</c:v>
                </c:pt>
                <c:pt idx="8">
                  <c:v>0.91170310386789244</c:v>
                </c:pt>
                <c:pt idx="9">
                  <c:v>1</c:v>
                </c:pt>
                <c:pt idx="10">
                  <c:v>0.9998473149885041</c:v>
                </c:pt>
                <c:pt idx="11">
                  <c:v>1</c:v>
                </c:pt>
                <c:pt idx="12">
                  <c:v>0.96545790773685469</c:v>
                </c:pt>
                <c:pt idx="13">
                  <c:v>0.67599225185639822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3-4790-AFF0-C0F1994E7116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(MEA)'!$J$3:$J$17</c:f>
              <c:numCache>
                <c:formatCode>0%</c:formatCode>
                <c:ptCount val="15"/>
                <c:pt idx="0">
                  <c:v>0.73995323327621687</c:v>
                </c:pt>
                <c:pt idx="1">
                  <c:v>0.94966227651317447</c:v>
                </c:pt>
                <c:pt idx="2">
                  <c:v>0.99841584053222854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0.76221775290130844</c:v>
                </c:pt>
                <c:pt idx="7">
                  <c:v>1</c:v>
                </c:pt>
                <c:pt idx="8">
                  <c:v>1</c:v>
                </c:pt>
                <c:pt idx="9">
                  <c:v>0.95019208435040647</c:v>
                </c:pt>
                <c:pt idx="10">
                  <c:v>1</c:v>
                </c:pt>
                <c:pt idx="11">
                  <c:v>0.95006455026357084</c:v>
                </c:pt>
                <c:pt idx="12">
                  <c:v>0.89593748429163478</c:v>
                </c:pt>
                <c:pt idx="13">
                  <c:v>1</c:v>
                </c:pt>
                <c:pt idx="14">
                  <c:v>0.59806910128150303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3-4790-AFF0-C0F1994E7116}"/>
            </c:ext>
          </c:extLst>
        </c:ser>
        <c:ser>
          <c:idx val="2"/>
          <c:order val="2"/>
          <c:tx>
            <c:strRef>
              <c:f>'Comparation CO2 source (MEA)'!$K$2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(MEA)'!$K$3:$K$17</c:f>
              <c:numCache>
                <c:formatCode>0%</c:formatCode>
                <c:ptCount val="15"/>
                <c:pt idx="0">
                  <c:v>1</c:v>
                </c:pt>
                <c:pt idx="1">
                  <c:v>0.95081860522370587</c:v>
                </c:pt>
                <c:pt idx="2">
                  <c:v>1</c:v>
                </c:pt>
                <c:pt idx="3">
                  <c:v>0.80065276250663098</c:v>
                </c:pt>
                <c:pt idx="4">
                  <c:v>0.55048713468170263</c:v>
                </c:pt>
                <c:pt idx="5">
                  <c:v>0.84893787489706518</c:v>
                </c:pt>
                <c:pt idx="6">
                  <c:v>1</c:v>
                </c:pt>
                <c:pt idx="7">
                  <c:v>0.91451155983760513</c:v>
                </c:pt>
                <c:pt idx="8">
                  <c:v>0.99009085466721913</c:v>
                </c:pt>
                <c:pt idx="9">
                  <c:v>0.94313418166970908</c:v>
                </c:pt>
                <c:pt idx="10">
                  <c:v>0.99994055669251036</c:v>
                </c:pt>
                <c:pt idx="11">
                  <c:v>0.91130085701898145</c:v>
                </c:pt>
                <c:pt idx="12">
                  <c:v>1</c:v>
                </c:pt>
                <c:pt idx="13">
                  <c:v>0.77016946758337057</c:v>
                </c:pt>
                <c:pt idx="14">
                  <c:v>0.67108113687749882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A-4483-A8DB-A202E2A7D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(MEA)'!$L$21:$L$24</c:f>
              <c:numCache>
                <c:formatCode>0%</c:formatCode>
                <c:ptCount val="4"/>
                <c:pt idx="0">
                  <c:v>0.93916667066733162</c:v>
                </c:pt>
                <c:pt idx="1">
                  <c:v>0.96087501364863426</c:v>
                </c:pt>
                <c:pt idx="2">
                  <c:v>0.96545790773685469</c:v>
                </c:pt>
                <c:pt idx="3">
                  <c:v>0.6778145716432068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F-4C7F-A024-FFCC16B4065E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(MEA)'!$J$21:$J$24</c:f>
              <c:numCache>
                <c:formatCode>0%</c:formatCode>
                <c:ptCount val="4"/>
                <c:pt idx="0">
                  <c:v>0.98290558373941506</c:v>
                </c:pt>
                <c:pt idx="1">
                  <c:v>1</c:v>
                </c:pt>
                <c:pt idx="2">
                  <c:v>0.89593748429163478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F-4C7F-A024-FFCC16B4065E}"/>
            </c:ext>
          </c:extLst>
        </c:ser>
        <c:ser>
          <c:idx val="2"/>
          <c:order val="2"/>
          <c:tx>
            <c:strRef>
              <c:f>'Comparation CO2 source (MEA)'!$K$20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(MEA)'!$K$21:$K$24</c:f>
              <c:numCache>
                <c:formatCode>0%</c:formatCode>
                <c:ptCount val="4"/>
                <c:pt idx="0">
                  <c:v>1</c:v>
                </c:pt>
                <c:pt idx="1">
                  <c:v>0.93892903102027847</c:v>
                </c:pt>
                <c:pt idx="2">
                  <c:v>1</c:v>
                </c:pt>
                <c:pt idx="3">
                  <c:v>0.77131362740622977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7-4287-9462-8840F1EA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(MEA)'!$L$34:$L$48</c:f>
              <c:numCache>
                <c:formatCode>0%</c:formatCode>
                <c:ptCount val="15"/>
                <c:pt idx="0">
                  <c:v>0.77914390096825947</c:v>
                </c:pt>
                <c:pt idx="1">
                  <c:v>1</c:v>
                </c:pt>
                <c:pt idx="2">
                  <c:v>0.94820889460702973</c:v>
                </c:pt>
                <c:pt idx="3">
                  <c:v>0.88845306629713505</c:v>
                </c:pt>
                <c:pt idx="4">
                  <c:v>0.6173570019727036</c:v>
                </c:pt>
                <c:pt idx="5">
                  <c:v>0.7906489117531923</c:v>
                </c:pt>
                <c:pt idx="6">
                  <c:v>0.72246213595074527</c:v>
                </c:pt>
                <c:pt idx="7">
                  <c:v>0.97085201830973877</c:v>
                </c:pt>
                <c:pt idx="8">
                  <c:v>0.92535251720116252</c:v>
                </c:pt>
                <c:pt idx="9">
                  <c:v>1</c:v>
                </c:pt>
                <c:pt idx="10">
                  <c:v>0.9191838463169979</c:v>
                </c:pt>
                <c:pt idx="11">
                  <c:v>1</c:v>
                </c:pt>
                <c:pt idx="12">
                  <c:v>0.97673516867167809</c:v>
                </c:pt>
                <c:pt idx="13">
                  <c:v>0.73682142419817354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8-42CC-840E-E291C665895B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(MEA)'!$J$34:$J$48</c:f>
              <c:numCache>
                <c:formatCode>0%</c:formatCode>
                <c:ptCount val="15"/>
                <c:pt idx="0">
                  <c:v>0.77003643296695057</c:v>
                </c:pt>
                <c:pt idx="1">
                  <c:v>0.95924765695108971</c:v>
                </c:pt>
                <c:pt idx="2">
                  <c:v>0.99568407455058583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0.81917987645275825</c:v>
                </c:pt>
                <c:pt idx="7">
                  <c:v>1</c:v>
                </c:pt>
                <c:pt idx="8">
                  <c:v>1</c:v>
                </c:pt>
                <c:pt idx="9">
                  <c:v>0.9605866177818515</c:v>
                </c:pt>
                <c:pt idx="10">
                  <c:v>1</c:v>
                </c:pt>
                <c:pt idx="11">
                  <c:v>0.95401876034577893</c:v>
                </c:pt>
                <c:pt idx="12">
                  <c:v>0.92245056223892663</c:v>
                </c:pt>
                <c:pt idx="13">
                  <c:v>1</c:v>
                </c:pt>
                <c:pt idx="14">
                  <c:v>0.64233407847066992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8-42CC-840E-E291C665895B}"/>
            </c:ext>
          </c:extLst>
        </c:ser>
        <c:ser>
          <c:idx val="2"/>
          <c:order val="2"/>
          <c:tx>
            <c:strRef>
              <c:f>'Comparation CO2 source (MEA)'!$K$33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(MEA)'!$K$34:$K$48</c:f>
              <c:numCache>
                <c:formatCode>0%</c:formatCode>
                <c:ptCount val="15"/>
                <c:pt idx="0">
                  <c:v>1</c:v>
                </c:pt>
                <c:pt idx="1">
                  <c:v>0.95924765695108971</c:v>
                </c:pt>
                <c:pt idx="2">
                  <c:v>1</c:v>
                </c:pt>
                <c:pt idx="3">
                  <c:v>0.82235117965840032</c:v>
                </c:pt>
                <c:pt idx="4">
                  <c:v>0.65483234714032545</c:v>
                </c:pt>
                <c:pt idx="5">
                  <c:v>0.89585580381630892</c:v>
                </c:pt>
                <c:pt idx="6">
                  <c:v>1</c:v>
                </c:pt>
                <c:pt idx="7">
                  <c:v>0.9540358750268958</c:v>
                </c:pt>
                <c:pt idx="8">
                  <c:v>0.99170583524457356</c:v>
                </c:pt>
                <c:pt idx="9">
                  <c:v>0.95508707607699361</c:v>
                </c:pt>
                <c:pt idx="10">
                  <c:v>0.96734700861292844</c:v>
                </c:pt>
                <c:pt idx="11">
                  <c:v>0.91815339341548641</c:v>
                </c:pt>
                <c:pt idx="12">
                  <c:v>1</c:v>
                </c:pt>
                <c:pt idx="13">
                  <c:v>0.81358184214037288</c:v>
                </c:pt>
                <c:pt idx="14">
                  <c:v>0.70785477530255148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D-4804-86BE-53417BD5E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(MEA)'!$L$52:$L$55</c:f>
              <c:numCache>
                <c:formatCode>0%</c:formatCode>
                <c:ptCount val="4"/>
                <c:pt idx="0">
                  <c:v>0.94805195309832957</c:v>
                </c:pt>
                <c:pt idx="1">
                  <c:v>0.97695853296417168</c:v>
                </c:pt>
                <c:pt idx="2">
                  <c:v>0.97673516874098498</c:v>
                </c:pt>
                <c:pt idx="3">
                  <c:v>0.73730585260669212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6-4FFA-971E-516A733293E2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(MEA)'!$J$52:$J$55</c:f>
              <c:numCache>
                <c:formatCode>0%</c:formatCode>
                <c:ptCount val="4"/>
                <c:pt idx="0">
                  <c:v>0.98441558592949885</c:v>
                </c:pt>
                <c:pt idx="1">
                  <c:v>1</c:v>
                </c:pt>
                <c:pt idx="2">
                  <c:v>0.9224505623043816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6-4FFA-971E-516A733293E2}"/>
            </c:ext>
          </c:extLst>
        </c:ser>
        <c:ser>
          <c:idx val="2"/>
          <c:order val="2"/>
          <c:tx>
            <c:strRef>
              <c:f>'Comparation CO2 source (MEA)'!$K$51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(MEA)'!$K$52:$K$55</c:f>
              <c:numCache>
                <c:formatCode>0%</c:formatCode>
                <c:ptCount val="4"/>
                <c:pt idx="0">
                  <c:v>1</c:v>
                </c:pt>
                <c:pt idx="1">
                  <c:v>0.96428572609446606</c:v>
                </c:pt>
                <c:pt idx="2">
                  <c:v>1</c:v>
                </c:pt>
                <c:pt idx="3">
                  <c:v>0.81392497892974025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F-4A0F-BBA4-7E2B9603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(membra)'!$L$3:$L$17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B-47FC-8A0C-55D2777BE36A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(membra)'!$J$3:$J$17</c:f>
              <c:numCache>
                <c:formatCode>0%</c:formatCode>
                <c:ptCount val="15"/>
                <c:pt idx="0">
                  <c:v>0.83250521634732488</c:v>
                </c:pt>
                <c:pt idx="1">
                  <c:v>0.89589299147347157</c:v>
                </c:pt>
                <c:pt idx="2">
                  <c:v>0.89259854795316529</c:v>
                </c:pt>
                <c:pt idx="3">
                  <c:v>0.9054969701443244</c:v>
                </c:pt>
                <c:pt idx="4">
                  <c:v>0.893611819029409</c:v>
                </c:pt>
                <c:pt idx="5">
                  <c:v>0.86546489808677896</c:v>
                </c:pt>
                <c:pt idx="6">
                  <c:v>0.82948071306310445</c:v>
                </c:pt>
                <c:pt idx="7">
                  <c:v>0.84796001795289677</c:v>
                </c:pt>
                <c:pt idx="8">
                  <c:v>0.9131650866866412</c:v>
                </c:pt>
                <c:pt idx="9">
                  <c:v>0.92217221070803823</c:v>
                </c:pt>
                <c:pt idx="10">
                  <c:v>0.99986241347924454</c:v>
                </c:pt>
                <c:pt idx="11">
                  <c:v>0.85234398403767597</c:v>
                </c:pt>
                <c:pt idx="12">
                  <c:v>0.81698913904982795</c:v>
                </c:pt>
                <c:pt idx="13">
                  <c:v>0.8568015947899611</c:v>
                </c:pt>
                <c:pt idx="14">
                  <c:v>0.56636101725124199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B-47FC-8A0C-55D2777BE36A}"/>
            </c:ext>
          </c:extLst>
        </c:ser>
        <c:ser>
          <c:idx val="2"/>
          <c:order val="2"/>
          <c:tx>
            <c:strRef>
              <c:f>'Comparation CO2 source (membra)'!$K$2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(membra)'!$K$3:$K$17</c:f>
              <c:numCache>
                <c:formatCode>0%</c:formatCode>
                <c:ptCount val="15"/>
                <c:pt idx="0">
                  <c:v>0.83936533319763496</c:v>
                </c:pt>
                <c:pt idx="1">
                  <c:v>0.89728058592610904</c:v>
                </c:pt>
                <c:pt idx="2">
                  <c:v>0.90185176799351097</c:v>
                </c:pt>
                <c:pt idx="3">
                  <c:v>0.92161427239202587</c:v>
                </c:pt>
                <c:pt idx="4">
                  <c:v>0.9027392040479707</c:v>
                </c:pt>
                <c:pt idx="5">
                  <c:v>0.86887115439043217</c:v>
                </c:pt>
                <c:pt idx="6">
                  <c:v>0.83549162154195866</c:v>
                </c:pt>
                <c:pt idx="7">
                  <c:v>0.85164400233939297</c:v>
                </c:pt>
                <c:pt idx="8">
                  <c:v>0.92294703298217018</c:v>
                </c:pt>
                <c:pt idx="9">
                  <c:v>0.92428958151224738</c:v>
                </c:pt>
                <c:pt idx="10">
                  <c:v>0.99987634763197375</c:v>
                </c:pt>
                <c:pt idx="11">
                  <c:v>0.85402674901573572</c:v>
                </c:pt>
                <c:pt idx="12">
                  <c:v>0.82406760016212466</c:v>
                </c:pt>
                <c:pt idx="13">
                  <c:v>0.86611084182127984</c:v>
                </c:pt>
                <c:pt idx="14">
                  <c:v>0.56766480360117055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7B-47FC-8A0C-55D2777BE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(membra)'!$L$21:$L$24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3-41E2-B721-C05D9B0095C2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(membra)'!$J$21:$J$24</c:f>
              <c:numCache>
                <c:formatCode>0%</c:formatCode>
                <c:ptCount val="4"/>
                <c:pt idx="0">
                  <c:v>0.8896330694825465</c:v>
                </c:pt>
                <c:pt idx="1">
                  <c:v>0.86587219980621088</c:v>
                </c:pt>
                <c:pt idx="2">
                  <c:v>0.81698913904982795</c:v>
                </c:pt>
                <c:pt idx="3">
                  <c:v>0.85574473279219232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3-41E2-B721-C05D9B0095C2}"/>
            </c:ext>
          </c:extLst>
        </c:ser>
        <c:ser>
          <c:idx val="2"/>
          <c:order val="2"/>
          <c:tx>
            <c:strRef>
              <c:f>'Comparation CO2 source (membra)'!$K$20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(membra)'!$K$21:$K$24</c:f>
              <c:numCache>
                <c:formatCode>0%</c:formatCode>
                <c:ptCount val="4"/>
                <c:pt idx="0">
                  <c:v>0.89812718932739932</c:v>
                </c:pt>
                <c:pt idx="1">
                  <c:v>0.86967319721701331</c:v>
                </c:pt>
                <c:pt idx="2">
                  <c:v>0.82406760016212466</c:v>
                </c:pt>
                <c:pt idx="3">
                  <c:v>0.86501030841636206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3-41E2-B721-C05D9B009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(membra)'!$L$34:$L$48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3-45D3-B79C-8CFD1754204B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(membra)'!$J$34:$J$48</c:f>
              <c:numCache>
                <c:formatCode>0%</c:formatCode>
                <c:ptCount val="15"/>
                <c:pt idx="0">
                  <c:v>0.856808886166743</c:v>
                </c:pt>
                <c:pt idx="1">
                  <c:v>0.91536051828303244</c:v>
                </c:pt>
                <c:pt idx="2">
                  <c:v>0.91351844092028467</c:v>
                </c:pt>
                <c:pt idx="3">
                  <c:v>0.91629876097055862</c:v>
                </c:pt>
                <c:pt idx="4">
                  <c:v>0.93290734824290145</c:v>
                </c:pt>
                <c:pt idx="5">
                  <c:v>0.91801108218664562</c:v>
                </c:pt>
                <c:pt idx="6">
                  <c:v>0.88591743250895683</c:v>
                </c:pt>
                <c:pt idx="7">
                  <c:v>0.92032332668396544</c:v>
                </c:pt>
                <c:pt idx="8">
                  <c:v>0.92829401032581127</c:v>
                </c:pt>
                <c:pt idx="9">
                  <c:v>0.93858845096241983</c:v>
                </c:pt>
                <c:pt idx="10">
                  <c:v>0.92007123393727086</c:v>
                </c:pt>
                <c:pt idx="11">
                  <c:v>0.86297590583042105</c:v>
                </c:pt>
                <c:pt idx="12">
                  <c:v>0.8610559746031865</c:v>
                </c:pt>
                <c:pt idx="13">
                  <c:v>0.8933417998447255</c:v>
                </c:pt>
                <c:pt idx="14">
                  <c:v>0.61381330455561556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3-45D3-B79C-8CFD1754204B}"/>
            </c:ext>
          </c:extLst>
        </c:ser>
        <c:ser>
          <c:idx val="2"/>
          <c:order val="2"/>
          <c:tx>
            <c:strRef>
              <c:f>'Comparation CO2 source (membra)'!$K$33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(membra)'!$K$34:$K$48</c:f>
              <c:numCache>
                <c:formatCode>0%</c:formatCode>
                <c:ptCount val="15"/>
                <c:pt idx="0">
                  <c:v>0.86265342142524348</c:v>
                </c:pt>
                <c:pt idx="1">
                  <c:v>0.91536051828303244</c:v>
                </c:pt>
                <c:pt idx="2">
                  <c:v>0.92262176292867581</c:v>
                </c:pt>
                <c:pt idx="3">
                  <c:v>0.93024896747546548</c:v>
                </c:pt>
                <c:pt idx="4">
                  <c:v>0.93929712460072035</c:v>
                </c:pt>
                <c:pt idx="5">
                  <c:v>0.92069924342642762</c:v>
                </c:pt>
                <c:pt idx="6">
                  <c:v>0.88999180991935123</c:v>
                </c:pt>
                <c:pt idx="7">
                  <c:v>0.92263279547573451</c:v>
                </c:pt>
                <c:pt idx="8">
                  <c:v>0.93725725903508494</c:v>
                </c:pt>
                <c:pt idx="9">
                  <c:v>0.94042163153070579</c:v>
                </c:pt>
                <c:pt idx="10">
                  <c:v>0.92806411054354387</c:v>
                </c:pt>
                <c:pt idx="11">
                  <c:v>0.86481515541659004</c:v>
                </c:pt>
                <c:pt idx="12">
                  <c:v>0.86502580390023831</c:v>
                </c:pt>
                <c:pt idx="13">
                  <c:v>0.90078306962300048</c:v>
                </c:pt>
                <c:pt idx="14">
                  <c:v>0.61535496801048339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3-45D3-B79C-8CFD17542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B-4546-A62E-18344B760A1E}"/>
            </c:ext>
          </c:extLst>
        </c:ser>
        <c:ser>
          <c:idx val="1"/>
          <c:order val="1"/>
          <c:tx>
            <c:strRef>
              <c:f>'Results SimaPro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(GF)'!$O$103:$O$106</c:f>
              <c:numCache>
                <c:formatCode>0%</c:formatCode>
                <c:ptCount val="4"/>
                <c:pt idx="0">
                  <c:v>0.82191772400075924</c:v>
                </c:pt>
                <c:pt idx="1">
                  <c:v>0.57429225846476628</c:v>
                </c:pt>
                <c:pt idx="2">
                  <c:v>0.75029773714279291</c:v>
                </c:pt>
                <c:pt idx="3">
                  <c:v>0.74474349648411797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B-4546-A62E-18344B760A1E}"/>
            </c:ext>
          </c:extLst>
        </c:ser>
        <c:ser>
          <c:idx val="2"/>
          <c:order val="2"/>
          <c:tx>
            <c:strRef>
              <c:f>'Results SimaPro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(GF)'!$P$103:$P$106</c:f>
              <c:numCache>
                <c:formatCode>0%</c:formatCode>
                <c:ptCount val="4"/>
                <c:pt idx="0">
                  <c:v>1.0246574292542799E-7</c:v>
                </c:pt>
                <c:pt idx="1">
                  <c:v>3.3844328168252136E-7</c:v>
                </c:pt>
                <c:pt idx="2">
                  <c:v>7.2647876136048196E-11</c:v>
                </c:pt>
                <c:pt idx="3">
                  <c:v>4.1072232696466306E-4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B-4546-A62E-18344B760A1E}"/>
            </c:ext>
          </c:extLst>
        </c:ser>
        <c:ser>
          <c:idx val="3"/>
          <c:order val="3"/>
          <c:tx>
            <c:strRef>
              <c:f>'Results SimaPro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(GF)'!$Q$103:$Q$106</c:f>
              <c:numCache>
                <c:formatCode>0%</c:formatCode>
                <c:ptCount val="4"/>
                <c:pt idx="0">
                  <c:v>0.17808217353349784</c:v>
                </c:pt>
                <c:pt idx="1">
                  <c:v>0.42570740309195199</c:v>
                </c:pt>
                <c:pt idx="2">
                  <c:v>0.24970226278455912</c:v>
                </c:pt>
                <c:pt idx="3">
                  <c:v>0.25484578118891743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9-41AE-9362-3710C1EEC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(membra)'!$L$52:$L$55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6-4F51-A06E-153C05F5A873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(membra)'!$J$52:$J$55</c:f>
              <c:numCache>
                <c:formatCode>0%</c:formatCode>
                <c:ptCount val="4"/>
                <c:pt idx="0">
                  <c:v>0.9123287761065858</c:v>
                </c:pt>
                <c:pt idx="1">
                  <c:v>0.92334908254577042</c:v>
                </c:pt>
                <c:pt idx="2">
                  <c:v>0.8610559746031865</c:v>
                </c:pt>
                <c:pt idx="3">
                  <c:v>0.89360807193084024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6-4F51-A06E-153C05F5A873}"/>
            </c:ext>
          </c:extLst>
        </c:ser>
        <c:ser>
          <c:idx val="2"/>
          <c:order val="2"/>
          <c:tx>
            <c:strRef>
              <c:f>'Comparation CO2 source (membra)'!$K$51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(membra)'!$K$52:$K$55</c:f>
              <c:numCache>
                <c:formatCode>0%</c:formatCode>
                <c:ptCount val="4"/>
                <c:pt idx="0">
                  <c:v>0.9178082275999242</c:v>
                </c:pt>
                <c:pt idx="1">
                  <c:v>0.92334908254577042</c:v>
                </c:pt>
                <c:pt idx="2">
                  <c:v>0.86502580382759042</c:v>
                </c:pt>
                <c:pt idx="3">
                  <c:v>0.90103076458682818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6-4F51-A06E-153C05F5A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(GF)'!$N$111:$N$114</c:f>
              <c:numCache>
                <c:formatCode>0%</c:formatCode>
                <c:ptCount val="4"/>
                <c:pt idx="0">
                  <c:v>0.56817875485540503</c:v>
                </c:pt>
                <c:pt idx="1">
                  <c:v>0.63188692074955</c:v>
                </c:pt>
                <c:pt idx="2">
                  <c:v>0.63163786415562151</c:v>
                </c:pt>
                <c:pt idx="3">
                  <c:v>0.68066497166662943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4-44B1-A433-3277C0162795}"/>
            </c:ext>
          </c:extLst>
        </c:ser>
        <c:ser>
          <c:idx val="1"/>
          <c:order val="1"/>
          <c:tx>
            <c:strRef>
              <c:f>'Results SimaPro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(GF)'!$O$111:$O$114</c:f>
              <c:numCache>
                <c:formatCode>0%</c:formatCode>
                <c:ptCount val="4"/>
                <c:pt idx="0">
                  <c:v>0.38263987491574791</c:v>
                </c:pt>
                <c:pt idx="1">
                  <c:v>0.35092731027350754</c:v>
                </c:pt>
                <c:pt idx="2">
                  <c:v>0.22412334027324698</c:v>
                </c:pt>
                <c:pt idx="3">
                  <c:v>0.16284583828041568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4-44B1-A433-3277C0162795}"/>
            </c:ext>
          </c:extLst>
        </c:ser>
        <c:ser>
          <c:idx val="2"/>
          <c:order val="2"/>
          <c:tx>
            <c:strRef>
              <c:f>'Results SimaPro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(GF)'!$P$111:$P$114</c:f>
              <c:numCache>
                <c:formatCode>0%</c:formatCode>
                <c:ptCount val="4"/>
                <c:pt idx="0">
                  <c:v>6.2401444717364706E-4</c:v>
                </c:pt>
                <c:pt idx="1">
                  <c:v>3.6118822117569173E-5</c:v>
                </c:pt>
                <c:pt idx="2">
                  <c:v>7.6852782785600286E-3</c:v>
                </c:pt>
                <c:pt idx="3">
                  <c:v>5.6131259982335133E-3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A4-44B1-A433-3277C0162795}"/>
            </c:ext>
          </c:extLst>
        </c:ser>
        <c:ser>
          <c:idx val="3"/>
          <c:order val="3"/>
          <c:tx>
            <c:strRef>
              <c:f>'Results SimaPro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(GF)'!$Q$111:$Q$114</c:f>
              <c:numCache>
                <c:formatCode>0%</c:formatCode>
                <c:ptCount val="4"/>
                <c:pt idx="0">
                  <c:v>1.1296572670808105E-7</c:v>
                </c:pt>
                <c:pt idx="1">
                  <c:v>5.3498103885551947E-7</c:v>
                </c:pt>
                <c:pt idx="2">
                  <c:v>8.8192799235732091E-11</c:v>
                </c:pt>
                <c:pt idx="3">
                  <c:v>5.0049439876791906E-4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A4-44B1-A433-3277C0162795}"/>
            </c:ext>
          </c:extLst>
        </c:ser>
        <c:ser>
          <c:idx val="4"/>
          <c:order val="4"/>
          <c:tx>
            <c:strRef>
              <c:f>'Results SimaPro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(GF)'!$R$111:$R$114</c:f>
              <c:numCache>
                <c:formatCode>0%</c:formatCode>
                <c:ptCount val="4"/>
                <c:pt idx="0">
                  <c:v>1.4940752325198623E-2</c:v>
                </c:pt>
                <c:pt idx="1">
                  <c:v>2.2224082916938127E-3</c:v>
                </c:pt>
                <c:pt idx="2">
                  <c:v>0.1088591463707978</c:v>
                </c:pt>
                <c:pt idx="3">
                  <c:v>0.11504813269159854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A4-44B1-A433-3277C0162795}"/>
            </c:ext>
          </c:extLst>
        </c:ser>
        <c:ser>
          <c:idx val="5"/>
          <c:order val="5"/>
          <c:tx>
            <c:strRef>
              <c:f>'Results SimaPro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(GF)'!$S$111:$S$114</c:f>
              <c:numCache>
                <c:formatCode>0%</c:formatCode>
                <c:ptCount val="4"/>
                <c:pt idx="0">
                  <c:v>3.3616490490748212E-2</c:v>
                </c:pt>
                <c:pt idx="1">
                  <c:v>1.4926706882092298E-2</c:v>
                </c:pt>
                <c:pt idx="2">
                  <c:v>2.7694370833580916E-2</c:v>
                </c:pt>
                <c:pt idx="3">
                  <c:v>3.5327436964355044E-2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A4-44B1-A433-3277C01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4" Type="http://schemas.openxmlformats.org/officeDocument/2006/relationships/chart" Target="../charts/chart8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13" Type="http://schemas.openxmlformats.org/officeDocument/2006/relationships/chart" Target="../charts/chart57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12" Type="http://schemas.openxmlformats.org/officeDocument/2006/relationships/chart" Target="../charts/chart56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Relationship Id="rId14" Type="http://schemas.openxmlformats.org/officeDocument/2006/relationships/chart" Target="../charts/chart5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13" Type="http://schemas.openxmlformats.org/officeDocument/2006/relationships/chart" Target="../charts/chart71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12" Type="http://schemas.openxmlformats.org/officeDocument/2006/relationships/chart" Target="../charts/chart70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1" Type="http://schemas.openxmlformats.org/officeDocument/2006/relationships/chart" Target="../charts/chart69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436563</xdr:colOff>
      <xdr:row>155</xdr:row>
      <xdr:rowOff>47625</xdr:rowOff>
    </xdr:from>
    <xdr:to>
      <xdr:col>7</xdr:col>
      <xdr:colOff>620904</xdr:colOff>
      <xdr:row>160</xdr:row>
      <xdr:rowOff>12701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9F266-2371-4EC0-B715-86344831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563" y="30114875"/>
          <a:ext cx="3695891" cy="8921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520700</xdr:colOff>
      <xdr:row>180</xdr:row>
      <xdr:rowOff>19050</xdr:rowOff>
    </xdr:from>
    <xdr:to>
      <xdr:col>6</xdr:col>
      <xdr:colOff>1420959</xdr:colOff>
      <xdr:row>184</xdr:row>
      <xdr:rowOff>127043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40DDFA-FE86-4352-84C5-E3A9C1DA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34848800"/>
          <a:ext cx="2817959" cy="84459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17</xdr:col>
      <xdr:colOff>176388</xdr:colOff>
      <xdr:row>153</xdr:row>
      <xdr:rowOff>118535</xdr:rowOff>
    </xdr:from>
    <xdr:to>
      <xdr:col>22</xdr:col>
      <xdr:colOff>120297</xdr:colOff>
      <xdr:row>164</xdr:row>
      <xdr:rowOff>116418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7500DF-44C2-4FCE-A5FD-C0E19B2548CE}"/>
            </a:ext>
          </a:extLst>
        </xdr:cNvPr>
        <xdr:cNvSpPr txBox="1"/>
      </xdr:nvSpPr>
      <xdr:spPr>
        <a:xfrm>
          <a:off x="22922088" y="29798435"/>
          <a:ext cx="4382559" cy="20870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https://farmdocdaily.illinois.edu/2017/07/fertilizer-costs-in-2017-and-2018.html (precios)</a:t>
          </a:r>
        </a:p>
        <a:p>
          <a:endParaRPr lang="es-ES" sz="1100"/>
        </a:p>
        <a:p>
          <a:r>
            <a:rPr lang="es-ES" sz="1100"/>
            <a:t>https://blogs.worldbank.org/opendata/fertilizer-prices-expected-remain-higher-longer (precio 2022)</a:t>
          </a:r>
        </a:p>
        <a:p>
          <a:endParaRPr lang="es-ES" sz="1100"/>
        </a:p>
        <a:p>
          <a:r>
            <a:rPr lang="es-ES" sz="1100"/>
            <a:t>https://www.researchgate.net/figure/Comparison-of-nutrient-cost-through-biofertilizers-and-chemical-fertilizers_tbl2_346587755</a:t>
          </a:r>
        </a:p>
        <a:p>
          <a:endParaRPr lang="es-ES" sz="1100"/>
        </a:p>
        <a:p>
          <a:r>
            <a:rPr lang="es-ES" sz="1100"/>
            <a:t>https://petraferte.com/product/18-46-0/</a:t>
          </a:r>
        </a:p>
        <a:p>
          <a:endParaRPr lang="es-ES" sz="1100"/>
        </a:p>
        <a:p>
          <a:r>
            <a:rPr lang="es-ES" sz="1100"/>
            <a:t>https://www.voleba.com/india/spain-hs-code-exports-data-3105.html</a:t>
          </a:r>
        </a:p>
      </xdr:txBody>
    </xdr:sp>
    <xdr:clientData/>
  </xdr:twoCellAnchor>
  <xdr:twoCellAnchor>
    <xdr:from>
      <xdr:col>15</xdr:col>
      <xdr:colOff>518584</xdr:colOff>
      <xdr:row>117</xdr:row>
      <xdr:rowOff>178859</xdr:rowOff>
    </xdr:from>
    <xdr:to>
      <xdr:col>19</xdr:col>
      <xdr:colOff>227542</xdr:colOff>
      <xdr:row>132</xdr:row>
      <xdr:rowOff>83079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123BD7-1B4A-4834-8775-993B8DD59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436563</xdr:colOff>
      <xdr:row>118</xdr:row>
      <xdr:rowOff>-1</xdr:rowOff>
    </xdr:from>
    <xdr:to>
      <xdr:col>23</xdr:col>
      <xdr:colOff>494771</xdr:colOff>
      <xdr:row>132</xdr:row>
      <xdr:rowOff>86782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258CD3-9CD4-4C15-9244-9851FB90D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1000125</xdr:colOff>
      <xdr:row>156</xdr:row>
      <xdr:rowOff>38100</xdr:rowOff>
    </xdr:from>
    <xdr:to>
      <xdr:col>9</xdr:col>
      <xdr:colOff>590256</xdr:colOff>
      <xdr:row>159</xdr:row>
      <xdr:rowOff>18980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5FE465-8324-4544-9909-83287AC0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9675" y="30289500"/>
          <a:ext cx="2479381" cy="5396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1</xdr:colOff>
      <xdr:row>1</xdr:row>
      <xdr:rowOff>0</xdr:rowOff>
    </xdr:from>
    <xdr:to>
      <xdr:col>11</xdr:col>
      <xdr:colOff>402772</xdr:colOff>
      <xdr:row>16</xdr:row>
      <xdr:rowOff>26373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0F9D70-49F3-4D65-8EA5-67BD6E89F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27651" y="184150"/>
          <a:ext cx="10797721" cy="27886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678656</xdr:colOff>
      <xdr:row>0</xdr:row>
      <xdr:rowOff>0</xdr:rowOff>
    </xdr:from>
    <xdr:to>
      <xdr:col>18</xdr:col>
      <xdr:colOff>678656</xdr:colOff>
      <xdr:row>12</xdr:row>
      <xdr:rowOff>111125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59944A-28A4-41F3-A41C-204854BCB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666749</xdr:colOff>
      <xdr:row>14</xdr:row>
      <xdr:rowOff>71439</xdr:rowOff>
    </xdr:from>
    <xdr:to>
      <xdr:col>18</xdr:col>
      <xdr:colOff>666749</xdr:colOff>
      <xdr:row>28</xdr:row>
      <xdr:rowOff>4765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A2BBBA-A317-44F5-9550-2B1F38B95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31</xdr:row>
      <xdr:rowOff>0</xdr:rowOff>
    </xdr:from>
    <xdr:to>
      <xdr:col>19</xdr:col>
      <xdr:colOff>0</xdr:colOff>
      <xdr:row>44</xdr:row>
      <xdr:rowOff>4763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2FB36D-25AD-42B6-937E-B0298ECAB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3968</xdr:colOff>
      <xdr:row>44</xdr:row>
      <xdr:rowOff>50008</xdr:rowOff>
    </xdr:from>
    <xdr:to>
      <xdr:col>19</xdr:col>
      <xdr:colOff>3968</xdr:colOff>
      <xdr:row>58</xdr:row>
      <xdr:rowOff>118270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BEBC4D-1494-4DB1-8B97-5D5029ABB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217714</xdr:colOff>
      <xdr:row>1</xdr:row>
      <xdr:rowOff>-1</xdr:rowOff>
    </xdr:from>
    <xdr:to>
      <xdr:col>39</xdr:col>
      <xdr:colOff>681562</xdr:colOff>
      <xdr:row>23</xdr:row>
      <xdr:rowOff>140840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AA05E-6F9C-EB91-C43F-4505AF35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83857" y="181428"/>
          <a:ext cx="5797848" cy="4540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105834</xdr:colOff>
      <xdr:row>6</xdr:row>
      <xdr:rowOff>137583</xdr:rowOff>
    </xdr:from>
    <xdr:to>
      <xdr:col>29</xdr:col>
      <xdr:colOff>503099</xdr:colOff>
      <xdr:row>22</xdr:row>
      <xdr:rowOff>176138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3E7B1-0516-4313-AB0F-14FFB0A4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8934" y="1293283"/>
          <a:ext cx="11827265" cy="32897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497418</xdr:colOff>
      <xdr:row>28</xdr:row>
      <xdr:rowOff>127000</xdr:rowOff>
    </xdr:from>
    <xdr:to>
      <xdr:col>27</xdr:col>
      <xdr:colOff>455084</xdr:colOff>
      <xdr:row>54</xdr:row>
      <xdr:rowOff>44684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5C3D64-99F0-F3A5-6137-44109C4D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5918" y="5757333"/>
          <a:ext cx="8339666" cy="47119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0F382D-4174-1E3D-9761-4EFDEA1D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208643</xdr:colOff>
      <xdr:row>37</xdr:row>
      <xdr:rowOff>157236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05873A-254D-9671-AF72-B750B314B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39BBFE-FB22-4884-ABE4-6F2F13ADF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2F32449-B654-4EF2-ACE2-3C16579ED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36287</xdr:colOff>
      <xdr:row>94</xdr:row>
      <xdr:rowOff>169636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247C20D-D41F-4C7C-AA22-132ABE5B9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0528A99-7BCD-B83D-317C-064A20595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D38ACEC-1C4B-4395-A650-FD84EAE79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BD51D24-D32E-45C1-8CCD-5DE5748A1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8D3A234-BE87-417A-BCC7-6D4AD9C53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F3E3566-D091-4CF9-8195-AC46DFBA9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FD64162-305D-42AA-B6FF-E218FD911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17452C-2D82-4F44-8A70-A78F24CDE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F46743-8EE0-464E-8896-DEED6F6F6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5B38C70-9768-471E-B3FC-77D30944B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9F553-7C7E-480C-A502-BED0C6916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755951</xdr:colOff>
      <xdr:row>21</xdr:row>
      <xdr:rowOff>150886</xdr:rowOff>
    </xdr:from>
    <xdr:to>
      <xdr:col>28</xdr:col>
      <xdr:colOff>317501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2B21A2-7A56-4F8B-B536-59A93C792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FFEE0A-CC4E-49B8-B7BD-67009AF93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631FB1-F414-4F2D-93A2-A4D57B7C4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544287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950AEF-4A1E-45CB-9EA5-33B1E84A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9EF5697-762F-44C1-A94C-94AE6AA7A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F6539A5-E00A-42A8-86F3-3FF808FF2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F00F899-BE20-4885-B988-7781C0650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9592328-E822-4071-9BC7-BE8757241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5AF3163-56D1-4E9E-92CE-15BA54CAF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1080752-85B5-48E5-A271-F470E32E8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E55569A-E1D8-404B-92C8-9CB70D7DB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2913608-844A-4522-8AA4-53C7FC6FB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7B84EB9-0252-4AF7-BC54-F95F2FD9B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FEA33D-3879-4768-9569-308F3FBBF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755951</xdr:colOff>
      <xdr:row>21</xdr:row>
      <xdr:rowOff>150886</xdr:rowOff>
    </xdr:from>
    <xdr:to>
      <xdr:col>28</xdr:col>
      <xdr:colOff>317501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2DE483-C216-4384-8981-81ADC936A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22B747-6D52-4010-BA18-D0F6D5B55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F83443-5E92-477A-B4F4-D023859F8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544287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B8C146-EC36-4B12-811D-9CE1503F1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16AAAF-4CB3-41D9-A4C8-2482A3C9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AA9BE45-B37C-42B9-A327-4CB4F85AE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CC62C16-6996-4A62-8D91-1FF1DA26F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89FBC0F-1B21-4598-86CF-A3EF4A07E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CEEA762-38C7-4A97-8BEF-C40C79DD0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4768007-791B-49F6-A091-1D8E1CE50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27C2C92-7C8A-4C00-B936-6FEC6456B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562A51F-B3ED-4B77-A442-CB2CD61DE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808F333-4B84-4DA9-AD93-78D753EAF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8762E-C3C1-4AF3-8AA2-42550399E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755951</xdr:colOff>
      <xdr:row>21</xdr:row>
      <xdr:rowOff>150886</xdr:rowOff>
    </xdr:from>
    <xdr:to>
      <xdr:col>28</xdr:col>
      <xdr:colOff>317501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FECC75-9084-4872-875D-1B33EAEBF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146261-E4EE-4CA2-AB08-53E5A7847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ACCA57-51AA-4DA7-970B-E84832D43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544287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613DA2-D6C7-428B-95E9-7B54313D5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ABB29C-F49B-4A03-AB2C-65D10E0A6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4FA6D18-0FAC-4627-9DA1-BB47A0A9D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B0A2F74-4412-4E91-A640-346CCB777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29FAE3A-BB8E-4AFE-85D3-47C4A7940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CAD1F1C-29D6-4543-8779-9119C391A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D7E1EDD-D7D1-4036-AD97-B16836BAD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B548A7B-8DFC-48B1-A939-11BA36E44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54B8938-072A-447A-9CFB-82DE61EB9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94B8DF0-961C-421F-9988-EC065AED8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9AA850-FD12-4D7F-9552-CD3FB3969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755951</xdr:colOff>
      <xdr:row>21</xdr:row>
      <xdr:rowOff>150886</xdr:rowOff>
    </xdr:from>
    <xdr:to>
      <xdr:col>28</xdr:col>
      <xdr:colOff>317501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A9E71B-E5C7-40DB-AA7E-0E5580EE1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96DB1E-CD43-4295-A450-1D7DCD943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B87ABA-F349-4940-9869-11001C95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544287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549AC3-D954-408B-884B-4C8D3ACD1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57DB56-FC93-4F6F-B18E-38E691FE9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0F483C5-174C-45B4-BD54-00EB9975D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425015C-5DB8-4BDD-83E0-51031A1AA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DE051C6-AAAA-4862-9FD5-0403D7BB7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BC99FD5-FC15-45FD-9181-B8DA7B10B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70E443A-F2A7-4772-A17A-FAB969278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A4CDA33-2805-4B36-AB7F-8A9067DB9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DB76AF3-CC90-4EC3-99C3-0D4365547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D5AA551-60C1-4072-BD70-4D635A694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678656</xdr:colOff>
      <xdr:row>0</xdr:row>
      <xdr:rowOff>0</xdr:rowOff>
    </xdr:from>
    <xdr:to>
      <xdr:col>18</xdr:col>
      <xdr:colOff>678656</xdr:colOff>
      <xdr:row>12</xdr:row>
      <xdr:rowOff>111125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9C2CCB-2477-ACC6-BED4-C48080102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666749</xdr:colOff>
      <xdr:row>14</xdr:row>
      <xdr:rowOff>71439</xdr:rowOff>
    </xdr:from>
    <xdr:to>
      <xdr:col>18</xdr:col>
      <xdr:colOff>666749</xdr:colOff>
      <xdr:row>28</xdr:row>
      <xdr:rowOff>4765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0E4454-3BCB-4652-BB15-3E9017AA2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31</xdr:row>
      <xdr:rowOff>0</xdr:rowOff>
    </xdr:from>
    <xdr:to>
      <xdr:col>19</xdr:col>
      <xdr:colOff>0</xdr:colOff>
      <xdr:row>44</xdr:row>
      <xdr:rowOff>4763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63DD27-47B0-4F6A-876C-AAB685529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3968</xdr:colOff>
      <xdr:row>44</xdr:row>
      <xdr:rowOff>50008</xdr:rowOff>
    </xdr:from>
    <xdr:to>
      <xdr:col>19</xdr:col>
      <xdr:colOff>3968</xdr:colOff>
      <xdr:row>58</xdr:row>
      <xdr:rowOff>118270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19AEDC-7391-4931-85BA-67E2EF315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ENA MARIA ROJO DE BENITO" id="{12E31005-B064-411B-B6C7-6142AA2348E0}" userId="ELENA MARIA ROJO DE BENITO" providerId="None"/>
  <person displayName="ELENA MARIA ROJO DE BENITO" id="{488BA2F0-3063-4E72-A61A-FC0069824A60}" userId="S::elenamaria.rojo@uva.es::8e30a15a-038a-4d57-a480-80842eddf8f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56" dT="2023-01-16T16:06:41.13" personId="{12E31005-B064-411B-B6C7-6142AA2348E0}" id="{C8FBFDEC-DAA8-43E4-8F0E-6363C0AA6D93}">
    <text>LPS a 5 bar y 150ºC</text>
  </threadedComment>
  <threadedComment ref="D104" dT="2023-01-30T15:13:12.75" personId="{488BA2F0-3063-4E72-A61A-FC0069824A60}" id="{24310EFC-80C3-49E2-8589-87F552E31C10}">
    <text>https://powderprocess.net/Mixing/Power_Consumption.html</text>
    <extLst>
      <x:ext xmlns:xltc2="http://schemas.microsoft.com/office/spreadsheetml/2020/threadedcomments2" uri="{F7C98A9C-CBB3-438F-8F68-D28B6AF4A901}">
        <xltc2:checksum>1690909944</xltc2:checksum>
        <xltc2:hyperlink startIndex="0" length="55" url="https://powderprocess.net/Mixing/Power_Consumption.html"/>
      </x:ext>
    </extLst>
  </threadedComment>
  <threadedComment ref="Q155" dT="2023-01-20T16:29:53.70" personId="{488BA2F0-3063-4E72-A61A-FC0069824A60}" id="{3D85E797-67C3-40CE-9973-EFB7A22C01A3}">
    <text>https://fercampo.com/catalogo-de-productos/nutricion-vegetal/fertilizantes-liquidos/</text>
    <extLst>
      <x:ext xmlns:xltc2="http://schemas.microsoft.com/office/spreadsheetml/2020/threadedcomments2" uri="{F7C98A9C-CBB3-438F-8F68-D28B6AF4A901}">
        <xltc2:checksum>1891551722</xltc2:checksum>
        <xltc2:hyperlink startIndex="0" length="84" url="https://fercampo.com/catalogo-de-productos/nutricion-vegetal/fertilizantes-liquidos/"/>
      </x:ext>
    </extLst>
  </threadedComment>
  <threadedComment ref="Q159" dT="2023-01-20T16:29:39.20" personId="{488BA2F0-3063-4E72-A61A-FC0069824A60}" id="{3BC09842-A7E9-4598-930C-F76F9CBFB807}">
    <text>Al mes son 5L/ha</text>
  </threadedComment>
  <threadedComment ref="O160" dT="2023-01-23T20:55:58.08" personId="{488BA2F0-3063-4E72-A61A-FC0069824A60}" id="{A3F1F0D4-E0EA-4D9F-84BF-C2FB1046EA0D}">
    <text>Estaba puesto antes 1.5</text>
  </threadedComment>
  <threadedComment ref="Q160" dT="2023-01-20T16:29:01.69" personId="{488BA2F0-3063-4E72-A61A-FC0069824A60}" id="{C54AFE69-460A-4CAE-BADC-D0928B3D4129}">
    <text>https://www.collier-turf-care.co.uk/Catalogue/Turf-Care-Shop/Fertiliser/Liquid-Lawn-Fertiliser/Prestige-Liquid-Fertiliser/Prestige-NPK-Spring-Summer</text>
    <extLst>
      <x:ext xmlns:xltc2="http://schemas.microsoft.com/office/spreadsheetml/2020/threadedcomments2" uri="{F7C98A9C-CBB3-438F-8F68-D28B6AF4A901}">
        <xltc2:checksum>3864939187</xltc2:checksum>
        <xltc2:hyperlink startIndex="0" length="148" url="https://www.collier-turf-care.co.uk/Catalogue/Turf-Care-Shop/Fertiliser/Liquid-Lawn-Fertiliser/Prestige-Liquid-Fertiliser/Prestige-NPK-Spring-Summer"/>
      </x:ext>
    </extLs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4" dT="2023-03-20T11:32:08.41" personId="{488BA2F0-3063-4E72-A61A-FC0069824A60}" id="{00C71CFA-2F56-4AB9-BD4E-8B5E142A4A70}">
    <text>Flujo total de producto (no tiene en cuenta la ha)</text>
  </threadedComment>
  <threadedComment ref="B6" dT="2023-03-02T11:02:50.70" personId="{488BA2F0-3063-4E72-A61A-FC0069824A60}" id="{58682DE4-CE9B-42A7-AAA4-0D623053BCE4}">
    <text>GFRP (glass fiber reinforced polymer)
Abreviatura de https://www.sciencedirect.com/science/article/pii/S2092678222000280</text>
    <extLst>
      <x:ext xmlns:xltc2="http://schemas.microsoft.com/office/spreadsheetml/2020/threadedcomments2" uri="{F7C98A9C-CBB3-438F-8F68-D28B6AF4A901}">
        <xltc2:checksum>589456417</xltc2:checksum>
        <xltc2:hyperlink startIndex="54" length="67" url="https://www.sciencedirect.com/science/article/pii/S2092678222000280"/>
      </x:ext>
    </extLst>
  </threadedComment>
  <threadedComment ref="M11" dT="2023-03-17T11:00:15.49" personId="{488BA2F0-3063-4E72-A61A-FC0069824A60}" id="{790FC3F1-5C1A-47DE-8911-98F5D1897593}">
    <text>https://www.sciencedirect.com/science/article/pii/S0360544222006788</text>
    <extLst>
      <x:ext xmlns:xltc2="http://schemas.microsoft.com/office/spreadsheetml/2020/threadedcomments2" uri="{F7C98A9C-CBB3-438F-8F68-D28B6AF4A901}">
        <xltc2:checksum>406464414</xltc2:checksum>
        <xltc2:hyperlink startIndex="0" length="67" url="https://www.sciencedirect.com/science/article/pii/S0360544222006788"/>
      </x:ext>
    </extLst>
  </threadedComment>
  <threadedComment ref="B13" dT="2023-03-22T10:56:19.75" personId="{488BA2F0-3063-4E72-A61A-FC0069824A60}" id="{ABBF5C4C-4C38-4CAC-B3B4-0CE9C113E994}">
    <text>Low density polyethylene resin, at plant/RNA</text>
  </threadedComment>
  <threadedComment ref="X14" dT="2023-04-04T08:45:22.84" personId="{488BA2F0-3063-4E72-A61A-FC0069824A60}" id="{756AE077-2DF5-4B98-BAE6-75A9C1960520}">
    <text>https://www.sciencedirect.com/science/article/pii/S1161030115000714#tbl0010</text>
    <extLst>
      <x:ext xmlns:xltc2="http://schemas.microsoft.com/office/spreadsheetml/2020/threadedcomments2" uri="{F7C98A9C-CBB3-438F-8F68-D28B6AF4A901}">
        <xltc2:checksum>3802589144</xltc2:checksum>
        <xltc2:hyperlink startIndex="0" length="75" url="https://www.sciencedirect.com/science/article/pii/S1161030115000714#tbl0010"/>
      </x:ext>
    </extLst>
  </threadedComment>
  <threadedComment ref="AA14" dT="2023-04-04T08:45:22.84" personId="{488BA2F0-3063-4E72-A61A-FC0069824A60}" id="{55910175-2237-4F73-9BBF-DC99A645DEAB}">
    <text>https://www.sciencedirect.com/science/article/pii/S1161030115000714#tbl0010</text>
    <extLst>
      <x:ext xmlns:xltc2="http://schemas.microsoft.com/office/spreadsheetml/2020/threadedcomments2" uri="{F7C98A9C-CBB3-438F-8F68-D28B6AF4A901}">
        <xltc2:checksum>3802589144</xltc2:checksum>
        <xltc2:hyperlink startIndex="0" length="75" url="https://www.sciencedirect.com/science/article/pii/S1161030115000714#tbl0010"/>
      </x:ext>
    </extLst>
  </threadedComment>
  <threadedComment ref="X20" dT="2023-04-04T08:59:05.96" personId="{488BA2F0-3063-4E72-A61A-FC0069824A60}" id="{2387BB87-040E-4B21-A306-B146A1CB5DAC}">
    <text>Basado en Hasler</text>
  </threadedComment>
  <threadedComment ref="AA20" dT="2023-04-04T08:59:05.96" personId="{488BA2F0-3063-4E72-A61A-FC0069824A60}" id="{5096A4DF-EA42-4043-98DE-A7D2C9775CDD}">
    <text>Basado en Hasler</text>
  </threadedComment>
  <threadedComment ref="C40" dT="2023-03-31T09:06:14.40" personId="{488BA2F0-3063-4E72-A61A-FC0069824A60}" id="{45584CD7-21E2-4DCD-A9CE-9DEA6AAD5DC2}">
    <text>Misma distancia para los dos escenarios</text>
  </threadedComment>
  <threadedComment ref="E60" dT="2023-03-22T09:09:11.12" personId="{488BA2F0-3063-4E72-A61A-FC0069824A60}" id="{975F7711-9C7A-4B83-9042-1F94F2C2D453}">
    <text>Página 35</text>
  </threadedComment>
  <threadedComment ref="E74" dT="2023-03-22T09:09:18.37" personId="{488BA2F0-3063-4E72-A61A-FC0069824A60}" id="{EECB0DE3-493B-4DC3-9011-B8BC3E1990C8}">
    <text>Página 35</text>
  </threadedComment>
  <threadedComment ref="B81" dT="2023-03-28T10:20:03.65" personId="{488BA2F0-3063-4E72-A61A-FC0069824A60}" id="{0D9AE13D-6750-42F8-A08F-C8E2A5D966D3}">
    <text>https://www.sciencedirect.com/science/article/pii/S2212982021000135
https://www.sciencedirect.com/science/article/pii/S1750583618301592#bib0060</text>
    <extLst>
      <x:ext xmlns:xltc2="http://schemas.microsoft.com/office/spreadsheetml/2020/threadedcomments2" uri="{F7C98A9C-CBB3-438F-8F68-D28B6AF4A901}">
        <xltc2:checksum>412758100</xltc2:checksum>
        <xltc2:hyperlink startIndex="0" length="67" url="https://www.sciencedirect.com/science/article/pii/S2212982021000135"/>
        <xltc2:hyperlink startIndex="69" length="75" url="https://www.sciencedirect.com/science/article/pii/S1750583618301592#bib0060"/>
      </x:ext>
    </extLst>
  </threadedComment>
  <threadedComment ref="B103" dT="2023-04-03T11:05:09.18" personId="{488BA2F0-3063-4E72-A61A-FC0069824A60}" id="{FEE28EF6-0345-4FA7-B3ED-3C36329E395D}">
    <text>https://www.sciencedirect.com/science/article/pii/S2352484722025872</text>
    <extLst>
      <x:ext xmlns:xltc2="http://schemas.microsoft.com/office/spreadsheetml/2020/threadedcomments2" uri="{F7C98A9C-CBB3-438F-8F68-D28B6AF4A901}">
        <xltc2:checksum>4005038910</xltc2:checksum>
        <xltc2:hyperlink startIndex="0" length="67" url="https://www.sciencedirect.com/science/article/pii/S2352484722025872"/>
      </x:ext>
    </extLst>
  </threadedComment>
  <threadedComment ref="L103" dT="2023-04-03T11:05:09.18" personId="{488BA2F0-3063-4E72-A61A-FC0069824A60}" id="{372A6D44-0DF7-4E88-83AA-F710FD4533D0}">
    <text>https://www.sciencedirect.com/science/article/pii/S0306261916312909?casa_token=Fd9jfg9rWXIAAAAA:irv2oGQLnV8n-OmABqXf2npO-YrAPQw3pTrcv1rhMyx_ZT0WCqAPe-CCkkGkcVnO4GP2HggRLg#s0010</text>
    <extLst>
      <x:ext xmlns:xltc2="http://schemas.microsoft.com/office/spreadsheetml/2020/threadedcomments2" uri="{F7C98A9C-CBB3-438F-8F68-D28B6AF4A901}">
        <xltc2:checksum>1126952011</xltc2:checksum>
        <xltc2:hyperlink startIndex="0" length="176" url="https://www.sciencedirect.com/science/article/pii/S0306261916312909?casa_token=Fd9jfg9rWXIAAAAA:irv2oGQLnV8n-OmABqXf2npO-YrAPQw3pTrcv1rhMyx_ZT0WCqAPe-CCkkGkcVnO4GP2HggRLg#s0010"/>
      </x:ext>
    </extLst>
  </threadedComment>
  <threadedComment ref="V104" dT="2023-04-03T11:05:09.18" personId="{488BA2F0-3063-4E72-A61A-FC0069824A60}" id="{179C37F7-9EA3-4C80-B0F8-716C4A090DC3}">
    <text>https://www.mdpi.com/1996-1073/12/4/718</text>
    <extLst>
      <x:ext xmlns:xltc2="http://schemas.microsoft.com/office/spreadsheetml/2020/threadedcomments2" uri="{F7C98A9C-CBB3-438F-8F68-D28B6AF4A901}">
        <xltc2:checksum>665076522</xltc2:checksum>
        <xltc2:hyperlink startIndex="0" length="39" url="https://www.mdpi.com/1996-1073/12/4/718"/>
      </x:ext>
    </extLst>
  </threadedComment>
  <threadedComment ref="M106" dT="2023-05-02T09:14:53.43" personId="{488BA2F0-3063-4E72-A61A-FC0069824A60}" id="{FAA266FD-86B8-4ED5-9EE0-6E2D89371F83}">
    <text>Según Collet, el producto es a 150ºC y 13 bar</text>
  </threadedComment>
  <threadedComment ref="B113" dT="2023-04-03T11:05:09.18" personId="{488BA2F0-3063-4E72-A61A-FC0069824A60}" id="{5243E588-96FC-4C83-B05A-3204050AF9EF}">
    <text>https://www.sciencedirect.com/science/article/pii/S221298202100175X#bib0255</text>
    <extLst>
      <x:ext xmlns:xltc2="http://schemas.microsoft.com/office/spreadsheetml/2020/threadedcomments2" uri="{F7C98A9C-CBB3-438F-8F68-D28B6AF4A901}">
        <xltc2:checksum>3986664250</xltc2:checksum>
        <xltc2:hyperlink startIndex="0" length="75" url="https://www.sciencedirect.com/science/article/pii/S221298202100175X#bib0255"/>
      </x:ext>
    </extLst>
  </threadedComment>
  <threadedComment ref="L114" dT="2023-04-03T11:05:09.18" personId="{488BA2F0-3063-4E72-A61A-FC0069824A60}" id="{10ABFA96-CC5C-4E6E-8B04-51CD952BE524}">
    <text>https://www.mdpi.com/1996-1073/12/4/718</text>
    <extLst>
      <x:ext xmlns:xltc2="http://schemas.microsoft.com/office/spreadsheetml/2020/threadedcomments2" uri="{F7C98A9C-CBB3-438F-8F68-D28B6AF4A901}">
        <xltc2:checksum>665076522</xltc2:checksum>
        <xltc2:hyperlink startIndex="0" length="39" url="https://www.mdpi.com/1996-1073/12/4/718"/>
      </x:ext>
    </extLst>
  </threadedComment>
  <threadedComment ref="V115" dT="2023-04-03T11:05:09.18" personId="{488BA2F0-3063-4E72-A61A-FC0069824A60}" id="{EA763722-501C-4525-8365-5B2A4A8E4DA9}">
    <text>https://www.mdpi.com/1996-1073/12/4/718</text>
    <extLst>
      <x:ext xmlns:xltc2="http://schemas.microsoft.com/office/spreadsheetml/2020/threadedcomments2" uri="{F7C98A9C-CBB3-438F-8F68-D28B6AF4A901}">
        <xltc2:checksum>665076522</xltc2:checksum>
        <xltc2:hyperlink startIndex="0" length="39" url="https://www.mdpi.com/1996-1073/12/4/718"/>
      </x:ext>
    </extLs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22" dT="2023-02-23T12:49:49.29" personId="{488BA2F0-3063-4E72-A61A-FC0069824A60}" id="{3E1E4BE4-61AD-4D6B-8518-2951FE7A1C8B}">
    <text>Cuadra con lo de Tua 2021</text>
  </threadedComment>
  <threadedComment ref="B28" dT="2023-03-14T11:33:28.00" personId="{488BA2F0-3063-4E72-A61A-FC0069824A60}" id="{C7DB8B24-27D2-4E5D-8918-99A839FDB533}">
    <text>Bloque nombrado en SimaPro "Microalgae cultivation Q6"</text>
  </threadedComment>
  <threadedComment ref="C39" dT="2023-03-14T11:28:52.95" personId="{488BA2F0-3063-4E72-A61A-FC0069824A60}" id="{90468D3F-6BD2-498E-BDFF-F002CC15A6A5}">
    <text>No hace falta meterlo, está incluido dentro del flujo Q6</text>
  </threadedComment>
  <threadedComment ref="B40" dT="2023-03-07T13:55:02.26" personId="{488BA2F0-3063-4E72-A61A-FC0069824A60}" id="{CCED1CD6-299A-46B7-AFF7-486E3F50B224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C42" dT="2023-03-29T09:59:38.82" personId="{488BA2F0-3063-4E72-A61A-FC0069824A60}" id="{18FEA00B-BF3B-4949-BD13-ACFFA4AE39E6}">
    <text>Venancio 2020, eficacia de fijación de CO2 = 62%
Yadav 2020 (es 0 porque cuenta como que el proceso coge el CO2 de otro proceso y no se emite, página 6)</text>
  </threadedComment>
  <threadedComment ref="B44" dT="2023-03-03T13:50:41.77" personId="{488BA2F0-3063-4E72-A61A-FC0069824A60}" id="{264CF089-5BFE-442F-B531-65A1CC3404F3}">
    <text>https://www.sciencedirect.com/science/article/pii/S0921344922004116#sec0002
Silva 2022 "In the cultivation stage, total N, total P, and water avoided due to the use of effluent as a cultivation medium were considered".
Nutrientes no emitidos al medioambiente (tabla 3)</text>
    <extLst>
      <x:ext xmlns:xltc2="http://schemas.microsoft.com/office/spreadsheetml/2020/threadedcomments2" uri="{F7C98A9C-CBB3-438F-8F68-D28B6AF4A901}">
        <xltc2:checksum>2036139950</xltc2:checksum>
        <xltc2:hyperlink startIndex="0" length="75" url="https://www.sciencedirect.com/science/article/pii/S0921344922004116#sec0002"/>
      </x:ext>
    </extLst>
  </threadedComment>
  <threadedComment ref="B56" dT="2023-03-14T11:33:50.26" personId="{488BA2F0-3063-4E72-A61A-FC0069824A60}" id="{9B14A3B4-121C-4B06-B6F2-CDDFD3C6F98B}">
    <text>Bloque nombrado en SimaPro "Biomass Harvesting Q9"</text>
  </threadedComment>
  <threadedComment ref="B63" dT="2023-03-14T11:35:47.35" personId="{488BA2F0-3063-4E72-A61A-FC0069824A60}" id="{062C44F4-C37E-4051-978E-037DE591D5CE}">
    <text>Emisión evitada</text>
  </threadedComment>
  <threadedComment ref="B66" dT="2023-03-14T12:09:38.56" personId="{488BA2F0-3063-4E72-A61A-FC0069824A60}" id="{F62DBFAD-7514-4289-9785-CBDEB8BCFC0C}">
    <text>Bloque nombrado en SimaPro "US pretreatment (Q10)"</text>
  </threadedComment>
  <threadedComment ref="B75" dT="2023-03-14T12:10:00.79" personId="{488BA2F0-3063-4E72-A61A-FC0069824A60}" id="{16FF893D-9320-4CCC-9B03-591122AC4217}">
    <text>Bloque nombrado en SimaPro "Biostimulant production (Q11)"</text>
  </threadedComment>
  <threadedComment ref="B82" dT="2023-03-15T09:06:51.40" personId="{488BA2F0-3063-4E72-A61A-FC0069824A60}" id="{7496416B-4706-4AB4-A437-8EE9C5A722A8}">
    <text>Basado en Pechrisi 2023, coger de la base de datos de EcoInvent la alpha-amilasa</text>
  </threadedComment>
  <threadedComment ref="B83" dT="2023-03-15T09:28:34.24" personId="{488BA2F0-3063-4E72-A61A-FC0069824A60}" id="{A944B521-4BB8-4092-821F-D77440659D42}">
    <text>Basado en Pechrisi 2023</text>
  </threadedComment>
  <threadedComment ref="B87" dT="2023-03-03T13:50:41.77" personId="{488BA2F0-3063-4E72-A61A-FC0069824A60}" id="{E1EE7D55-E4E7-4D7D-9880-3BCBAFEB530A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1462C051-2C56-448E-92CA-15FE5E3B8DC7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6892003A-98E1-408D-9659-74B7003E5CC5}">
    <text>No tenido en cuenta como tampoco en el flue gas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77636B40-8D3C-4996-8512-D2817A0122B3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79CDF6AB-723A-4117-8C86-703EB45F9739}">
    <text>No tenido en cuenta como tampoco en el flue gas, 11,9</text>
  </threadedComment>
  <threadedComment ref="E137" dT="2023-03-31T10:16:22.25" personId="{488BA2F0-3063-4E72-A61A-FC0069824A60}" id="{532E780C-2EE1-4C13-A64E-EE09FC487081}">
    <text>No tenido en cuenta como tampoco en el flue gas, 11,9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425ED5F6-E316-4C03-86EB-2815CDEFC8D7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A07DA89C-B16A-401E-9B79-D1A120B4F09A}">
    <text>No tenido en cuenta como tampoco en el flue gas, 11,9</text>
  </threadedComment>
  <threadedComment ref="E137" dT="2023-03-31T10:16:22.25" personId="{488BA2F0-3063-4E72-A61A-FC0069824A60}" id="{662DB236-EA85-4B74-90E5-E16F2A661D8A}">
    <text>No tenido en cuenta como tampoco en el flue gas, 11,9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835D1B59-DF21-49F8-889E-90904172C849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96C9D064-E4A7-4F32-AA2F-6FEE07FA1F84}">
    <text>No tenido en cuenta como tampoco en el flue gas, 11,9</text>
  </threadedComment>
  <threadedComment ref="E137" dT="2023-03-31T10:16:22.25" personId="{488BA2F0-3063-4E72-A61A-FC0069824A60}" id="{48B12062-EF9E-4287-9EE5-48BB817403BB}">
    <text>No tenido en cuenta como tampoco en el flue gas, 11,9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C3243E35-FD6B-4656-AE41-9641A4A87D94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46EB1EDC-AF34-47AE-87E3-403133ECDE6A}">
    <text>No tenido en cuenta como tampoco en el flue gas, 11,9</text>
  </threadedComment>
  <threadedComment ref="E137" dT="2023-03-31T10:16:22.25" personId="{488BA2F0-3063-4E72-A61A-FC0069824A60}" id="{15DCC7B9-01F5-4E54-8A87-4FC40D69261B}">
    <text>No tenido en cuenta como tampoco en el flue gas, 11,9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sciencedirect.com/science/article/pii/S2211926415300898" TargetMode="External"/><Relationship Id="rId1" Type="http://schemas.openxmlformats.org/officeDocument/2006/relationships/hyperlink" Target="https://www.sciencedirect.com/science/article/pii/S0959652617322539" TargetMode="External"/><Relationship Id="rId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dpi.com/2079-7737/11/8/1176" TargetMode="External"/><Relationship Id="rId13" Type="http://schemas.openxmlformats.org/officeDocument/2006/relationships/hyperlink" Target="https://link.springer.com/article/10.1065/lca2004.10.181.10" TargetMode="External"/><Relationship Id="rId18" Type="http://schemas.openxmlformats.org/officeDocument/2006/relationships/vmlDrawing" Target="../drawings/vmlDrawing2.vml"/><Relationship Id="rId3" Type="http://schemas.openxmlformats.org/officeDocument/2006/relationships/hyperlink" Target="https://www.mdpi.com/2304-8158/11/19/3053" TargetMode="External"/><Relationship Id="rId7" Type="http://schemas.openxmlformats.org/officeDocument/2006/relationships/hyperlink" Target="https://www.mdpi.com/2079-7737/11/8/1176" TargetMode="External"/><Relationship Id="rId12" Type="http://schemas.openxmlformats.org/officeDocument/2006/relationships/hyperlink" Target="https://www.sciencedirect.com/science/article/pii/S2352186422000748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www.sciencedirect.com/science/article/pii/B9780081022283000074" TargetMode="External"/><Relationship Id="rId16" Type="http://schemas.openxmlformats.org/officeDocument/2006/relationships/printerSettings" Target="../printerSettings/printerSettings2.bin"/><Relationship Id="rId20" Type="http://schemas.microsoft.com/office/2017/10/relationships/threadedComment" Target="../threadedComments/threadedComment2.xml"/><Relationship Id="rId1" Type="http://schemas.openxmlformats.org/officeDocument/2006/relationships/hyperlink" Target="https://www.mdpi.com/2076-3417/10/15/5130" TargetMode="External"/><Relationship Id="rId6" Type="http://schemas.openxmlformats.org/officeDocument/2006/relationships/hyperlink" Target="https://www.mdpi.com/2079-7737/11/8/1176" TargetMode="External"/><Relationship Id="rId11" Type="http://schemas.openxmlformats.org/officeDocument/2006/relationships/hyperlink" Target="https://www.sciencedirect.com/science/article/pii/S2211926415300898" TargetMode="External"/><Relationship Id="rId5" Type="http://schemas.openxmlformats.org/officeDocument/2006/relationships/hyperlink" Target="https://www.mdpi.com/2079-7737/11/8/1176" TargetMode="External"/><Relationship Id="rId15" Type="http://schemas.openxmlformats.org/officeDocument/2006/relationships/hyperlink" Target="https://www.sciencedirect.com/science/article/pii/S1161030115000714%20(table%202,%203%20y%205)" TargetMode="External"/><Relationship Id="rId10" Type="http://schemas.openxmlformats.org/officeDocument/2006/relationships/hyperlink" Target="https://www.mdpi.com/2079-7737/11/8/1176" TargetMode="External"/><Relationship Id="rId19" Type="http://schemas.openxmlformats.org/officeDocument/2006/relationships/comments" Target="../comments2.xml"/><Relationship Id="rId4" Type="http://schemas.openxmlformats.org/officeDocument/2006/relationships/hyperlink" Target="https://www.mdpi.com/2304-8158/11/19/3053" TargetMode="External"/><Relationship Id="rId9" Type="http://schemas.openxmlformats.org/officeDocument/2006/relationships/hyperlink" Target="https://www.mdpi.com/2079-7737/11/8/1176" TargetMode="External"/><Relationship Id="rId14" Type="http://schemas.openxmlformats.org/officeDocument/2006/relationships/hyperlink" Target="https://www.mdpi.com/2071-1050/13/1/148%20(Table%204%20y%206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ciencedirect.com/science/article/pii/S2211926415300898" TargetMode="External"/><Relationship Id="rId1" Type="http://schemas.openxmlformats.org/officeDocument/2006/relationships/hyperlink" Target="https://www.sciencedirect.com/science/article/pii/S0959652617322539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10"/>
  <sheetViews>
    <sheetView topLeftCell="A69" zoomScale="90" zoomScaleNormal="90" workbookViewId="0">
      <selection activeCell="Z64" sqref="Z64"/>
    </sheetView>
  </sheetViews>
  <sheetFormatPr defaultColWidth="11.42578125" defaultRowHeight="15" x14ac:dyDescent="0.25"/>
  <cols>
    <col min="2" max="2" width="19.85546875" bestFit="1" customWidth="1"/>
    <col min="3" max="4" width="15.5703125" bestFit="1" customWidth="1"/>
    <col min="5" max="5" width="14.42578125" customWidth="1"/>
    <col min="6" max="6" width="13" bestFit="1" customWidth="1"/>
    <col min="7" max="7" width="22.85546875" customWidth="1"/>
    <col min="8" max="8" width="22.85546875" bestFit="1" customWidth="1"/>
    <col min="9" max="9" width="18.5703125" bestFit="1" customWidth="1"/>
    <col min="10" max="10" width="50.85546875" customWidth="1"/>
    <col min="11" max="11" width="20.85546875" bestFit="1" customWidth="1"/>
    <col min="12" max="12" width="16.42578125" bestFit="1" customWidth="1"/>
    <col min="13" max="13" width="15.5703125" bestFit="1" customWidth="1"/>
    <col min="14" max="14" width="14.5703125" bestFit="1" customWidth="1"/>
    <col min="15" max="15" width="15" bestFit="1" customWidth="1"/>
    <col min="16" max="16" width="24" bestFit="1" customWidth="1"/>
    <col min="17" max="17" width="15" bestFit="1" customWidth="1"/>
    <col min="18" max="18" width="17" bestFit="1" customWidth="1"/>
    <col min="19" max="19" width="9.85546875" bestFit="1" customWidth="1"/>
    <col min="21" max="21" width="11.28515625" bestFit="1" customWidth="1"/>
    <col min="22" max="22" width="14.5703125" bestFit="1" customWidth="1"/>
    <col min="30" max="30" width="23" bestFit="1" customWidth="1"/>
  </cols>
  <sheetData>
    <row r="2" spans="1:19" x14ac:dyDescent="0.25">
      <c r="B2" s="1"/>
    </row>
    <row r="3" spans="1:19" x14ac:dyDescent="0.25">
      <c r="A3" t="s">
        <v>9</v>
      </c>
      <c r="B3" s="161">
        <f>I20*365</f>
        <v>86161.249999999884</v>
      </c>
      <c r="C3" t="s">
        <v>599</v>
      </c>
    </row>
    <row r="4" spans="1:19" x14ac:dyDescent="0.25">
      <c r="A4" t="s">
        <v>14</v>
      </c>
      <c r="B4">
        <f>N20*365</f>
        <v>8223.7588417518691</v>
      </c>
      <c r="C4" t="s">
        <v>599</v>
      </c>
      <c r="R4" s="229" t="s">
        <v>0</v>
      </c>
      <c r="S4" s="229"/>
    </row>
    <row r="5" spans="1:19" x14ac:dyDescent="0.25">
      <c r="R5" s="2" t="s">
        <v>1</v>
      </c>
      <c r="S5" s="3">
        <v>71.7</v>
      </c>
    </row>
    <row r="6" spans="1:19" x14ac:dyDescent="0.25">
      <c r="R6" s="2" t="s">
        <v>2</v>
      </c>
      <c r="S6" s="3">
        <v>42.3</v>
      </c>
    </row>
    <row r="7" spans="1:19" x14ac:dyDescent="0.25">
      <c r="R7" s="2" t="s">
        <v>3</v>
      </c>
      <c r="S7" s="3">
        <v>33.4</v>
      </c>
    </row>
    <row r="15" spans="1:19" x14ac:dyDescent="0.25">
      <c r="B15" s="4">
        <f>N24/N20</f>
        <v>19.906514545254609</v>
      </c>
      <c r="M15" s="5"/>
    </row>
    <row r="16" spans="1:19" x14ac:dyDescent="0.25">
      <c r="B16" s="5">
        <f>1673/20</f>
        <v>83.65</v>
      </c>
      <c r="D16" s="6"/>
    </row>
    <row r="18" spans="2:25" x14ac:dyDescent="0.25">
      <c r="D18" s="7" t="s">
        <v>4</v>
      </c>
      <c r="E18" s="7" t="s">
        <v>5</v>
      </c>
      <c r="F18" s="7" t="s">
        <v>6</v>
      </c>
      <c r="G18" s="7" t="s">
        <v>7</v>
      </c>
      <c r="H18" s="7" t="s">
        <v>8</v>
      </c>
      <c r="I18" s="7" t="s">
        <v>9</v>
      </c>
      <c r="J18" s="7" t="s">
        <v>10</v>
      </c>
      <c r="K18" s="7" t="s">
        <v>11</v>
      </c>
      <c r="L18" s="7" t="s">
        <v>12</v>
      </c>
      <c r="M18" s="7" t="s">
        <v>13</v>
      </c>
      <c r="N18" s="7" t="s">
        <v>14</v>
      </c>
      <c r="Q18" s="230" t="s">
        <v>15</v>
      </c>
      <c r="R18" s="230"/>
      <c r="S18" s="230"/>
      <c r="U18" s="230" t="s">
        <v>16</v>
      </c>
      <c r="V18" s="230"/>
      <c r="W18" s="230"/>
    </row>
    <row r="19" spans="2:25" x14ac:dyDescent="0.25">
      <c r="D19" s="8" t="s">
        <v>17</v>
      </c>
      <c r="E19" s="8" t="s">
        <v>18</v>
      </c>
      <c r="F19" s="8" t="s">
        <v>19</v>
      </c>
      <c r="G19" s="8" t="s">
        <v>20</v>
      </c>
      <c r="H19" s="8" t="s">
        <v>21</v>
      </c>
      <c r="I19" s="8" t="s">
        <v>22</v>
      </c>
      <c r="J19" s="9" t="s">
        <v>23</v>
      </c>
      <c r="K19" s="8" t="s">
        <v>24</v>
      </c>
      <c r="L19" s="8" t="s">
        <v>25</v>
      </c>
      <c r="M19" s="8" t="s">
        <v>26</v>
      </c>
      <c r="N19" s="8" t="s">
        <v>27</v>
      </c>
      <c r="Q19" s="10" t="s">
        <v>28</v>
      </c>
      <c r="R19" s="11">
        <v>8400</v>
      </c>
      <c r="S19" s="11" t="s">
        <v>29</v>
      </c>
      <c r="U19" s="10" t="s">
        <v>30</v>
      </c>
      <c r="V19" s="11">
        <v>37.86</v>
      </c>
      <c r="W19" s="11" t="s">
        <v>31</v>
      </c>
    </row>
    <row r="20" spans="2:25" ht="17.25" x14ac:dyDescent="0.25">
      <c r="B20" s="225" t="s">
        <v>32</v>
      </c>
      <c r="C20" s="12" t="s">
        <v>33</v>
      </c>
      <c r="D20" s="14">
        <f>R24</f>
        <v>37.7693150684931</v>
      </c>
      <c r="E20" s="14">
        <f>G20-(F20+D20)</f>
        <v>221.89472602739693</v>
      </c>
      <c r="F20" s="14">
        <f>I20*(R28/100)</f>
        <v>118.02910958904093</v>
      </c>
      <c r="G20" s="14">
        <f>D20*R27</f>
        <v>377.69315068493097</v>
      </c>
      <c r="H20" s="14">
        <f>(V27*R31)/1000</f>
        <v>141.63493150684911</v>
      </c>
      <c r="I20" s="14">
        <f>G20-H20</f>
        <v>236.05821917808186</v>
      </c>
      <c r="J20" s="14">
        <f>I20-L20</f>
        <v>213.63268835616407</v>
      </c>
      <c r="K20" s="14">
        <f>J20-F20</f>
        <v>95.603578767123139</v>
      </c>
      <c r="L20" s="14">
        <f>(I20*I25*((V23-V24)/100))/(V37*1000)</f>
        <v>22.425530821917775</v>
      </c>
      <c r="M20" s="14">
        <f>L20</f>
        <v>22.425530821917775</v>
      </c>
      <c r="N20" s="14">
        <f>N21/1000</f>
        <v>22.530846141785943</v>
      </c>
      <c r="Q20" s="10" t="s">
        <v>34</v>
      </c>
      <c r="R20" s="11">
        <v>14260</v>
      </c>
      <c r="S20" s="11" t="s">
        <v>29</v>
      </c>
      <c r="U20" s="10" t="s">
        <v>35</v>
      </c>
      <c r="V20" s="11">
        <v>4.99</v>
      </c>
      <c r="W20" s="11" t="s">
        <v>31</v>
      </c>
    </row>
    <row r="21" spans="2:25" x14ac:dyDescent="0.25">
      <c r="B21" s="225"/>
      <c r="C21" s="11" t="s">
        <v>36</v>
      </c>
      <c r="D21" s="15">
        <f t="shared" ref="D21:M21" si="0">D20*1000</f>
        <v>37769.315068493102</v>
      </c>
      <c r="E21" s="15">
        <f t="shared" si="0"/>
        <v>221894.72602739692</v>
      </c>
      <c r="F21" s="15">
        <f t="shared" si="0"/>
        <v>118029.10958904093</v>
      </c>
      <c r="G21" s="15">
        <f t="shared" si="0"/>
        <v>377693.15068493097</v>
      </c>
      <c r="H21" s="15">
        <f t="shared" si="0"/>
        <v>141634.93150684913</v>
      </c>
      <c r="I21" s="15">
        <f t="shared" si="0"/>
        <v>236058.21917808187</v>
      </c>
      <c r="J21" s="15">
        <f t="shared" si="0"/>
        <v>213632.68835616406</v>
      </c>
      <c r="K21" s="15">
        <f t="shared" si="0"/>
        <v>95603.578767123137</v>
      </c>
      <c r="L21" s="15">
        <f t="shared" si="0"/>
        <v>22425.530821917775</v>
      </c>
      <c r="M21" s="15">
        <f t="shared" si="0"/>
        <v>22425.530821917775</v>
      </c>
      <c r="N21" s="15">
        <f>M21+O63</f>
        <v>22530.846141785943</v>
      </c>
      <c r="Q21" s="10" t="s">
        <v>37</v>
      </c>
      <c r="R21" s="11">
        <v>5120</v>
      </c>
      <c r="S21" s="11" t="s">
        <v>29</v>
      </c>
      <c r="U21" s="10" t="s">
        <v>38</v>
      </c>
      <c r="V21" s="11">
        <v>1.03</v>
      </c>
      <c r="W21" s="11" t="s">
        <v>31</v>
      </c>
    </row>
    <row r="22" spans="2:25" x14ac:dyDescent="0.25">
      <c r="B22" s="225" t="s">
        <v>39</v>
      </c>
      <c r="C22" s="16" t="s">
        <v>36</v>
      </c>
      <c r="D22" s="14">
        <f>D21-D26</f>
        <v>37452.052821917758</v>
      </c>
      <c r="E22" s="14">
        <f>E21</f>
        <v>221894.72602739692</v>
      </c>
      <c r="F22" s="14">
        <f>F21-F24</f>
        <v>118029.10958904093</v>
      </c>
      <c r="G22" s="17">
        <f>D22+E22+F22</f>
        <v>377375.88843835559</v>
      </c>
      <c r="H22" s="14">
        <f>H21</f>
        <v>141634.93150684913</v>
      </c>
      <c r="I22" s="14">
        <f t="shared" ref="I22:M22" si="1">I21-I24</f>
        <v>235586.1027397257</v>
      </c>
      <c r="J22" s="14">
        <f t="shared" si="1"/>
        <v>213632.68835616406</v>
      </c>
      <c r="K22" s="14">
        <f t="shared" si="1"/>
        <v>95603.578767123137</v>
      </c>
      <c r="L22" s="14">
        <f t="shared" si="1"/>
        <v>21977.020205479421</v>
      </c>
      <c r="M22" s="14">
        <f t="shared" si="1"/>
        <v>21977.020205479421</v>
      </c>
      <c r="N22" s="14">
        <f>M22</f>
        <v>21977.020205479421</v>
      </c>
      <c r="Q22" s="10" t="s">
        <v>40</v>
      </c>
      <c r="R22" s="11">
        <v>3328</v>
      </c>
      <c r="S22" s="11" t="s">
        <v>29</v>
      </c>
    </row>
    <row r="23" spans="2:25" x14ac:dyDescent="0.25">
      <c r="B23" s="225"/>
      <c r="C23" s="11" t="s">
        <v>29</v>
      </c>
      <c r="D23" s="15" t="s">
        <v>41</v>
      </c>
      <c r="E23" s="15" t="s">
        <v>41</v>
      </c>
      <c r="F23" s="15" t="s">
        <v>41</v>
      </c>
      <c r="G23" s="15" t="s">
        <v>41</v>
      </c>
      <c r="H23" s="15" t="s">
        <v>41</v>
      </c>
      <c r="I23" s="15" t="s">
        <v>41</v>
      </c>
      <c r="J23" s="15" t="s">
        <v>41</v>
      </c>
      <c r="K23" s="15" t="s">
        <v>41</v>
      </c>
      <c r="L23" s="15" t="s">
        <v>41</v>
      </c>
      <c r="M23" s="15" t="s">
        <v>41</v>
      </c>
      <c r="N23" s="15" t="s">
        <v>41</v>
      </c>
      <c r="Q23" s="10" t="s">
        <v>42</v>
      </c>
      <c r="R23" s="11">
        <v>76</v>
      </c>
      <c r="S23" s="11" t="s">
        <v>29</v>
      </c>
      <c r="U23" s="10" t="s">
        <v>43</v>
      </c>
      <c r="V23" s="11">
        <v>100</v>
      </c>
      <c r="W23" s="11" t="s">
        <v>31</v>
      </c>
    </row>
    <row r="24" spans="2:25" ht="17.25" x14ac:dyDescent="0.25">
      <c r="B24" s="225" t="s">
        <v>44</v>
      </c>
      <c r="C24" s="16" t="s">
        <v>36</v>
      </c>
      <c r="D24" s="14">
        <v>0</v>
      </c>
      <c r="E24" s="14">
        <v>0</v>
      </c>
      <c r="F24" s="14">
        <f>(F20*F25)/1000</f>
        <v>0</v>
      </c>
      <c r="G24" s="14">
        <f>((D20*D24)+(F20*F24)+(E20*E24))/G20</f>
        <v>0</v>
      </c>
      <c r="H24" s="14">
        <v>0</v>
      </c>
      <c r="I24" s="14">
        <f>(I20*I25)/1000</f>
        <v>472.11643835616371</v>
      </c>
      <c r="J24" s="14">
        <f>(R33*V27*(1-(V23/100)))/1000</f>
        <v>0</v>
      </c>
      <c r="K24" s="14">
        <f>(K25*K20)/1000</f>
        <v>0</v>
      </c>
      <c r="L24" s="14">
        <f>(R33*V27*((100-V24)/100))/1000</f>
        <v>448.51061643835556</v>
      </c>
      <c r="M24" s="14">
        <f>L24</f>
        <v>448.51061643835556</v>
      </c>
      <c r="N24" s="14">
        <f>M24</f>
        <v>448.51061643835556</v>
      </c>
      <c r="Q24" s="10" t="s">
        <v>32</v>
      </c>
      <c r="R24" s="18">
        <f>37.7693150684931</f>
        <v>37.7693150684931</v>
      </c>
      <c r="S24" s="11" t="s">
        <v>33</v>
      </c>
      <c r="U24" s="10" t="s">
        <v>45</v>
      </c>
      <c r="V24" s="11">
        <v>5</v>
      </c>
      <c r="W24" s="11" t="s">
        <v>31</v>
      </c>
    </row>
    <row r="25" spans="2:25" x14ac:dyDescent="0.25">
      <c r="B25" s="225"/>
      <c r="C25" s="11" t="s">
        <v>29</v>
      </c>
      <c r="D25" s="15">
        <v>0</v>
      </c>
      <c r="E25" s="15">
        <v>0</v>
      </c>
      <c r="F25" s="15">
        <f>J25</f>
        <v>0</v>
      </c>
      <c r="G25" s="15">
        <f>(G24/G20)*1000</f>
        <v>0</v>
      </c>
      <c r="H25" s="15">
        <v>0</v>
      </c>
      <c r="I25" s="15">
        <f>R32*1000</f>
        <v>2000</v>
      </c>
      <c r="J25" s="15">
        <f>(J24/J20)*1000</f>
        <v>0</v>
      </c>
      <c r="K25" s="15">
        <f>J25</f>
        <v>0</v>
      </c>
      <c r="L25" s="15">
        <f>(L24/L20)*1000</f>
        <v>20000.000000000004</v>
      </c>
      <c r="M25" s="15">
        <f>(M24/M20)*1000</f>
        <v>20000.000000000004</v>
      </c>
      <c r="N25" s="15">
        <f>(N24/N20)*1000</f>
        <v>19906.514545254609</v>
      </c>
    </row>
    <row r="26" spans="2:25" x14ac:dyDescent="0.25">
      <c r="B26" s="225" t="s">
        <v>28</v>
      </c>
      <c r="C26" s="16" t="s">
        <v>36</v>
      </c>
      <c r="D26" s="14">
        <f>(D20*D27)/1000</f>
        <v>317.26224657534203</v>
      </c>
      <c r="E26" s="14">
        <v>0</v>
      </c>
      <c r="F26" s="14">
        <f>F24</f>
        <v>0</v>
      </c>
      <c r="G26" s="14">
        <f>D26+E26+F26</f>
        <v>317.26224657534203</v>
      </c>
      <c r="H26" s="14">
        <v>0</v>
      </c>
      <c r="I26" s="14">
        <f t="shared" ref="I26:N26" si="2">I24</f>
        <v>472.11643835616371</v>
      </c>
      <c r="J26" s="14">
        <f t="shared" si="2"/>
        <v>0</v>
      </c>
      <c r="K26" s="14">
        <f t="shared" si="2"/>
        <v>0</v>
      </c>
      <c r="L26" s="14">
        <f t="shared" si="2"/>
        <v>448.51061643835556</v>
      </c>
      <c r="M26" s="14">
        <f t="shared" si="2"/>
        <v>448.51061643835556</v>
      </c>
      <c r="N26" s="14">
        <f t="shared" si="2"/>
        <v>448.51061643835556</v>
      </c>
      <c r="Q26" s="230" t="s">
        <v>46</v>
      </c>
      <c r="R26" s="230"/>
      <c r="S26" s="230"/>
      <c r="U26" s="230" t="s">
        <v>47</v>
      </c>
      <c r="V26" s="230"/>
      <c r="W26" s="230"/>
    </row>
    <row r="27" spans="2:25" ht="17.25" x14ac:dyDescent="0.25">
      <c r="B27" s="225"/>
      <c r="C27" s="11" t="s">
        <v>29</v>
      </c>
      <c r="D27" s="15">
        <f>R19</f>
        <v>8400</v>
      </c>
      <c r="E27" s="15">
        <v>0</v>
      </c>
      <c r="F27" s="15">
        <f>F25</f>
        <v>0</v>
      </c>
      <c r="G27" s="15">
        <f>(G26/G20)*1000</f>
        <v>840.00000000000011</v>
      </c>
      <c r="H27" s="15">
        <v>0</v>
      </c>
      <c r="I27" s="15">
        <f>(I26/I20)*1000</f>
        <v>2000</v>
      </c>
      <c r="J27" s="15">
        <f>(J26/J20)*1000</f>
        <v>0</v>
      </c>
      <c r="K27" s="15">
        <f>K25</f>
        <v>0</v>
      </c>
      <c r="L27" s="15">
        <f>(L26/L20)*1000</f>
        <v>20000.000000000004</v>
      </c>
      <c r="M27" s="15">
        <f>(M26/M20)*1000</f>
        <v>20000.000000000004</v>
      </c>
      <c r="N27" s="15">
        <f>(N26/N20)*1000</f>
        <v>19906.514545254609</v>
      </c>
      <c r="Q27" s="10" t="s">
        <v>48</v>
      </c>
      <c r="R27" s="11">
        <v>10</v>
      </c>
      <c r="S27" s="11" t="s">
        <v>31</v>
      </c>
      <c r="U27" s="10" t="s">
        <v>49</v>
      </c>
      <c r="V27" s="19">
        <f>V28/(R30/100)</f>
        <v>28326.986301369823</v>
      </c>
      <c r="W27" s="3" t="s">
        <v>50</v>
      </c>
      <c r="Y27">
        <f>100/4</f>
        <v>25</v>
      </c>
    </row>
    <row r="28" spans="2:25" ht="17.25" x14ac:dyDescent="0.25">
      <c r="B28" s="225" t="s">
        <v>34</v>
      </c>
      <c r="C28" s="16" t="s">
        <v>36</v>
      </c>
      <c r="D28" s="14">
        <f>(D20*D29)/1000</f>
        <v>538.59043287671159</v>
      </c>
      <c r="E28" s="14">
        <v>0</v>
      </c>
      <c r="F28" s="14">
        <f>(F29*F20)/1000</f>
        <v>54.064488343375992</v>
      </c>
      <c r="G28" s="14">
        <f>D28+E28+F28</f>
        <v>592.65492122008754</v>
      </c>
      <c r="H28" s="17">
        <f>G28-I28</f>
        <v>254.42118804794478</v>
      </c>
      <c r="I28" s="17">
        <f>J28+L28</f>
        <v>338.23373317214276</v>
      </c>
      <c r="J28" s="14">
        <f>(J20*J29)/1000</f>
        <v>97.856723901510534</v>
      </c>
      <c r="K28" s="14">
        <f>(K24*(R39/100))+D28*(1-(V31/100))*(K22/(L22+K22))</f>
        <v>43.792235558134543</v>
      </c>
      <c r="L28" s="14">
        <f>(L24*(R39/100))+D28*(1-(V31/100))*(L22/(L22+K22))</f>
        <v>240.37700927063221</v>
      </c>
      <c r="M28" s="14">
        <f>L28</f>
        <v>240.37700927063221</v>
      </c>
      <c r="N28" s="14">
        <f>M28</f>
        <v>240.37700927063221</v>
      </c>
      <c r="Q28" s="10" t="s">
        <v>19</v>
      </c>
      <c r="R28" s="20">
        <v>50</v>
      </c>
      <c r="S28" s="11" t="s">
        <v>31</v>
      </c>
      <c r="U28" s="10" t="s">
        <v>51</v>
      </c>
      <c r="V28" s="19">
        <f>G20*R29</f>
        <v>1133.0794520547929</v>
      </c>
      <c r="W28" s="3" t="s">
        <v>52</v>
      </c>
      <c r="Y28">
        <f>V27/V28</f>
        <v>25</v>
      </c>
    </row>
    <row r="29" spans="2:25" x14ac:dyDescent="0.25">
      <c r="B29" s="225"/>
      <c r="C29" s="11" t="s">
        <v>29</v>
      </c>
      <c r="D29" s="15">
        <f>R20</f>
        <v>14260</v>
      </c>
      <c r="E29" s="15">
        <v>0</v>
      </c>
      <c r="F29" s="15">
        <f>J29</f>
        <v>458.06063039550293</v>
      </c>
      <c r="G29" s="15">
        <f>(G28/G20)*1000</f>
        <v>1569.1439469985946</v>
      </c>
      <c r="H29" s="21">
        <f>(H28/H20)*1000</f>
        <v>1796.3166666666662</v>
      </c>
      <c r="I29" s="21">
        <f>(I28/I20)*1000</f>
        <v>1432.8403151977518</v>
      </c>
      <c r="J29" s="15">
        <f>K29</f>
        <v>458.06063039550293</v>
      </c>
      <c r="K29" s="15">
        <f>(K28/K20)*1000</f>
        <v>458.06063039550293</v>
      </c>
      <c r="L29" s="15">
        <f>(L28/L20)*1000</f>
        <v>10718.899417787596</v>
      </c>
      <c r="M29" s="15">
        <f>(M28/M20)*1000</f>
        <v>10718.899417787596</v>
      </c>
      <c r="N29" s="15">
        <f>(N28/N20)*1000</f>
        <v>10668.796358465494</v>
      </c>
      <c r="Q29" s="10" t="s">
        <v>53</v>
      </c>
      <c r="R29" s="20">
        <v>3</v>
      </c>
      <c r="S29" s="11" t="s">
        <v>54</v>
      </c>
    </row>
    <row r="30" spans="2:25" x14ac:dyDescent="0.25">
      <c r="B30" s="225" t="s">
        <v>37</v>
      </c>
      <c r="C30" s="16" t="s">
        <v>36</v>
      </c>
      <c r="D30" s="14">
        <f>(D20*D31)/1000</f>
        <v>193.37889315068466</v>
      </c>
      <c r="E30" s="14">
        <v>0</v>
      </c>
      <c r="F30" s="14">
        <f>(F31*F20)/1000</f>
        <v>77.646614394974762</v>
      </c>
      <c r="G30" s="14">
        <f>D30+E30+F30</f>
        <v>271.02550754565942</v>
      </c>
      <c r="H30" s="17">
        <f>G30-I30</f>
        <v>77.055909218372165</v>
      </c>
      <c r="I30" s="17">
        <f>J30+L30</f>
        <v>193.96959832728726</v>
      </c>
      <c r="J30" s="14">
        <f>(J31*J20)/1000</f>
        <v>140.54037205490431</v>
      </c>
      <c r="K30" s="14">
        <f>(K24*(R40/100))+D30*(1-(V32/100))*(K22/(K22+L22))</f>
        <v>62.893757659929562</v>
      </c>
      <c r="L30" s="14">
        <f>(L24*(R40/100))+D30*(1-(V32/100))*(L22/(K22+L22))</f>
        <v>53.429226272382934</v>
      </c>
      <c r="M30" s="14">
        <f>L30</f>
        <v>53.429226272382934</v>
      </c>
      <c r="N30" s="14">
        <f>M30</f>
        <v>53.429226272382934</v>
      </c>
      <c r="Q30" s="10" t="s">
        <v>55</v>
      </c>
      <c r="R30" s="20">
        <v>4</v>
      </c>
      <c r="S30" s="11" t="s">
        <v>56</v>
      </c>
      <c r="U30" s="230" t="s">
        <v>57</v>
      </c>
      <c r="V30" s="230"/>
      <c r="W30" s="230"/>
    </row>
    <row r="31" spans="2:25" ht="17.25" x14ac:dyDescent="0.25">
      <c r="B31" s="225"/>
      <c r="C31" s="11" t="s">
        <v>29</v>
      </c>
      <c r="D31" s="15">
        <f>R21</f>
        <v>5120</v>
      </c>
      <c r="E31" s="15">
        <v>0</v>
      </c>
      <c r="F31" s="15">
        <f>J31</f>
        <v>657.85986749648669</v>
      </c>
      <c r="G31" s="15">
        <f>(G30/G20)*1000</f>
        <v>717.58120859265205</v>
      </c>
      <c r="H31" s="21">
        <f>(H30/H20)*1000</f>
        <v>544.04593837535015</v>
      </c>
      <c r="I31" s="21">
        <f>(I30/I20)*1000</f>
        <v>821.70237072303337</v>
      </c>
      <c r="J31" s="15">
        <f>K31</f>
        <v>657.85986749648669</v>
      </c>
      <c r="K31" s="15">
        <f>(K30/K20)*1000</f>
        <v>657.85986749648669</v>
      </c>
      <c r="L31" s="15">
        <f>(L30/L20)*1000</f>
        <v>2382.5177961969775</v>
      </c>
      <c r="M31" s="15">
        <f>(M30/M20)*1000</f>
        <v>2382.5177961969775</v>
      </c>
      <c r="N31" s="15">
        <f>(N30/N20)*1000</f>
        <v>2371.381258216154</v>
      </c>
      <c r="Q31" s="10" t="s">
        <v>21</v>
      </c>
      <c r="R31" s="22">
        <v>5</v>
      </c>
      <c r="S31" s="11" t="s">
        <v>58</v>
      </c>
      <c r="U31" s="10" t="s">
        <v>34</v>
      </c>
      <c r="V31" s="3">
        <v>90</v>
      </c>
      <c r="W31" s="11" t="s">
        <v>31</v>
      </c>
    </row>
    <row r="32" spans="2:25" x14ac:dyDescent="0.25">
      <c r="B32" s="233" t="s">
        <v>40</v>
      </c>
      <c r="C32" s="129" t="s">
        <v>36</v>
      </c>
      <c r="D32" s="17">
        <f>(D20*D33)/1000</f>
        <v>125.69628054794504</v>
      </c>
      <c r="E32" s="17">
        <v>0</v>
      </c>
      <c r="F32" s="17">
        <f>(F33*F20)/1000</f>
        <v>2.2425530821917778</v>
      </c>
      <c r="G32" s="17">
        <f>D32+E32+F32</f>
        <v>127.93883363013681</v>
      </c>
      <c r="H32" s="17">
        <f>G32*0.1</f>
        <v>12.793883363013682</v>
      </c>
      <c r="I32" s="17">
        <f>G32-H32</f>
        <v>115.14495026712314</v>
      </c>
      <c r="J32" s="17">
        <f>(J33*J20)/1000</f>
        <v>4.0590210787671168</v>
      </c>
      <c r="K32" s="17">
        <f>(K20*K33)/1000</f>
        <v>1.8164679965753396</v>
      </c>
      <c r="L32" s="17">
        <f>I32-J32</f>
        <v>111.08592918835602</v>
      </c>
      <c r="M32" s="17">
        <f>L32</f>
        <v>111.08592918835602</v>
      </c>
      <c r="N32" s="17">
        <f>M32</f>
        <v>111.08592918835602</v>
      </c>
      <c r="Q32" s="10" t="s">
        <v>59</v>
      </c>
      <c r="R32" s="11">
        <v>2</v>
      </c>
      <c r="S32" s="11" t="s">
        <v>60</v>
      </c>
      <c r="U32" s="10" t="s">
        <v>35</v>
      </c>
      <c r="V32" s="3">
        <v>60</v>
      </c>
      <c r="W32" s="11" t="s">
        <v>31</v>
      </c>
    </row>
    <row r="33" spans="2:23" ht="17.25" x14ac:dyDescent="0.25">
      <c r="B33" s="233"/>
      <c r="C33" s="130" t="s">
        <v>29</v>
      </c>
      <c r="D33" s="21">
        <f>R22</f>
        <v>3328</v>
      </c>
      <c r="E33" s="21">
        <v>0</v>
      </c>
      <c r="F33" s="21">
        <f>J33</f>
        <v>19</v>
      </c>
      <c r="G33" s="21">
        <f>(G31/G20)*1000</f>
        <v>1899.9052730804042</v>
      </c>
      <c r="H33" s="21">
        <f>(H32/H20)*1000</f>
        <v>90.330000000000013</v>
      </c>
      <c r="I33" s="21">
        <f>(I32/I20)*1000</f>
        <v>487.78200000000004</v>
      </c>
      <c r="J33" s="21">
        <v>19</v>
      </c>
      <c r="K33" s="21">
        <v>19</v>
      </c>
      <c r="L33" s="21">
        <f>(L32/L20)*1000</f>
        <v>4953.5473684210529</v>
      </c>
      <c r="M33" s="21">
        <f>(M32/M20)*1000</f>
        <v>4953.5473684210529</v>
      </c>
      <c r="N33" s="21">
        <f>(N32/N20)*1000</f>
        <v>4930.3931370040691</v>
      </c>
      <c r="P33" s="5"/>
      <c r="Q33" s="10" t="s">
        <v>61</v>
      </c>
      <c r="R33" s="15">
        <f>(I24*1000)/V27</f>
        <v>16.666666666666668</v>
      </c>
      <c r="S33" s="11" t="s">
        <v>62</v>
      </c>
      <c r="U33" s="10" t="s">
        <v>38</v>
      </c>
      <c r="V33" s="3">
        <v>60</v>
      </c>
      <c r="W33" s="11" t="s">
        <v>31</v>
      </c>
    </row>
    <row r="34" spans="2:23" x14ac:dyDescent="0.25">
      <c r="B34" s="225" t="s">
        <v>42</v>
      </c>
      <c r="C34" s="16" t="s">
        <v>36</v>
      </c>
      <c r="D34" s="14">
        <f>(D20*D35)/1000</f>
        <v>2.8704679452054758</v>
      </c>
      <c r="E34" s="14">
        <v>0</v>
      </c>
      <c r="F34" s="14">
        <f>(F35*F20)/1000</f>
        <v>1.1525669324254071</v>
      </c>
      <c r="G34" s="14">
        <f>D34+E34+F34</f>
        <v>4.0230348776308826</v>
      </c>
      <c r="H34" s="17">
        <f>G34-I34</f>
        <v>0.3767489178082184</v>
      </c>
      <c r="I34" s="17">
        <f>J34+L34</f>
        <v>3.6462859598226642</v>
      </c>
      <c r="J34" s="14">
        <f>(J35*J20)/1000</f>
        <v>2.0861461476899867</v>
      </c>
      <c r="K34" s="14">
        <f>(K24*(R41/100))+D34*(1-(V33/100))*(K22/(K22+L22))</f>
        <v>0.93357921526457965</v>
      </c>
      <c r="L34" s="14">
        <f>(L24*(R41/100))+D34*(1-(V33/100))*(L22/(K22+L22))</f>
        <v>1.5601398121326775</v>
      </c>
      <c r="M34" s="14">
        <f>L34</f>
        <v>1.5601398121326775</v>
      </c>
      <c r="N34" s="14">
        <f>M34+O63</f>
        <v>106.8754596803025</v>
      </c>
    </row>
    <row r="35" spans="2:23" x14ac:dyDescent="0.25">
      <c r="B35" s="225"/>
      <c r="C35" s="11" t="s">
        <v>29</v>
      </c>
      <c r="D35" s="15">
        <f>R23</f>
        <v>76</v>
      </c>
      <c r="E35" s="15">
        <v>0</v>
      </c>
      <c r="F35" s="15">
        <f>J35</f>
        <v>9.7651074081509766</v>
      </c>
      <c r="G35" s="15">
        <f>(G34/G20)*1000</f>
        <v>10.65159606504718</v>
      </c>
      <c r="H35" s="21">
        <f>(H34/H20)*1000</f>
        <v>2.6599999999999984</v>
      </c>
      <c r="I35" s="21">
        <f>(I34/I20)*1000</f>
        <v>15.446553704075491</v>
      </c>
      <c r="J35" s="15">
        <f>K35</f>
        <v>9.7651074081509766</v>
      </c>
      <c r="K35" s="15">
        <f>(K34/K20)*1000</f>
        <v>9.7651074081509766</v>
      </c>
      <c r="L35" s="15">
        <f>(L34/L20)*1000</f>
        <v>69.569805259987959</v>
      </c>
      <c r="M35" s="15">
        <f>(M34/M20)*1000</f>
        <v>69.569805259987959</v>
      </c>
      <c r="N35" s="15">
        <f>(N34/N20)*1000</f>
        <v>4743.5173542856937</v>
      </c>
      <c r="Q35" s="230" t="s">
        <v>63</v>
      </c>
      <c r="R35" s="230"/>
      <c r="S35" s="230"/>
      <c r="U35" s="230" t="s">
        <v>43</v>
      </c>
      <c r="V35" s="230"/>
      <c r="W35" s="230"/>
    </row>
    <row r="36" spans="2:23" ht="17.25" x14ac:dyDescent="0.25">
      <c r="B36" s="225" t="s">
        <v>64</v>
      </c>
      <c r="C36" s="16" t="s">
        <v>36</v>
      </c>
      <c r="D36" s="14">
        <v>0</v>
      </c>
      <c r="E36" s="14">
        <v>0</v>
      </c>
      <c r="F36" s="14">
        <f>(F37*F20)/1000</f>
        <v>0</v>
      </c>
      <c r="G36" s="14">
        <f>D36+E36+F36</f>
        <v>0</v>
      </c>
      <c r="H36" s="14">
        <v>0</v>
      </c>
      <c r="I36" s="14">
        <f>J36+L36</f>
        <v>231.87998869862983</v>
      </c>
      <c r="J36" s="14">
        <f>J24*(R36/100)</f>
        <v>0</v>
      </c>
      <c r="K36" s="14">
        <f>K24*(R36/100)</f>
        <v>0</v>
      </c>
      <c r="L36" s="14">
        <f>L24*(R36/100)</f>
        <v>231.87998869862983</v>
      </c>
      <c r="M36" s="14">
        <f>L36</f>
        <v>231.87998869862983</v>
      </c>
      <c r="N36" s="14">
        <f>M36</f>
        <v>231.87998869862983</v>
      </c>
      <c r="Q36" s="10" t="s">
        <v>64</v>
      </c>
      <c r="R36" s="3">
        <v>51.7</v>
      </c>
      <c r="S36" s="11" t="s">
        <v>31</v>
      </c>
      <c r="U36" s="10" t="s">
        <v>65</v>
      </c>
      <c r="V36" s="3">
        <v>40</v>
      </c>
      <c r="W36" s="11" t="s">
        <v>66</v>
      </c>
    </row>
    <row r="37" spans="2:23" x14ac:dyDescent="0.25">
      <c r="B37" s="225"/>
      <c r="C37" s="11" t="s">
        <v>29</v>
      </c>
      <c r="D37" s="15">
        <v>0</v>
      </c>
      <c r="E37" s="15">
        <v>0</v>
      </c>
      <c r="F37" s="15">
        <f>J37</f>
        <v>0</v>
      </c>
      <c r="G37" s="15">
        <f>(G36/G20)*1000</f>
        <v>0</v>
      </c>
      <c r="H37" s="15">
        <v>0</v>
      </c>
      <c r="I37" s="15">
        <f t="shared" ref="I37:N37" si="3">(I36/I20)*1000</f>
        <v>982.30000000000007</v>
      </c>
      <c r="J37" s="15">
        <f t="shared" si="3"/>
        <v>0</v>
      </c>
      <c r="K37" s="15">
        <f t="shared" si="3"/>
        <v>0</v>
      </c>
      <c r="L37" s="15">
        <f t="shared" si="3"/>
        <v>10340.000000000002</v>
      </c>
      <c r="M37" s="15">
        <f t="shared" si="3"/>
        <v>10340.000000000002</v>
      </c>
      <c r="N37" s="15">
        <f t="shared" si="3"/>
        <v>10291.668019896633</v>
      </c>
      <c r="Q37" s="10" t="s">
        <v>67</v>
      </c>
      <c r="R37" s="3">
        <v>22.3</v>
      </c>
      <c r="S37" s="11" t="s">
        <v>31</v>
      </c>
      <c r="U37" s="23" t="s">
        <v>68</v>
      </c>
      <c r="V37" s="3">
        <v>20</v>
      </c>
      <c r="W37" s="3" t="s">
        <v>60</v>
      </c>
    </row>
    <row r="38" spans="2:23" x14ac:dyDescent="0.25">
      <c r="B38" s="225" t="s">
        <v>67</v>
      </c>
      <c r="C38" s="16" t="s">
        <v>36</v>
      </c>
      <c r="D38" s="14">
        <v>0</v>
      </c>
      <c r="E38" s="14">
        <v>0</v>
      </c>
      <c r="F38" s="14">
        <f>(F39*F20)/1000</f>
        <v>0</v>
      </c>
      <c r="G38" s="14">
        <f>D38+E38+F38</f>
        <v>0</v>
      </c>
      <c r="H38" s="14">
        <v>0</v>
      </c>
      <c r="I38" s="14">
        <f>J38+L38</f>
        <v>100.01786746575328</v>
      </c>
      <c r="J38" s="14">
        <f>J24*(R37/100)</f>
        <v>0</v>
      </c>
      <c r="K38" s="14">
        <f>K24*(R37/100)</f>
        <v>0</v>
      </c>
      <c r="L38" s="14">
        <f>L24*(R37/100)</f>
        <v>100.01786746575328</v>
      </c>
      <c r="M38" s="14">
        <f>L38</f>
        <v>100.01786746575328</v>
      </c>
      <c r="N38" s="14">
        <f>M38</f>
        <v>100.01786746575328</v>
      </c>
      <c r="Q38" s="10" t="s">
        <v>69</v>
      </c>
      <c r="R38" s="3">
        <v>13.4</v>
      </c>
      <c r="S38" s="11" t="s">
        <v>31</v>
      </c>
      <c r="U38" s="23" t="s">
        <v>70</v>
      </c>
      <c r="V38" s="231">
        <f>V37/R32</f>
        <v>10</v>
      </c>
      <c r="W38" s="232"/>
    </row>
    <row r="39" spans="2:23" x14ac:dyDescent="0.25">
      <c r="B39" s="225"/>
      <c r="C39" s="11" t="s">
        <v>29</v>
      </c>
      <c r="D39" s="15">
        <v>0</v>
      </c>
      <c r="E39" s="15">
        <v>0</v>
      </c>
      <c r="F39" s="15">
        <f>J39</f>
        <v>0</v>
      </c>
      <c r="G39" s="15">
        <f>(G38/G20)*1000</f>
        <v>0</v>
      </c>
      <c r="H39" s="15">
        <v>0</v>
      </c>
      <c r="I39" s="15">
        <f>(I38/I20)*1000</f>
        <v>423.70000000000005</v>
      </c>
      <c r="J39" s="15">
        <f>(J38*J20)/1000</f>
        <v>0</v>
      </c>
      <c r="K39" s="15">
        <f>(K38/K20)*1000</f>
        <v>0</v>
      </c>
      <c r="L39" s="15">
        <f>(L38/L20)*1000</f>
        <v>4460</v>
      </c>
      <c r="M39" s="15">
        <f>(M38/M20)*1000</f>
        <v>4460</v>
      </c>
      <c r="N39" s="15">
        <f>(N38/N20)*1000</f>
        <v>4439.1527435917778</v>
      </c>
      <c r="Q39" s="10" t="s">
        <v>30</v>
      </c>
      <c r="R39" s="3">
        <v>51.35</v>
      </c>
      <c r="S39" s="11" t="s">
        <v>31</v>
      </c>
    </row>
    <row r="40" spans="2:23" x14ac:dyDescent="0.25">
      <c r="B40" s="225" t="s">
        <v>69</v>
      </c>
      <c r="C40" s="16" t="s">
        <v>36</v>
      </c>
      <c r="D40" s="14">
        <v>0</v>
      </c>
      <c r="E40" s="14">
        <v>0</v>
      </c>
      <c r="F40" s="14">
        <f>(F41*F20)/1000</f>
        <v>0</v>
      </c>
      <c r="G40" s="14">
        <f>D40+E40+F40</f>
        <v>0</v>
      </c>
      <c r="H40" s="14">
        <v>0</v>
      </c>
      <c r="I40" s="14">
        <f>J40+L40</f>
        <v>60.100422602739648</v>
      </c>
      <c r="J40" s="14">
        <f>J24*(R38/100)</f>
        <v>0</v>
      </c>
      <c r="K40" s="14">
        <f>K24*(R38/100)</f>
        <v>0</v>
      </c>
      <c r="L40" s="14">
        <f>L24*(R38/100)</f>
        <v>60.100422602739648</v>
      </c>
      <c r="M40" s="14">
        <f>L40</f>
        <v>60.100422602739648</v>
      </c>
      <c r="N40" s="14">
        <f>M40</f>
        <v>60.100422602739648</v>
      </c>
      <c r="Q40" s="10" t="s">
        <v>35</v>
      </c>
      <c r="R40" s="19">
        <f>R36/5.95</f>
        <v>8.6890756302521019</v>
      </c>
      <c r="S40" s="11" t="s">
        <v>31</v>
      </c>
    </row>
    <row r="41" spans="2:23" x14ac:dyDescent="0.25">
      <c r="B41" s="225"/>
      <c r="C41" s="11" t="s">
        <v>29</v>
      </c>
      <c r="D41" s="15">
        <v>0</v>
      </c>
      <c r="E41" s="15">
        <v>0</v>
      </c>
      <c r="F41" s="15">
        <f>J41</f>
        <v>0</v>
      </c>
      <c r="G41" s="15">
        <f>(G40/G20)*1000</f>
        <v>0</v>
      </c>
      <c r="H41" s="15">
        <v>0</v>
      </c>
      <c r="I41" s="15">
        <f>(I40/I20)*1000</f>
        <v>254.60000000000005</v>
      </c>
      <c r="J41" s="15">
        <f>(J40*J20)/1000</f>
        <v>0</v>
      </c>
      <c r="K41" s="15">
        <f>(K40/K20)*1000</f>
        <v>0</v>
      </c>
      <c r="L41" s="15">
        <f>(L40/L20)*1000</f>
        <v>2680.0000000000005</v>
      </c>
      <c r="M41" s="15">
        <f>(M40/M20)*1000</f>
        <v>2680.0000000000005</v>
      </c>
      <c r="N41" s="15">
        <f>(N40/N20)*1000</f>
        <v>2667.4729490641175</v>
      </c>
      <c r="Q41" s="10" t="s">
        <v>38</v>
      </c>
      <c r="R41" s="3">
        <v>0.3</v>
      </c>
      <c r="S41" s="11" t="s">
        <v>31</v>
      </c>
    </row>
    <row r="42" spans="2:23" x14ac:dyDescent="0.25">
      <c r="F42" s="5"/>
      <c r="J42" s="24"/>
      <c r="K42" s="24"/>
    </row>
    <row r="43" spans="2:23" x14ac:dyDescent="0.25">
      <c r="J43" s="25"/>
      <c r="K43" s="25"/>
    </row>
    <row r="44" spans="2:23" x14ac:dyDescent="0.25">
      <c r="B44" s="234" t="s">
        <v>71</v>
      </c>
      <c r="C44" s="234"/>
      <c r="D44" s="234"/>
      <c r="E44" s="19">
        <f>(((G32-H32)-I32)/(G32-H32))*100</f>
        <v>0</v>
      </c>
      <c r="F44" s="26" t="s">
        <v>72</v>
      </c>
    </row>
    <row r="46" spans="2:23" x14ac:dyDescent="0.25">
      <c r="B46" s="234" t="s">
        <v>73</v>
      </c>
      <c r="C46" s="234"/>
      <c r="D46" s="234"/>
      <c r="E46" s="234"/>
      <c r="H46" s="5"/>
    </row>
    <row r="47" spans="2:23" x14ac:dyDescent="0.25">
      <c r="B47" s="3"/>
      <c r="C47" s="27" t="s">
        <v>74</v>
      </c>
      <c r="D47" s="27" t="s">
        <v>75</v>
      </c>
      <c r="E47" s="27" t="s">
        <v>76</v>
      </c>
    </row>
    <row r="48" spans="2:23" x14ac:dyDescent="0.25">
      <c r="B48" s="27" t="s">
        <v>37</v>
      </c>
      <c r="C48" s="19">
        <f>D30</f>
        <v>193.37889315068466</v>
      </c>
      <c r="D48" s="19">
        <f>H30+K30+N30</f>
        <v>193.37889315068469</v>
      </c>
      <c r="E48" s="19">
        <f>N24*(R40/100)</f>
        <v>38.971426672038632</v>
      </c>
    </row>
    <row r="49" spans="2:24" x14ac:dyDescent="0.25">
      <c r="B49" s="27" t="s">
        <v>42</v>
      </c>
      <c r="C49" s="19">
        <f>D34</f>
        <v>2.8704679452054758</v>
      </c>
      <c r="D49" s="19">
        <f>H34+K34+N34</f>
        <v>108.1857878133753</v>
      </c>
      <c r="E49" s="19">
        <f>N24*(R41/100)</f>
        <v>1.3455318493150668</v>
      </c>
    </row>
    <row r="50" spans="2:24" x14ac:dyDescent="0.25">
      <c r="B50" s="27" t="s">
        <v>40</v>
      </c>
      <c r="C50" s="19">
        <f>D32</f>
        <v>125.69628054794504</v>
      </c>
      <c r="D50" s="19">
        <f>H32+K32+N32</f>
        <v>125.69628054794504</v>
      </c>
      <c r="E50" s="19">
        <f>D32*(E44/100)</f>
        <v>0</v>
      </c>
      <c r="F50" s="28"/>
      <c r="J50" s="29"/>
    </row>
    <row r="51" spans="2:24" x14ac:dyDescent="0.25">
      <c r="B51" s="27" t="s">
        <v>32</v>
      </c>
      <c r="C51" s="19">
        <f>D20+E20</f>
        <v>259.66404109589001</v>
      </c>
      <c r="D51" s="19">
        <f>H20+N20+K20</f>
        <v>259.76935641575824</v>
      </c>
      <c r="E51" s="19" t="s">
        <v>41</v>
      </c>
    </row>
    <row r="54" spans="2:24" ht="20.25" thickBot="1" x14ac:dyDescent="0.35">
      <c r="B54" s="235" t="s">
        <v>77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</row>
    <row r="55" spans="2:24" ht="15.75" thickTop="1" x14ac:dyDescent="0.25"/>
    <row r="56" spans="2:24" x14ac:dyDescent="0.25">
      <c r="B56" s="236" t="s">
        <v>78</v>
      </c>
      <c r="C56" s="236"/>
      <c r="D56" s="236"/>
      <c r="F56" s="236" t="s">
        <v>43</v>
      </c>
      <c r="G56" s="236"/>
      <c r="H56" s="236"/>
      <c r="J56" s="236" t="s">
        <v>79</v>
      </c>
      <c r="K56" s="236"/>
      <c r="L56" s="236"/>
      <c r="N56" s="236" t="s">
        <v>80</v>
      </c>
      <c r="O56" s="236"/>
      <c r="P56" s="236"/>
      <c r="R56" s="236" t="s">
        <v>81</v>
      </c>
      <c r="S56" s="236"/>
      <c r="T56" s="236"/>
      <c r="V56" s="226" t="s">
        <v>367</v>
      </c>
      <c r="W56" s="227"/>
      <c r="X56" s="228"/>
    </row>
    <row r="57" spans="2:24" ht="18.75" x14ac:dyDescent="0.35">
      <c r="B57" s="30" t="s">
        <v>49</v>
      </c>
      <c r="C57" s="19">
        <f>V27</f>
        <v>28326.986301369823</v>
      </c>
      <c r="D57" s="3" t="s">
        <v>50</v>
      </c>
      <c r="F57" s="31" t="s">
        <v>49</v>
      </c>
      <c r="G57" s="15">
        <f>(I20*1000)/(V36*G58)</f>
        <v>245.89397831050195</v>
      </c>
      <c r="H57" s="11" t="s">
        <v>50</v>
      </c>
      <c r="J57" s="31" t="s">
        <v>82</v>
      </c>
      <c r="K57" s="11">
        <v>400</v>
      </c>
      <c r="L57" s="11" t="s">
        <v>83</v>
      </c>
      <c r="N57" s="31" t="s">
        <v>84</v>
      </c>
      <c r="O57" s="11">
        <v>2</v>
      </c>
      <c r="P57" s="11" t="s">
        <v>31</v>
      </c>
      <c r="R57" s="31" t="s">
        <v>85</v>
      </c>
      <c r="S57" s="19">
        <f>N20</f>
        <v>22.530846141785943</v>
      </c>
      <c r="T57" s="3" t="s">
        <v>33</v>
      </c>
      <c r="V57" s="128" t="s">
        <v>368</v>
      </c>
      <c r="W57" s="122">
        <f>(W58*(W59/W60)*W61)/1000</f>
        <v>0.1140496150943887</v>
      </c>
      <c r="X57" s="3" t="s">
        <v>122</v>
      </c>
    </row>
    <row r="58" spans="2:24" ht="17.25" x14ac:dyDescent="0.25">
      <c r="B58" s="30" t="s">
        <v>51</v>
      </c>
      <c r="C58" s="19">
        <f>V28</f>
        <v>1133.0794520547929</v>
      </c>
      <c r="D58" s="3" t="s">
        <v>52</v>
      </c>
      <c r="F58" s="31" t="s">
        <v>86</v>
      </c>
      <c r="G58" s="11">
        <v>24</v>
      </c>
      <c r="H58" s="11" t="s">
        <v>87</v>
      </c>
      <c r="J58" s="31" t="s">
        <v>86</v>
      </c>
      <c r="K58" s="13">
        <f>10/60</f>
        <v>0.16666666666666666</v>
      </c>
      <c r="L58" s="11" t="s">
        <v>87</v>
      </c>
      <c r="N58" s="31" t="s">
        <v>88</v>
      </c>
      <c r="O58" s="15">
        <f>(O57/100)*M24</f>
        <v>8.9702123287671114</v>
      </c>
      <c r="P58" s="11" t="s">
        <v>36</v>
      </c>
      <c r="R58" s="31" t="s">
        <v>53</v>
      </c>
      <c r="S58" s="3">
        <v>24</v>
      </c>
      <c r="T58" s="3" t="s">
        <v>87</v>
      </c>
      <c r="V58" s="27" t="s">
        <v>49</v>
      </c>
      <c r="W58" s="122">
        <f>I204</f>
        <v>10.183001347713276</v>
      </c>
      <c r="X58" s="3" t="s">
        <v>50</v>
      </c>
    </row>
    <row r="59" spans="2:24" ht="18.75" x14ac:dyDescent="0.35">
      <c r="B59" s="30" t="s">
        <v>55</v>
      </c>
      <c r="C59" s="3">
        <f>R30/100</f>
        <v>0.04</v>
      </c>
      <c r="D59" s="3" t="s">
        <v>89</v>
      </c>
      <c r="F59" s="31" t="s">
        <v>90</v>
      </c>
      <c r="G59" s="3">
        <v>43.5</v>
      </c>
      <c r="H59" s="11" t="s">
        <v>50</v>
      </c>
      <c r="J59" s="31" t="s">
        <v>91</v>
      </c>
      <c r="K59" s="11">
        <v>50</v>
      </c>
      <c r="L59" s="11" t="s">
        <v>92</v>
      </c>
      <c r="N59" s="31" t="s">
        <v>93</v>
      </c>
      <c r="O59" s="11">
        <v>10</v>
      </c>
      <c r="P59" s="11" t="s">
        <v>94</v>
      </c>
      <c r="R59" s="31" t="s">
        <v>51</v>
      </c>
      <c r="S59" s="19">
        <f>S57*(S58/24)</f>
        <v>22.530846141785943</v>
      </c>
      <c r="T59" s="3" t="s">
        <v>52</v>
      </c>
      <c r="V59" s="128" t="s">
        <v>369</v>
      </c>
      <c r="W59" s="3">
        <v>4.2000000000000003E-2</v>
      </c>
      <c r="X59" s="3" t="s">
        <v>370</v>
      </c>
    </row>
    <row r="60" spans="2:24" ht="17.25" x14ac:dyDescent="0.25">
      <c r="B60" s="30" t="s">
        <v>93</v>
      </c>
      <c r="C60" s="11">
        <v>50</v>
      </c>
      <c r="D60" s="3" t="s">
        <v>95</v>
      </c>
      <c r="F60" s="31" t="s">
        <v>96</v>
      </c>
      <c r="G60" s="240">
        <f>ROUND(G57/G59,0)</f>
        <v>6</v>
      </c>
      <c r="H60" s="241"/>
      <c r="J60" s="31" t="s">
        <v>97</v>
      </c>
      <c r="K60" s="19">
        <f>K59*L24</f>
        <v>22425.530821917779</v>
      </c>
      <c r="L60" s="11" t="s">
        <v>98</v>
      </c>
      <c r="N60" s="31" t="s">
        <v>99</v>
      </c>
      <c r="O60" s="15">
        <f>O58*O59</f>
        <v>89.702123287671114</v>
      </c>
      <c r="P60" s="11" t="s">
        <v>100</v>
      </c>
      <c r="V60" s="27" t="s">
        <v>371</v>
      </c>
      <c r="W60" s="3">
        <v>7.4999999999999997E-2</v>
      </c>
      <c r="X60" s="3" t="s">
        <v>89</v>
      </c>
    </row>
    <row r="61" spans="2:24" x14ac:dyDescent="0.25">
      <c r="B61" s="30" t="s">
        <v>99</v>
      </c>
      <c r="C61" s="19">
        <f>C58*C60</f>
        <v>56653.972602739646</v>
      </c>
      <c r="D61" s="3" t="s">
        <v>101</v>
      </c>
      <c r="F61" s="31" t="s">
        <v>102</v>
      </c>
      <c r="G61" s="240">
        <f>G60+2</f>
        <v>8</v>
      </c>
      <c r="H61" s="232"/>
      <c r="N61" s="31" t="s">
        <v>53</v>
      </c>
      <c r="O61" s="3">
        <v>4</v>
      </c>
      <c r="P61" s="11" t="s">
        <v>87</v>
      </c>
      <c r="V61" s="27" t="s">
        <v>372</v>
      </c>
      <c r="W61" s="3">
        <f>T70-T69</f>
        <v>20</v>
      </c>
      <c r="X61" s="3" t="s">
        <v>373</v>
      </c>
    </row>
    <row r="62" spans="2:24" ht="17.25" x14ac:dyDescent="0.25">
      <c r="B62" s="30" t="s">
        <v>53</v>
      </c>
      <c r="C62" s="3">
        <v>24</v>
      </c>
      <c r="D62" s="3" t="s">
        <v>87</v>
      </c>
      <c r="N62" s="31" t="s">
        <v>51</v>
      </c>
      <c r="O62" s="15">
        <f>(M20/F91)*O61</f>
        <v>3.7375884703196292</v>
      </c>
      <c r="P62" s="3" t="s">
        <v>52</v>
      </c>
    </row>
    <row r="63" spans="2:24" x14ac:dyDescent="0.25">
      <c r="N63" s="31" t="s">
        <v>103</v>
      </c>
      <c r="O63" s="19">
        <v>105.31531986816982</v>
      </c>
      <c r="P63" s="11" t="s">
        <v>36</v>
      </c>
    </row>
    <row r="65" spans="2:25" ht="20.25" thickBot="1" x14ac:dyDescent="0.35">
      <c r="B65" s="235" t="s">
        <v>104</v>
      </c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S65" s="242" t="s">
        <v>105</v>
      </c>
      <c r="T65" s="242"/>
      <c r="U65" s="242"/>
      <c r="V65" s="242"/>
      <c r="W65" s="242"/>
      <c r="X65" s="242"/>
      <c r="Y65" s="242"/>
    </row>
    <row r="66" spans="2:25" ht="15.75" thickTop="1" x14ac:dyDescent="0.25"/>
    <row r="67" spans="2:25" ht="17.25" x14ac:dyDescent="0.25">
      <c r="B67" s="237" t="s">
        <v>106</v>
      </c>
      <c r="C67" s="237"/>
      <c r="D67" s="237"/>
      <c r="E67" s="237"/>
      <c r="F67" s="237"/>
      <c r="G67" s="237"/>
      <c r="I67" s="237" t="s">
        <v>106</v>
      </c>
      <c r="J67" s="237"/>
      <c r="K67" s="237"/>
      <c r="L67" s="237"/>
      <c r="M67" s="237"/>
      <c r="N67" s="237"/>
      <c r="O67" s="237"/>
      <c r="P67" s="237"/>
      <c r="S67" s="238" t="s">
        <v>107</v>
      </c>
      <c r="T67" s="15">
        <f>M20</f>
        <v>22.425530821917775</v>
      </c>
      <c r="U67" s="11" t="s">
        <v>33</v>
      </c>
      <c r="W67" s="238" t="s">
        <v>108</v>
      </c>
      <c r="X67" s="238"/>
      <c r="Y67" s="238"/>
    </row>
    <row r="68" spans="2:25" x14ac:dyDescent="0.25">
      <c r="B68" s="33" t="s">
        <v>109</v>
      </c>
      <c r="C68" s="239" t="s">
        <v>110</v>
      </c>
      <c r="D68" s="239"/>
      <c r="E68" s="33" t="s">
        <v>111</v>
      </c>
      <c r="F68" s="239" t="s">
        <v>112</v>
      </c>
      <c r="G68" s="239"/>
      <c r="I68" s="33" t="s">
        <v>113</v>
      </c>
      <c r="J68" s="33" t="s">
        <v>114</v>
      </c>
      <c r="K68" s="239" t="s">
        <v>112</v>
      </c>
      <c r="L68" s="239"/>
      <c r="M68" s="33" t="s">
        <v>111</v>
      </c>
      <c r="N68" s="33" t="s">
        <v>115</v>
      </c>
      <c r="O68" s="33" t="s">
        <v>116</v>
      </c>
      <c r="P68" s="33" t="s">
        <v>31</v>
      </c>
      <c r="S68" s="238"/>
      <c r="T68" s="15">
        <f>M21</f>
        <v>22425.530821917775</v>
      </c>
      <c r="U68" s="3" t="s">
        <v>36</v>
      </c>
      <c r="W68" s="245" t="s">
        <v>32</v>
      </c>
      <c r="X68" s="3">
        <f>X70*X71*(X72-X73)/1000</f>
        <v>1874774.376712326</v>
      </c>
      <c r="Y68" s="3" t="s">
        <v>117</v>
      </c>
    </row>
    <row r="69" spans="2:25" ht="17.25" x14ac:dyDescent="0.25">
      <c r="B69" s="3">
        <v>1</v>
      </c>
      <c r="C69" s="3">
        <v>4</v>
      </c>
      <c r="D69" s="3" t="s">
        <v>118</v>
      </c>
      <c r="E69" s="34">
        <f>6000*(1+($E$88/100))</f>
        <v>6774</v>
      </c>
      <c r="F69" s="19">
        <f>(C124*C123)/C122</f>
        <v>15.737214611872124</v>
      </c>
      <c r="G69" s="3" t="s">
        <v>118</v>
      </c>
      <c r="I69" s="35">
        <v>1</v>
      </c>
      <c r="J69" s="35" t="s">
        <v>119</v>
      </c>
      <c r="K69" s="19">
        <f>+IF(F69/C69&lt;1,C69,IF(F69/C69&lt;10,F69,F69/(1+INT(F69/(C69*10)))))</f>
        <v>15.737214611872124</v>
      </c>
      <c r="L69" s="3" t="s">
        <v>118</v>
      </c>
      <c r="M69" s="34">
        <f>E69*(K69/C69)^$D$86</f>
        <v>21701.156903190928</v>
      </c>
      <c r="N69" s="3">
        <f>+IF(B69=1,ROUNDUP(F69/K69,0),0)</f>
        <v>1</v>
      </c>
      <c r="O69" s="34">
        <f>M69*N69</f>
        <v>21701.156903190928</v>
      </c>
      <c r="P69" s="36">
        <f t="shared" ref="P69:P81" si="4">(O69/$O$85)</f>
        <v>8.5355583529867801E-2</v>
      </c>
      <c r="S69" s="32" t="s">
        <v>120</v>
      </c>
      <c r="T69" s="11">
        <v>30</v>
      </c>
      <c r="U69" s="11" t="s">
        <v>121</v>
      </c>
      <c r="W69" s="245"/>
      <c r="X69" s="19">
        <f>X68/(24*60*60)</f>
        <v>21.698777508244515</v>
      </c>
      <c r="Y69" s="3" t="s">
        <v>122</v>
      </c>
    </row>
    <row r="70" spans="2:25" ht="17.25" x14ac:dyDescent="0.25">
      <c r="B70" s="3">
        <v>1</v>
      </c>
      <c r="C70" s="3">
        <v>200</v>
      </c>
      <c r="D70" s="3" t="s">
        <v>118</v>
      </c>
      <c r="E70" s="34">
        <f>2500*(1+($E$88/100))</f>
        <v>2822.5</v>
      </c>
      <c r="F70" s="19">
        <f>C125*C124*60</f>
        <v>679.84767123287577</v>
      </c>
      <c r="G70" s="3" t="s">
        <v>118</v>
      </c>
      <c r="I70" s="35">
        <v>2</v>
      </c>
      <c r="J70" s="35" t="s">
        <v>123</v>
      </c>
      <c r="K70" s="19">
        <f>+IF(F70/C70&lt;1,C70,IF(F70/C70&lt;10,F70,F70/(1+INT(F70/(C70*10)))))</f>
        <v>679.84767123287577</v>
      </c>
      <c r="L70" s="3" t="s">
        <v>118</v>
      </c>
      <c r="M70" s="34">
        <f t="shared" ref="M70:M81" si="5">E70*(K70/C70)^$D$86</f>
        <v>7985.6142295367463</v>
      </c>
      <c r="N70" s="3">
        <f>+IF(B70=1,ROUNDUP(F70/K70,0),0)</f>
        <v>1</v>
      </c>
      <c r="O70" s="34">
        <f>M70*N70</f>
        <v>7985.6142295367463</v>
      </c>
      <c r="P70" s="36">
        <f t="shared" si="4"/>
        <v>3.1409236173316646E-2</v>
      </c>
      <c r="S70" s="32" t="s">
        <v>124</v>
      </c>
      <c r="T70" s="11">
        <v>50</v>
      </c>
      <c r="U70" s="11" t="s">
        <v>121</v>
      </c>
      <c r="W70" s="37" t="s">
        <v>107</v>
      </c>
      <c r="X70" s="19">
        <f>T68</f>
        <v>22425.530821917775</v>
      </c>
      <c r="Y70" s="3" t="s">
        <v>36</v>
      </c>
    </row>
    <row r="71" spans="2:25" ht="18" x14ac:dyDescent="0.35">
      <c r="B71" s="3">
        <v>1</v>
      </c>
      <c r="C71" s="3">
        <v>4</v>
      </c>
      <c r="D71" s="3" t="s">
        <v>125</v>
      </c>
      <c r="E71" s="34">
        <f>500*(1+($E$88/100))</f>
        <v>564.5</v>
      </c>
      <c r="F71" s="19">
        <f>(C127*C124*C126)/C122</f>
        <v>29.507277397260236</v>
      </c>
      <c r="G71" s="3" t="s">
        <v>125</v>
      </c>
      <c r="I71" s="35">
        <v>3</v>
      </c>
      <c r="J71" s="35" t="s">
        <v>126</v>
      </c>
      <c r="K71" s="19">
        <f t="shared" ref="K71:K84" si="6">+IF(F71/C71&lt;1,C71,IF(F71/C71&lt;10,F71,F71/(1+INT(F71/(C71*10)))))</f>
        <v>29.507277397260236</v>
      </c>
      <c r="L71" s="3" t="s">
        <v>125</v>
      </c>
      <c r="M71" s="34">
        <f t="shared" si="5"/>
        <v>3085.6930490457139</v>
      </c>
      <c r="N71" s="3">
        <f t="shared" ref="N71:N84" si="7">+IF(B71=1,ROUNDUP(F71/K71,0),0)</f>
        <v>1</v>
      </c>
      <c r="O71" s="34">
        <f t="shared" ref="O71:O84" si="8">M71*N71</f>
        <v>3085.6930490457139</v>
      </c>
      <c r="P71" s="36">
        <f t="shared" si="4"/>
        <v>1.2136732247515637E-2</v>
      </c>
      <c r="W71" s="37" t="s">
        <v>127</v>
      </c>
      <c r="X71" s="3">
        <v>4180</v>
      </c>
      <c r="Y71" s="3" t="s">
        <v>128</v>
      </c>
    </row>
    <row r="72" spans="2:25" ht="17.25" x14ac:dyDescent="0.25">
      <c r="B72" s="3">
        <v>1</v>
      </c>
      <c r="C72" s="3">
        <v>200</v>
      </c>
      <c r="D72" s="3" t="s">
        <v>52</v>
      </c>
      <c r="E72" s="34">
        <f>C60*C72</f>
        <v>10000</v>
      </c>
      <c r="F72" s="19">
        <f>C124</f>
        <v>1133.0794520547929</v>
      </c>
      <c r="G72" s="3" t="s">
        <v>52</v>
      </c>
      <c r="I72" s="35">
        <v>4</v>
      </c>
      <c r="J72" s="35" t="s">
        <v>78</v>
      </c>
      <c r="K72" s="19">
        <f t="shared" si="6"/>
        <v>1133.0794520547929</v>
      </c>
      <c r="L72" s="3" t="s">
        <v>52</v>
      </c>
      <c r="M72" s="34">
        <f t="shared" si="5"/>
        <v>43676.297243828347</v>
      </c>
      <c r="N72" s="3">
        <f t="shared" si="7"/>
        <v>1</v>
      </c>
      <c r="O72" s="34">
        <f t="shared" si="8"/>
        <v>43676.297243828347</v>
      </c>
      <c r="P72" s="36">
        <f t="shared" si="4"/>
        <v>0.17178880620520098</v>
      </c>
      <c r="S72" s="238" t="s">
        <v>32</v>
      </c>
      <c r="T72" s="11">
        <f>(X68*G91)/1000</f>
        <v>684292.64749999892</v>
      </c>
      <c r="U72" s="11" t="s">
        <v>196</v>
      </c>
      <c r="W72" s="37" t="s">
        <v>129</v>
      </c>
      <c r="X72" s="3">
        <f>T70</f>
        <v>50</v>
      </c>
      <c r="Y72" s="3" t="s">
        <v>121</v>
      </c>
    </row>
    <row r="73" spans="2:25" ht="17.25" x14ac:dyDescent="0.25">
      <c r="B73" s="3">
        <v>1</v>
      </c>
      <c r="C73" s="3">
        <v>1</v>
      </c>
      <c r="D73" s="3" t="s">
        <v>52</v>
      </c>
      <c r="E73" s="34">
        <f>500*(1+($E$88/100))</f>
        <v>564.5</v>
      </c>
      <c r="F73" s="19">
        <f>F69</f>
        <v>15.737214611872124</v>
      </c>
      <c r="G73" s="3" t="s">
        <v>52</v>
      </c>
      <c r="H73" s="38"/>
      <c r="I73" s="35">
        <v>5</v>
      </c>
      <c r="J73" s="35" t="s">
        <v>130</v>
      </c>
      <c r="K73" s="19">
        <f t="shared" si="6"/>
        <v>7.8686073059360622</v>
      </c>
      <c r="L73" s="3" t="s">
        <v>52</v>
      </c>
      <c r="M73" s="34">
        <f t="shared" si="5"/>
        <v>3259.6962830318389</v>
      </c>
      <c r="N73" s="3">
        <f t="shared" si="7"/>
        <v>2</v>
      </c>
      <c r="O73" s="34">
        <f t="shared" si="8"/>
        <v>6519.3925660636778</v>
      </c>
      <c r="P73" s="36">
        <f t="shared" si="4"/>
        <v>2.564225304757024E-2</v>
      </c>
      <c r="S73" s="238"/>
      <c r="T73" s="19">
        <f>X76*F91</f>
        <v>520.77066019786832</v>
      </c>
      <c r="U73" s="11" t="s">
        <v>187</v>
      </c>
      <c r="W73" s="37" t="s">
        <v>131</v>
      </c>
      <c r="X73" s="3">
        <f>T69</f>
        <v>30</v>
      </c>
      <c r="Y73" s="3" t="s">
        <v>121</v>
      </c>
    </row>
    <row r="74" spans="2:25" ht="17.25" x14ac:dyDescent="0.25">
      <c r="B74" s="3">
        <v>1</v>
      </c>
      <c r="C74" s="3">
        <f>G59</f>
        <v>43.5</v>
      </c>
      <c r="D74" s="3" t="s">
        <v>50</v>
      </c>
      <c r="E74" s="34">
        <v>6000</v>
      </c>
      <c r="F74" s="19">
        <f>G57</f>
        <v>245.89397831050195</v>
      </c>
      <c r="G74" s="3" t="s">
        <v>50</v>
      </c>
      <c r="I74" s="35">
        <v>6</v>
      </c>
      <c r="J74" s="39" t="s">
        <v>132</v>
      </c>
      <c r="K74" s="19">
        <f t="shared" si="6"/>
        <v>245.89397831050195</v>
      </c>
      <c r="L74" s="3" t="s">
        <v>50</v>
      </c>
      <c r="M74" s="34">
        <f t="shared" si="5"/>
        <v>26155.985708899272</v>
      </c>
      <c r="N74" s="3">
        <f t="shared" si="7"/>
        <v>1</v>
      </c>
      <c r="O74" s="34">
        <f t="shared" si="8"/>
        <v>26155.985708899272</v>
      </c>
      <c r="P74" s="36">
        <f t="shared" si="4"/>
        <v>0.10287743796063269</v>
      </c>
    </row>
    <row r="75" spans="2:25" ht="17.25" x14ac:dyDescent="0.25">
      <c r="B75" s="3">
        <v>1</v>
      </c>
      <c r="C75" s="19">
        <f>C76</f>
        <v>3.74</v>
      </c>
      <c r="D75" s="3" t="s">
        <v>52</v>
      </c>
      <c r="E75" s="34">
        <f>E76*0.25</f>
        <v>16050</v>
      </c>
      <c r="F75" s="19">
        <f>O62</f>
        <v>3.7375884703196292</v>
      </c>
      <c r="G75" s="3" t="s">
        <v>52</v>
      </c>
      <c r="I75" s="35">
        <v>7</v>
      </c>
      <c r="J75" s="39" t="s">
        <v>133</v>
      </c>
      <c r="K75" s="19">
        <f t="shared" si="6"/>
        <v>3.74</v>
      </c>
      <c r="L75" s="3" t="s">
        <v>52</v>
      </c>
      <c r="M75" s="34">
        <f t="shared" si="5"/>
        <v>16050</v>
      </c>
      <c r="N75" s="3">
        <f t="shared" si="7"/>
        <v>1</v>
      </c>
      <c r="O75" s="34">
        <f t="shared" si="8"/>
        <v>16050</v>
      </c>
      <c r="P75" s="36">
        <f t="shared" si="4"/>
        <v>6.312829872461502E-2</v>
      </c>
      <c r="W75" s="246" t="s">
        <v>134</v>
      </c>
      <c r="X75" s="246"/>
      <c r="Y75" s="246"/>
    </row>
    <row r="76" spans="2:25" ht="17.25" x14ac:dyDescent="0.25">
      <c r="B76" s="3">
        <v>1</v>
      </c>
      <c r="C76" s="19">
        <f>E204</f>
        <v>3.74</v>
      </c>
      <c r="D76" s="3" t="s">
        <v>52</v>
      </c>
      <c r="E76" s="34">
        <f>J204</f>
        <v>64200</v>
      </c>
      <c r="F76" s="19">
        <f>O62</f>
        <v>3.7375884703196292</v>
      </c>
      <c r="G76" s="3" t="s">
        <v>52</v>
      </c>
      <c r="I76" s="35">
        <v>8</v>
      </c>
      <c r="J76" s="39" t="s">
        <v>135</v>
      </c>
      <c r="K76" s="19">
        <f t="shared" si="6"/>
        <v>3.74</v>
      </c>
      <c r="L76" s="3" t="s">
        <v>52</v>
      </c>
      <c r="M76" s="34">
        <f t="shared" si="5"/>
        <v>64200</v>
      </c>
      <c r="N76" s="3">
        <f t="shared" si="7"/>
        <v>1</v>
      </c>
      <c r="O76" s="34">
        <f t="shared" si="8"/>
        <v>64200</v>
      </c>
      <c r="P76" s="36">
        <f t="shared" si="4"/>
        <v>0.25251319489846008</v>
      </c>
      <c r="W76" s="37" t="s">
        <v>32</v>
      </c>
      <c r="X76" s="41">
        <f>X69</f>
        <v>21.698777508244515</v>
      </c>
      <c r="Y76" s="3" t="s">
        <v>122</v>
      </c>
    </row>
    <row r="77" spans="2:25" ht="17.25" x14ac:dyDescent="0.25">
      <c r="B77" s="3">
        <v>1</v>
      </c>
      <c r="C77" s="19">
        <f>E208</f>
        <v>22.89</v>
      </c>
      <c r="D77" s="3" t="s">
        <v>52</v>
      </c>
      <c r="E77" s="34">
        <f>J208</f>
        <v>30400</v>
      </c>
      <c r="F77" s="19">
        <f>S59</f>
        <v>22.530846141785943</v>
      </c>
      <c r="G77" s="3" t="s">
        <v>52</v>
      </c>
      <c r="I77" s="35">
        <v>9</v>
      </c>
      <c r="J77" s="39" t="s">
        <v>136</v>
      </c>
      <c r="K77" s="19">
        <f t="shared" si="6"/>
        <v>22.89</v>
      </c>
      <c r="L77" s="3" t="s">
        <v>52</v>
      </c>
      <c r="M77" s="34">
        <f t="shared" si="5"/>
        <v>30400</v>
      </c>
      <c r="N77" s="3">
        <f t="shared" si="7"/>
        <v>1</v>
      </c>
      <c r="O77" s="42">
        <f t="shared" si="8"/>
        <v>30400</v>
      </c>
      <c r="P77" s="36">
        <f t="shared" si="4"/>
        <v>0.11957011097995618</v>
      </c>
      <c r="W77" s="37" t="s">
        <v>137</v>
      </c>
      <c r="X77" s="3">
        <v>2200.6999999999998</v>
      </c>
      <c r="Y77" s="3" t="s">
        <v>138</v>
      </c>
    </row>
    <row r="78" spans="2:25" ht="17.25" x14ac:dyDescent="0.25">
      <c r="B78" s="3">
        <v>1</v>
      </c>
      <c r="C78" s="19">
        <f>C194/1000</f>
        <v>1.5737214611872146</v>
      </c>
      <c r="D78" s="3" t="s">
        <v>118</v>
      </c>
      <c r="E78" s="43">
        <f>J194</f>
        <v>4780</v>
      </c>
      <c r="F78" s="19">
        <f>D20/24</f>
        <v>1.5737214611872126</v>
      </c>
      <c r="G78" s="3" t="s">
        <v>118</v>
      </c>
      <c r="I78" s="35">
        <v>10</v>
      </c>
      <c r="J78" s="35" t="s">
        <v>139</v>
      </c>
      <c r="K78" s="19">
        <f t="shared" si="6"/>
        <v>1.5737214611872146</v>
      </c>
      <c r="L78" s="3" t="s">
        <v>118</v>
      </c>
      <c r="M78" s="34">
        <f t="shared" si="5"/>
        <v>4780</v>
      </c>
      <c r="N78" s="3">
        <f t="shared" si="7"/>
        <v>1</v>
      </c>
      <c r="O78" s="42">
        <f t="shared" si="8"/>
        <v>4780</v>
      </c>
      <c r="P78" s="36">
        <f t="shared" si="4"/>
        <v>1.8800826660664162E-2</v>
      </c>
      <c r="W78" s="245" t="s">
        <v>140</v>
      </c>
      <c r="X78" s="19">
        <f>X76/X77</f>
        <v>9.8599434308376949E-3</v>
      </c>
      <c r="Y78" s="3" t="s">
        <v>141</v>
      </c>
    </row>
    <row r="79" spans="2:25" ht="17.25" x14ac:dyDescent="0.25">
      <c r="B79" s="3">
        <v>1</v>
      </c>
      <c r="C79" s="19">
        <f t="shared" ref="C79:C84" si="9">C195/1000</f>
        <v>9.245613584474885</v>
      </c>
      <c r="D79" s="3" t="s">
        <v>118</v>
      </c>
      <c r="E79" s="34">
        <f t="shared" ref="E79:E84" si="10">J195</f>
        <v>5230</v>
      </c>
      <c r="F79" s="19">
        <f>E20/24</f>
        <v>9.2456135844748726</v>
      </c>
      <c r="G79" s="3" t="s">
        <v>118</v>
      </c>
      <c r="I79" s="35">
        <v>11</v>
      </c>
      <c r="J79" s="35" t="s">
        <v>142</v>
      </c>
      <c r="K79" s="19">
        <f t="shared" si="6"/>
        <v>9.245613584474885</v>
      </c>
      <c r="L79" s="3" t="s">
        <v>118</v>
      </c>
      <c r="M79" s="34">
        <f t="shared" si="5"/>
        <v>5230</v>
      </c>
      <c r="N79" s="3">
        <f t="shared" si="7"/>
        <v>1</v>
      </c>
      <c r="O79" s="42">
        <f t="shared" si="8"/>
        <v>5230</v>
      </c>
      <c r="P79" s="36">
        <f t="shared" si="4"/>
        <v>2.0570778961354303E-2</v>
      </c>
      <c r="W79" s="245"/>
      <c r="X79" s="19">
        <f>X78*24*60*60</f>
        <v>851.89911242437677</v>
      </c>
      <c r="Y79" s="3" t="s">
        <v>143</v>
      </c>
    </row>
    <row r="80" spans="2:25" ht="17.25" x14ac:dyDescent="0.25">
      <c r="B80" s="3">
        <v>1</v>
      </c>
      <c r="C80" s="19">
        <f t="shared" si="9"/>
        <v>4.9178795662100443</v>
      </c>
      <c r="D80" s="3" t="s">
        <v>118</v>
      </c>
      <c r="E80" s="34">
        <f t="shared" si="10"/>
        <v>5000</v>
      </c>
      <c r="F80" s="19">
        <f>F20/24</f>
        <v>4.917879566210039</v>
      </c>
      <c r="G80" s="3" t="s">
        <v>118</v>
      </c>
      <c r="I80" s="35">
        <v>12</v>
      </c>
      <c r="J80" s="35" t="s">
        <v>144</v>
      </c>
      <c r="K80" s="19">
        <f t="shared" si="6"/>
        <v>4.9178795662100443</v>
      </c>
      <c r="L80" s="3" t="s">
        <v>118</v>
      </c>
      <c r="M80" s="34">
        <f t="shared" si="5"/>
        <v>5000</v>
      </c>
      <c r="N80" s="3">
        <f t="shared" si="7"/>
        <v>1</v>
      </c>
      <c r="O80" s="42">
        <f t="shared" si="8"/>
        <v>5000</v>
      </c>
      <c r="P80" s="36">
        <f t="shared" si="4"/>
        <v>1.9666136674334898E-2</v>
      </c>
      <c r="W80" s="37" t="s">
        <v>145</v>
      </c>
      <c r="X80" s="3">
        <v>120</v>
      </c>
      <c r="Y80" s="3" t="s">
        <v>121</v>
      </c>
    </row>
    <row r="81" spans="2:16" ht="17.25" x14ac:dyDescent="0.25">
      <c r="B81" s="3">
        <v>1</v>
      </c>
      <c r="C81" s="19">
        <f t="shared" si="9"/>
        <v>9.8357591324200886</v>
      </c>
      <c r="D81" s="3" t="s">
        <v>118</v>
      </c>
      <c r="E81" s="34">
        <f t="shared" si="10"/>
        <v>5340</v>
      </c>
      <c r="F81" s="19">
        <f>I20/24</f>
        <v>9.8357591324200779</v>
      </c>
      <c r="G81" s="3" t="s">
        <v>118</v>
      </c>
      <c r="I81" s="35">
        <v>13</v>
      </c>
      <c r="J81" s="35" t="s">
        <v>146</v>
      </c>
      <c r="K81" s="19">
        <f t="shared" si="6"/>
        <v>9.8357591324200886</v>
      </c>
      <c r="L81" s="3" t="s">
        <v>118</v>
      </c>
      <c r="M81" s="34">
        <f t="shared" si="5"/>
        <v>5340</v>
      </c>
      <c r="N81" s="3">
        <f t="shared" si="7"/>
        <v>1</v>
      </c>
      <c r="O81" s="42">
        <f t="shared" si="8"/>
        <v>5340</v>
      </c>
      <c r="P81" s="36">
        <f t="shared" si="4"/>
        <v>2.1003433968189669E-2</v>
      </c>
    </row>
    <row r="82" spans="2:16" ht="17.25" x14ac:dyDescent="0.25">
      <c r="B82" s="3">
        <v>1</v>
      </c>
      <c r="C82" s="19">
        <f t="shared" si="9"/>
        <v>0.93439711757990851</v>
      </c>
      <c r="D82" s="3" t="s">
        <v>118</v>
      </c>
      <c r="E82" s="34">
        <f t="shared" si="10"/>
        <v>4780</v>
      </c>
      <c r="F82" s="19">
        <f>L20/24</f>
        <v>0.93439711757990729</v>
      </c>
      <c r="G82" s="3" t="s">
        <v>118</v>
      </c>
      <c r="I82" s="35">
        <v>14</v>
      </c>
      <c r="J82" s="35" t="s">
        <v>147</v>
      </c>
      <c r="K82" s="19">
        <f t="shared" si="6"/>
        <v>0.93439711757990851</v>
      </c>
      <c r="L82" s="3" t="s">
        <v>118</v>
      </c>
      <c r="M82" s="34">
        <f>E82*(K82/C82)^$D$86</f>
        <v>4780</v>
      </c>
      <c r="N82" s="3">
        <f t="shared" si="7"/>
        <v>1</v>
      </c>
      <c r="O82" s="42">
        <f t="shared" si="8"/>
        <v>4780</v>
      </c>
      <c r="P82" s="36">
        <f>(O82/$O$85)</f>
        <v>1.8800826660664162E-2</v>
      </c>
    </row>
    <row r="83" spans="2:16" ht="17.25" x14ac:dyDescent="0.25">
      <c r="B83" s="3">
        <v>1</v>
      </c>
      <c r="C83" s="19">
        <f t="shared" si="9"/>
        <v>0.93439711757990851</v>
      </c>
      <c r="D83" s="3" t="s">
        <v>118</v>
      </c>
      <c r="E83" s="34">
        <f t="shared" si="10"/>
        <v>4780</v>
      </c>
      <c r="F83" s="19">
        <f>M20/24</f>
        <v>0.93439711757990729</v>
      </c>
      <c r="G83" s="3" t="s">
        <v>118</v>
      </c>
      <c r="I83" s="35">
        <v>15</v>
      </c>
      <c r="J83" s="35" t="s">
        <v>148</v>
      </c>
      <c r="K83" s="19">
        <f t="shared" si="6"/>
        <v>0.93439711757990851</v>
      </c>
      <c r="L83" s="3" t="s">
        <v>118</v>
      </c>
      <c r="M83" s="34">
        <f>E83*(K83/C83)^$D$86</f>
        <v>4780</v>
      </c>
      <c r="N83" s="3">
        <f t="shared" si="7"/>
        <v>1</v>
      </c>
      <c r="O83" s="42">
        <f t="shared" si="8"/>
        <v>4780</v>
      </c>
      <c r="P83" s="36">
        <f>(O83/$O$85)</f>
        <v>1.8800826660664162E-2</v>
      </c>
    </row>
    <row r="84" spans="2:16" ht="18" thickBot="1" x14ac:dyDescent="0.3">
      <c r="B84" s="3">
        <v>1</v>
      </c>
      <c r="C84" s="19">
        <f t="shared" si="9"/>
        <v>0.95355225849029657</v>
      </c>
      <c r="D84" s="3" t="s">
        <v>118</v>
      </c>
      <c r="E84" s="34">
        <f t="shared" si="10"/>
        <v>4560</v>
      </c>
      <c r="F84" s="19">
        <f>N20/24</f>
        <v>0.93878525590774764</v>
      </c>
      <c r="G84" s="3" t="s">
        <v>118</v>
      </c>
      <c r="I84" s="35">
        <v>16</v>
      </c>
      <c r="J84" s="35" t="s">
        <v>149</v>
      </c>
      <c r="K84" s="19">
        <f t="shared" si="6"/>
        <v>0.95355225849029657</v>
      </c>
      <c r="L84" s="3" t="s">
        <v>118</v>
      </c>
      <c r="M84" s="34">
        <f>E84*(K84/C84)^$D$86</f>
        <v>4560</v>
      </c>
      <c r="N84" s="3">
        <f t="shared" si="7"/>
        <v>1</v>
      </c>
      <c r="O84" s="42">
        <f t="shared" si="8"/>
        <v>4560</v>
      </c>
      <c r="P84" s="36">
        <f>(O84/$O$85)</f>
        <v>1.7935516646993426E-2</v>
      </c>
    </row>
    <row r="85" spans="2:16" ht="15.75" thickBot="1" x14ac:dyDescent="0.3">
      <c r="O85" s="44">
        <f>SUM(O69:O84)</f>
        <v>254244.13970056467</v>
      </c>
      <c r="P85" s="45">
        <f>SUM(P69:P84)</f>
        <v>1.0000000000000002</v>
      </c>
    </row>
    <row r="86" spans="2:16" x14ac:dyDescent="0.25">
      <c r="B86" s="247" t="s">
        <v>150</v>
      </c>
      <c r="C86" s="247"/>
      <c r="D86" s="35">
        <v>0.85</v>
      </c>
      <c r="E86" s="35"/>
    </row>
    <row r="87" spans="2:16" x14ac:dyDescent="0.25">
      <c r="B87" s="248" t="s">
        <v>151</v>
      </c>
      <c r="C87" s="248"/>
      <c r="D87" s="248"/>
      <c r="E87" s="35">
        <f>0.73+2.07+2.11+1.91+2.29+1.36</f>
        <v>10.469999999999999</v>
      </c>
      <c r="I87" s="237" t="s">
        <v>152</v>
      </c>
      <c r="J87" s="237"/>
      <c r="K87" s="237"/>
      <c r="L87" s="237"/>
      <c r="M87" s="237"/>
    </row>
    <row r="88" spans="2:16" x14ac:dyDescent="0.25">
      <c r="B88" s="248" t="s">
        <v>153</v>
      </c>
      <c r="C88" s="248"/>
      <c r="D88" s="248"/>
      <c r="E88" s="35">
        <f>2.9+0.3-1+1.6+1.1+1.2+0.8-0.5+6.5</f>
        <v>12.9</v>
      </c>
      <c r="I88" s="33" t="s">
        <v>113</v>
      </c>
      <c r="J88" s="33" t="s">
        <v>114</v>
      </c>
      <c r="K88" s="33" t="s">
        <v>154</v>
      </c>
      <c r="L88" s="33" t="s">
        <v>155</v>
      </c>
      <c r="M88" s="33" t="s">
        <v>31</v>
      </c>
    </row>
    <row r="89" spans="2:16" x14ac:dyDescent="0.25">
      <c r="I89" s="35">
        <v>1</v>
      </c>
      <c r="J89" s="35" t="s">
        <v>156</v>
      </c>
      <c r="K89" s="35">
        <v>1</v>
      </c>
      <c r="L89" s="46">
        <f>O85</f>
        <v>254244.13970056467</v>
      </c>
      <c r="M89" s="36">
        <f>(L89/$L$102)</f>
        <v>0.24390243902439024</v>
      </c>
    </row>
    <row r="90" spans="2:16" x14ac:dyDescent="0.25">
      <c r="B90" s="247" t="s">
        <v>157</v>
      </c>
      <c r="C90" s="247"/>
      <c r="D90" s="247"/>
      <c r="F90" s="47" t="s">
        <v>158</v>
      </c>
      <c r="G90" s="47" t="s">
        <v>159</v>
      </c>
      <c r="I90" s="35">
        <v>2</v>
      </c>
      <c r="J90" s="35" t="s">
        <v>160</v>
      </c>
      <c r="K90" s="35">
        <v>0.38</v>
      </c>
      <c r="L90" s="46">
        <f>K90*$L$89</f>
        <v>96612.773086214584</v>
      </c>
      <c r="M90" s="36">
        <f t="shared" ref="M90:M101" si="11">(L90/$L$102)</f>
        <v>9.2682926829268306E-2</v>
      </c>
    </row>
    <row r="91" spans="2:16" ht="17.25" x14ac:dyDescent="0.25">
      <c r="B91" s="48" t="s">
        <v>78</v>
      </c>
      <c r="C91" s="11">
        <v>50</v>
      </c>
      <c r="D91" s="3" t="s">
        <v>95</v>
      </c>
      <c r="F91" s="3">
        <v>24</v>
      </c>
      <c r="G91" s="3">
        <v>365</v>
      </c>
      <c r="I91" s="35">
        <v>3</v>
      </c>
      <c r="J91" s="35" t="s">
        <v>161</v>
      </c>
      <c r="K91" s="35">
        <v>0.12</v>
      </c>
      <c r="L91" s="46">
        <f>K91*$L$89</f>
        <v>30509.29676406776</v>
      </c>
      <c r="M91" s="36">
        <f t="shared" si="11"/>
        <v>2.9268292682926828E-2</v>
      </c>
      <c r="O91" s="26"/>
    </row>
    <row r="92" spans="2:16" ht="17.25" x14ac:dyDescent="0.25">
      <c r="B92" s="48" t="s">
        <v>39</v>
      </c>
      <c r="C92" s="3">
        <v>0.05</v>
      </c>
      <c r="D92" s="3" t="s">
        <v>95</v>
      </c>
      <c r="I92" s="35">
        <v>4</v>
      </c>
      <c r="J92" s="35" t="s">
        <v>162</v>
      </c>
      <c r="K92" s="35">
        <v>0.31</v>
      </c>
      <c r="L92" s="46">
        <f>K92*$L$89</f>
        <v>78815.683307175044</v>
      </c>
      <c r="M92" s="36">
        <f t="shared" si="11"/>
        <v>7.5609756097560973E-2</v>
      </c>
    </row>
    <row r="93" spans="2:16" ht="18" x14ac:dyDescent="0.35">
      <c r="B93" s="49" t="s">
        <v>163</v>
      </c>
      <c r="C93" s="3">
        <v>0.1</v>
      </c>
      <c r="D93" s="3" t="s">
        <v>94</v>
      </c>
      <c r="I93" s="35">
        <v>5</v>
      </c>
      <c r="J93" s="35" t="s">
        <v>164</v>
      </c>
      <c r="K93" s="35">
        <v>0.1</v>
      </c>
      <c r="L93" s="46">
        <f t="shared" ref="L93:L101" si="12">K93*$L$89</f>
        <v>25424.41397005647</v>
      </c>
      <c r="M93" s="36">
        <f t="shared" si="11"/>
        <v>2.4390243902439029E-2</v>
      </c>
    </row>
    <row r="94" spans="2:16" x14ac:dyDescent="0.25">
      <c r="B94" s="48" t="s">
        <v>165</v>
      </c>
      <c r="C94" s="3">
        <v>0.3</v>
      </c>
      <c r="D94" s="3" t="s">
        <v>94</v>
      </c>
      <c r="I94" s="35">
        <v>6</v>
      </c>
      <c r="J94" s="35" t="s">
        <v>166</v>
      </c>
      <c r="K94" s="35">
        <v>0.28999999999999998</v>
      </c>
      <c r="L94" s="46">
        <f t="shared" si="12"/>
        <v>73730.800513163747</v>
      </c>
      <c r="M94" s="36">
        <f t="shared" si="11"/>
        <v>7.0731707317073164E-2</v>
      </c>
    </row>
    <row r="95" spans="2:16" x14ac:dyDescent="0.25">
      <c r="B95" s="48" t="s">
        <v>91</v>
      </c>
      <c r="C95" s="3">
        <v>0.25</v>
      </c>
      <c r="D95" s="3" t="s">
        <v>167</v>
      </c>
      <c r="I95" s="35">
        <v>7</v>
      </c>
      <c r="J95" s="35" t="s">
        <v>168</v>
      </c>
      <c r="K95" s="35">
        <v>0.1</v>
      </c>
      <c r="L95" s="46">
        <f t="shared" si="12"/>
        <v>25424.41397005647</v>
      </c>
      <c r="M95" s="36">
        <f t="shared" si="11"/>
        <v>2.4390243902439029E-2</v>
      </c>
    </row>
    <row r="96" spans="2:16" x14ac:dyDescent="0.25">
      <c r="B96" s="48" t="s">
        <v>169</v>
      </c>
      <c r="C96" s="3">
        <v>10</v>
      </c>
      <c r="D96" s="3" t="s">
        <v>94</v>
      </c>
      <c r="I96" s="35">
        <v>8</v>
      </c>
      <c r="J96" s="35" t="s">
        <v>170</v>
      </c>
      <c r="K96" s="35">
        <v>0.54</v>
      </c>
      <c r="L96" s="46">
        <f t="shared" si="12"/>
        <v>137291.83543830493</v>
      </c>
      <c r="M96" s="36">
        <f t="shared" si="11"/>
        <v>0.13170731707317074</v>
      </c>
    </row>
    <row r="97" spans="2:13" ht="17.25" x14ac:dyDescent="0.25">
      <c r="B97" s="48" t="s">
        <v>171</v>
      </c>
      <c r="C97" s="3">
        <v>0.05</v>
      </c>
      <c r="D97" s="3" t="s">
        <v>95</v>
      </c>
      <c r="I97" s="35">
        <v>9</v>
      </c>
      <c r="J97" s="35" t="s">
        <v>172</v>
      </c>
      <c r="K97" s="35">
        <v>0.06</v>
      </c>
      <c r="L97" s="46">
        <f t="shared" si="12"/>
        <v>15254.64838203388</v>
      </c>
      <c r="M97" s="36">
        <f t="shared" si="11"/>
        <v>1.4634146341463414E-2</v>
      </c>
    </row>
    <row r="98" spans="2:13" x14ac:dyDescent="0.25">
      <c r="B98" s="48" t="s">
        <v>103</v>
      </c>
      <c r="C98" s="3">
        <v>0.5</v>
      </c>
      <c r="D98" s="3" t="s">
        <v>94</v>
      </c>
      <c r="I98" s="35">
        <v>10</v>
      </c>
      <c r="J98" s="35" t="s">
        <v>173</v>
      </c>
      <c r="K98" s="35">
        <v>0.32</v>
      </c>
      <c r="L98" s="46">
        <f t="shared" si="12"/>
        <v>81358.124704180693</v>
      </c>
      <c r="M98" s="36">
        <f t="shared" si="11"/>
        <v>7.8048780487804878E-2</v>
      </c>
    </row>
    <row r="99" spans="2:13" x14ac:dyDescent="0.25">
      <c r="B99" s="48" t="s">
        <v>174</v>
      </c>
      <c r="C99" s="3">
        <v>0.14000000000000001</v>
      </c>
      <c r="D99" s="3" t="s">
        <v>94</v>
      </c>
      <c r="I99" s="35">
        <v>11</v>
      </c>
      <c r="J99" s="35" t="s">
        <v>175</v>
      </c>
      <c r="K99" s="35">
        <v>0.34</v>
      </c>
      <c r="L99" s="46">
        <f t="shared" si="12"/>
        <v>86443.00749819199</v>
      </c>
      <c r="M99" s="36">
        <f t="shared" si="11"/>
        <v>8.2926829268292687E-2</v>
      </c>
    </row>
    <row r="100" spans="2:13" x14ac:dyDescent="0.25">
      <c r="B100" s="249" t="s">
        <v>176</v>
      </c>
      <c r="C100" s="250"/>
      <c r="D100" s="251"/>
      <c r="E100" s="50"/>
      <c r="I100" s="35">
        <v>12</v>
      </c>
      <c r="J100" s="35" t="s">
        <v>177</v>
      </c>
      <c r="K100" s="35">
        <v>0.18</v>
      </c>
      <c r="L100" s="46">
        <f t="shared" si="12"/>
        <v>45763.945146101636</v>
      </c>
      <c r="M100" s="36">
        <f t="shared" si="11"/>
        <v>4.3902439024390241E-2</v>
      </c>
    </row>
    <row r="101" spans="2:13" ht="18" thickBot="1" x14ac:dyDescent="0.3">
      <c r="B101" s="51" t="s">
        <v>178</v>
      </c>
      <c r="C101" s="3">
        <v>19</v>
      </c>
      <c r="D101" s="3" t="s">
        <v>179</v>
      </c>
      <c r="E101" s="50"/>
      <c r="I101" s="35">
        <v>13</v>
      </c>
      <c r="J101" s="35" t="s">
        <v>180</v>
      </c>
      <c r="K101" s="35">
        <v>0.36</v>
      </c>
      <c r="L101" s="52">
        <f t="shared" si="12"/>
        <v>91527.890292203272</v>
      </c>
      <c r="M101" s="53">
        <f t="shared" si="11"/>
        <v>8.7804878048780483E-2</v>
      </c>
    </row>
    <row r="102" spans="2:13" ht="15.75" thickBot="1" x14ac:dyDescent="0.3">
      <c r="B102" s="243" t="s">
        <v>181</v>
      </c>
      <c r="C102" s="19">
        <f>(C101*C124)/1000</f>
        <v>21.528509589041068</v>
      </c>
      <c r="D102" s="3" t="s">
        <v>122</v>
      </c>
      <c r="L102" s="44">
        <f>SUM(L89:L101)</f>
        <v>1042400.9727723151</v>
      </c>
      <c r="M102" s="54">
        <f>SUM(M89:M101)</f>
        <v>1</v>
      </c>
    </row>
    <row r="103" spans="2:13" x14ac:dyDescent="0.25">
      <c r="B103" s="244"/>
      <c r="C103" s="19">
        <f>(C102*F91)</f>
        <v>516.68423013698566</v>
      </c>
      <c r="D103" s="3" t="s">
        <v>182</v>
      </c>
      <c r="E103" s="26"/>
    </row>
    <row r="104" spans="2:13" ht="17.25" x14ac:dyDescent="0.25">
      <c r="B104" s="51" t="s">
        <v>183</v>
      </c>
      <c r="C104" s="3">
        <v>1</v>
      </c>
      <c r="D104" s="3" t="s">
        <v>184</v>
      </c>
      <c r="E104" s="26"/>
      <c r="I104" s="237" t="s">
        <v>185</v>
      </c>
      <c r="J104" s="237"/>
      <c r="K104" s="237"/>
      <c r="L104" s="237"/>
      <c r="M104" s="237"/>
    </row>
    <row r="105" spans="2:13" x14ac:dyDescent="0.25">
      <c r="B105" s="243" t="s">
        <v>186</v>
      </c>
      <c r="C105" s="19">
        <f>C104*O62</f>
        <v>3.7375884703196292</v>
      </c>
      <c r="D105" s="3" t="s">
        <v>187</v>
      </c>
      <c r="I105" s="55" t="s">
        <v>113</v>
      </c>
      <c r="J105" s="55" t="s">
        <v>114</v>
      </c>
      <c r="K105" s="55" t="s">
        <v>154</v>
      </c>
      <c r="L105" s="55" t="s">
        <v>155</v>
      </c>
      <c r="M105" s="56" t="s">
        <v>31</v>
      </c>
    </row>
    <row r="106" spans="2:13" x14ac:dyDescent="0.25">
      <c r="B106" s="244"/>
      <c r="C106" s="19">
        <f>C105*F91</f>
        <v>89.7021232876711</v>
      </c>
      <c r="D106" s="3" t="s">
        <v>182</v>
      </c>
      <c r="I106" s="35">
        <v>1</v>
      </c>
      <c r="J106" s="35" t="s">
        <v>188</v>
      </c>
      <c r="K106" s="35">
        <v>10</v>
      </c>
      <c r="L106" s="35"/>
      <c r="M106" s="35"/>
    </row>
    <row r="107" spans="2:13" x14ac:dyDescent="0.25">
      <c r="B107" s="51" t="s">
        <v>189</v>
      </c>
      <c r="C107" s="124">
        <f>C106+C103</f>
        <v>606.38635342465682</v>
      </c>
      <c r="D107" s="125" t="s">
        <v>182</v>
      </c>
      <c r="I107" s="35">
        <v>2</v>
      </c>
      <c r="J107" s="35" t="s">
        <v>190</v>
      </c>
      <c r="K107" s="35"/>
      <c r="L107" s="46">
        <f>(L102-L95)/K106</f>
        <v>101697.65588022587</v>
      </c>
      <c r="M107" s="36">
        <f>(L107/$L$111)</f>
        <v>0.82484431063636743</v>
      </c>
    </row>
    <row r="108" spans="2:13" ht="17.25" x14ac:dyDescent="0.25">
      <c r="B108" s="51" t="s">
        <v>191</v>
      </c>
      <c r="C108" s="3" t="s">
        <v>41</v>
      </c>
      <c r="D108" s="3" t="s">
        <v>179</v>
      </c>
      <c r="I108" s="35">
        <v>3</v>
      </c>
      <c r="J108" s="35" t="s">
        <v>192</v>
      </c>
      <c r="K108" s="35">
        <v>0.01</v>
      </c>
      <c r="L108" s="46">
        <f>K108*$L$107</f>
        <v>1016.9765588022586</v>
      </c>
      <c r="M108" s="36">
        <f>(L108/$L$111)</f>
        <v>8.2484431063636742E-3</v>
      </c>
    </row>
    <row r="109" spans="2:13" x14ac:dyDescent="0.25">
      <c r="B109" s="243" t="s">
        <v>193</v>
      </c>
      <c r="C109" s="15" t="s">
        <v>41</v>
      </c>
      <c r="D109" s="3" t="s">
        <v>187</v>
      </c>
      <c r="I109" s="35">
        <v>4</v>
      </c>
      <c r="J109" s="35" t="s">
        <v>194</v>
      </c>
      <c r="K109" s="35">
        <v>6.0000000000000001E-3</v>
      </c>
      <c r="L109" s="46">
        <f>K109*$L$107</f>
        <v>610.18593528135523</v>
      </c>
      <c r="M109" s="36">
        <f>(L109/$L$111)</f>
        <v>4.9490658638182052E-3</v>
      </c>
    </row>
    <row r="110" spans="2:13" ht="15.75" thickBot="1" x14ac:dyDescent="0.3">
      <c r="B110" s="252"/>
      <c r="C110" s="124">
        <f>(C111/3600)*8</f>
        <v>49.834512937595065</v>
      </c>
      <c r="D110" s="125" t="s">
        <v>182</v>
      </c>
      <c r="I110" s="35">
        <v>5</v>
      </c>
      <c r="J110" s="35" t="s">
        <v>195</v>
      </c>
      <c r="K110" s="35">
        <v>0.21</v>
      </c>
      <c r="L110" s="52">
        <f>K110*SUM(L89:L100)/K106</f>
        <v>19968.334732082349</v>
      </c>
      <c r="M110" s="53">
        <f>(L110/$L$111)</f>
        <v>0.16195818039345075</v>
      </c>
    </row>
    <row r="111" spans="2:13" ht="15.75" thickBot="1" x14ac:dyDescent="0.3">
      <c r="B111" s="253"/>
      <c r="C111" s="57">
        <f>K60</f>
        <v>22425.530821917779</v>
      </c>
      <c r="D111" s="58" t="s">
        <v>196</v>
      </c>
      <c r="L111" s="44">
        <f>SUM(L107:L110)</f>
        <v>123293.15310639182</v>
      </c>
      <c r="M111" s="54">
        <f>SUM(M107:M110)</f>
        <v>1</v>
      </c>
    </row>
    <row r="112" spans="2:13" x14ac:dyDescent="0.25">
      <c r="B112" s="59" t="s">
        <v>197</v>
      </c>
      <c r="C112" s="60">
        <f>X69</f>
        <v>21.698777508244515</v>
      </c>
      <c r="D112" s="61" t="s">
        <v>122</v>
      </c>
      <c r="E112" s="50" t="s">
        <v>198</v>
      </c>
    </row>
    <row r="113" spans="2:31" x14ac:dyDescent="0.25">
      <c r="B113" s="254" t="s">
        <v>199</v>
      </c>
      <c r="C113" s="126">
        <f>X79</f>
        <v>851.89911242437677</v>
      </c>
      <c r="D113" s="127" t="s">
        <v>36</v>
      </c>
      <c r="E113" s="50"/>
      <c r="I113" s="234" t="s">
        <v>200</v>
      </c>
      <c r="J113" s="234"/>
      <c r="K113" s="234"/>
      <c r="L113" s="234"/>
      <c r="M113" s="234"/>
      <c r="N113" s="234"/>
      <c r="Q113" s="257" t="s">
        <v>201</v>
      </c>
      <c r="R113" s="258"/>
      <c r="S113" s="259"/>
      <c r="U113" s="246" t="s">
        <v>202</v>
      </c>
      <c r="V113" s="246"/>
      <c r="W113" s="246"/>
      <c r="Z113" s="229" t="s">
        <v>203</v>
      </c>
      <c r="AA113" s="229"/>
      <c r="AB113" s="229" t="s">
        <v>204</v>
      </c>
      <c r="AC113" s="229"/>
      <c r="AD113" s="229" t="s">
        <v>205</v>
      </c>
      <c r="AE113" s="229"/>
    </row>
    <row r="114" spans="2:31" ht="17.25" customHeight="1" x14ac:dyDescent="0.25">
      <c r="B114" s="255"/>
      <c r="C114" s="15">
        <f>C113/24</f>
        <v>35.495796351015699</v>
      </c>
      <c r="D114" s="11" t="s">
        <v>125</v>
      </c>
      <c r="I114" s="33" t="s">
        <v>113</v>
      </c>
      <c r="J114" s="33" t="s">
        <v>206</v>
      </c>
      <c r="K114" s="33" t="s">
        <v>207</v>
      </c>
      <c r="L114" s="33" t="s">
        <v>208</v>
      </c>
      <c r="M114" s="33" t="s">
        <v>155</v>
      </c>
      <c r="N114" s="33" t="s">
        <v>31</v>
      </c>
      <c r="Q114" s="62" t="s">
        <v>203</v>
      </c>
      <c r="R114" s="63">
        <f>M121</f>
        <v>81859.274625940903</v>
      </c>
      <c r="S114" s="64">
        <f>(R114/$R$117)</f>
        <v>0.20425345041547821</v>
      </c>
      <c r="U114" s="37" t="s">
        <v>209</v>
      </c>
      <c r="V114" s="34">
        <f>C155</f>
        <v>1063996.4699984812</v>
      </c>
      <c r="W114" s="36">
        <f>V114/$V$116</f>
        <v>0.72639174185685773</v>
      </c>
      <c r="X114" s="50" t="s">
        <v>210</v>
      </c>
      <c r="Z114" s="2" t="s">
        <v>211</v>
      </c>
      <c r="AA114" s="65">
        <f>N115</f>
        <v>0.18945959478469682</v>
      </c>
      <c r="AB114" s="2" t="s">
        <v>212</v>
      </c>
      <c r="AC114" s="65">
        <f>N123+N124+N125</f>
        <v>0.59657725749299406</v>
      </c>
      <c r="AD114" s="2" t="s">
        <v>205</v>
      </c>
      <c r="AE114" s="65">
        <f>N130</f>
        <v>0.28435077162620753</v>
      </c>
    </row>
    <row r="115" spans="2:31" ht="17.25" customHeight="1" x14ac:dyDescent="0.25">
      <c r="B115" s="66" t="s">
        <v>213</v>
      </c>
      <c r="C115" s="15" t="str">
        <f>C109</f>
        <v>-</v>
      </c>
      <c r="D115" s="11" t="s">
        <v>122</v>
      </c>
      <c r="I115" s="35">
        <v>1</v>
      </c>
      <c r="J115" s="35" t="s">
        <v>214</v>
      </c>
      <c r="K115" s="35">
        <f>I24*C128*G91</f>
        <v>51696.749999999927</v>
      </c>
      <c r="L115" s="35">
        <f>C94</f>
        <v>0.3</v>
      </c>
      <c r="M115" s="46">
        <f t="shared" ref="M115:M120" si="13">K115*L115</f>
        <v>15509.024999999978</v>
      </c>
      <c r="N115" s="36">
        <f t="shared" ref="N115:N120" si="14">(M115/$M$121)</f>
        <v>0.18945959478469682</v>
      </c>
      <c r="Q115" s="37" t="s">
        <v>204</v>
      </c>
      <c r="R115" s="34">
        <f>M128</f>
        <v>107906.76890044112</v>
      </c>
      <c r="S115" s="64">
        <f>(R115/$R$117)</f>
        <v>0.2692465816709817</v>
      </c>
      <c r="U115" s="37" t="s">
        <v>215</v>
      </c>
      <c r="V115" s="34">
        <f>C156</f>
        <v>400773.03203166672</v>
      </c>
      <c r="W115" s="36">
        <f>V115/$V$116</f>
        <v>0.27360825814314232</v>
      </c>
      <c r="X115" s="50" t="s">
        <v>216</v>
      </c>
      <c r="Z115" s="2" t="s">
        <v>217</v>
      </c>
      <c r="AA115" s="65">
        <f>N116</f>
        <v>4.947000530489306E-2</v>
      </c>
      <c r="AB115" s="2" t="s">
        <v>218</v>
      </c>
      <c r="AC115" s="65">
        <f>N127</f>
        <v>0.40342274250700594</v>
      </c>
      <c r="AD115" s="2" t="s">
        <v>219</v>
      </c>
      <c r="AE115" s="65">
        <f t="shared" ref="AE115:AE122" si="15">N131</f>
        <v>5.6870154325241506E-2</v>
      </c>
    </row>
    <row r="116" spans="2:31" ht="18.75" x14ac:dyDescent="0.35">
      <c r="B116" s="254" t="s">
        <v>220</v>
      </c>
      <c r="C116" s="15">
        <f>(C112*0.86)/(35-20)</f>
        <v>1.2440632438060188</v>
      </c>
      <c r="D116" s="11" t="s">
        <v>118</v>
      </c>
      <c r="E116" s="50" t="s">
        <v>221</v>
      </c>
      <c r="I116" s="35">
        <v>2</v>
      </c>
      <c r="J116" s="35" t="s">
        <v>222</v>
      </c>
      <c r="K116" s="67">
        <f>E20*G91</f>
        <v>80991.574999999881</v>
      </c>
      <c r="L116" s="35">
        <f>C92</f>
        <v>0.05</v>
      </c>
      <c r="M116" s="46">
        <f t="shared" si="13"/>
        <v>4049.5787499999942</v>
      </c>
      <c r="N116" s="36">
        <f t="shared" si="14"/>
        <v>4.947000530489306E-2</v>
      </c>
      <c r="Q116" s="37" t="s">
        <v>205</v>
      </c>
      <c r="R116" s="34">
        <f>M139</f>
        <v>211006.98850528468</v>
      </c>
      <c r="S116" s="64">
        <f>(R116/$R$117)</f>
        <v>0.52649996791354003</v>
      </c>
      <c r="U116" s="37" t="s">
        <v>223</v>
      </c>
      <c r="V116" s="256">
        <f>SUM(V114:V115)</f>
        <v>1464769.5020301479</v>
      </c>
      <c r="W116" s="256"/>
      <c r="Z116" s="68" t="s">
        <v>163</v>
      </c>
      <c r="AA116" s="65">
        <f>N117</f>
        <v>0.31576599130782806</v>
      </c>
      <c r="AD116" s="2" t="s">
        <v>224</v>
      </c>
      <c r="AE116" s="65">
        <f t="shared" si="15"/>
        <v>8.530523148786226E-2</v>
      </c>
    </row>
    <row r="117" spans="2:31" ht="18" x14ac:dyDescent="0.35">
      <c r="B117" s="255"/>
      <c r="C117" s="15">
        <f>C116*F91</f>
        <v>29.857517851344454</v>
      </c>
      <c r="D117" s="11" t="s">
        <v>33</v>
      </c>
      <c r="I117" s="35">
        <v>3</v>
      </c>
      <c r="J117" s="69" t="s">
        <v>225</v>
      </c>
      <c r="K117" s="35">
        <f>I24*C126*G91</f>
        <v>258483.74999999965</v>
      </c>
      <c r="L117" s="35">
        <f>C93</f>
        <v>0.1</v>
      </c>
      <c r="M117" s="46">
        <f t="shared" si="13"/>
        <v>25848.374999999967</v>
      </c>
      <c r="N117" s="36">
        <f t="shared" si="14"/>
        <v>0.31576599130782806</v>
      </c>
      <c r="Q117" s="37" t="s">
        <v>223</v>
      </c>
      <c r="R117" s="256">
        <f>SUM(R114:R116)</f>
        <v>400773.03203166672</v>
      </c>
      <c r="S117" s="256"/>
      <c r="Z117" s="2" t="s">
        <v>226</v>
      </c>
      <c r="AA117" s="65">
        <f>N118</f>
        <v>0.39997025565658217</v>
      </c>
      <c r="AD117" s="2" t="s">
        <v>227</v>
      </c>
      <c r="AE117" s="65">
        <f t="shared" si="15"/>
        <v>4.8196344870197909E-2</v>
      </c>
    </row>
    <row r="118" spans="2:31" ht="17.25" x14ac:dyDescent="0.25">
      <c r="B118" s="254" t="s">
        <v>43</v>
      </c>
      <c r="C118" s="11">
        <v>0.2</v>
      </c>
      <c r="D118" s="11" t="s">
        <v>228</v>
      </c>
      <c r="I118" s="35">
        <v>4</v>
      </c>
      <c r="J118" s="35" t="s">
        <v>229</v>
      </c>
      <c r="K118" s="67">
        <f>O58*G91</f>
        <v>3274.1274999999955</v>
      </c>
      <c r="L118" s="35">
        <f>C96</f>
        <v>10</v>
      </c>
      <c r="M118" s="46">
        <f t="shared" si="13"/>
        <v>32741.274999999954</v>
      </c>
      <c r="N118" s="36">
        <f t="shared" si="14"/>
        <v>0.39997025565658217</v>
      </c>
      <c r="Z118" s="2" t="s">
        <v>230</v>
      </c>
      <c r="AA118" s="65">
        <f>N120</f>
        <v>0.23479374773069672</v>
      </c>
      <c r="AD118" s="2" t="s">
        <v>231</v>
      </c>
      <c r="AE118" s="65">
        <f t="shared" si="15"/>
        <v>1.551783193643195E-3</v>
      </c>
    </row>
    <row r="119" spans="2:31" x14ac:dyDescent="0.25">
      <c r="B119" s="255"/>
      <c r="C119" s="126">
        <f>C118*I20</f>
        <v>47.211643835616371</v>
      </c>
      <c r="D119" s="127" t="s">
        <v>182</v>
      </c>
      <c r="I119" s="35">
        <v>5</v>
      </c>
      <c r="J119" s="35" t="s">
        <v>232</v>
      </c>
      <c r="K119" s="67">
        <v>0</v>
      </c>
      <c r="L119" s="67">
        <v>0</v>
      </c>
      <c r="M119" s="46">
        <f t="shared" si="13"/>
        <v>0</v>
      </c>
      <c r="N119" s="36">
        <f t="shared" si="14"/>
        <v>0</v>
      </c>
      <c r="AD119" s="2" t="s">
        <v>233</v>
      </c>
      <c r="AE119" s="65">
        <f t="shared" si="15"/>
        <v>0.21417949895190586</v>
      </c>
    </row>
    <row r="120" spans="2:31" ht="15.75" thickBot="1" x14ac:dyDescent="0.3">
      <c r="F120">
        <f>I24*C126</f>
        <v>708.17465753424563</v>
      </c>
      <c r="I120" s="35">
        <v>6</v>
      </c>
      <c r="J120" s="35" t="s">
        <v>234</v>
      </c>
      <c r="K120" s="67">
        <f>O63*G91</f>
        <v>38440.091751881984</v>
      </c>
      <c r="L120" s="70">
        <f>C98</f>
        <v>0.5</v>
      </c>
      <c r="M120" s="46">
        <f t="shared" si="13"/>
        <v>19220.045875940992</v>
      </c>
      <c r="N120" s="36">
        <f t="shared" si="14"/>
        <v>0.23479374773069672</v>
      </c>
      <c r="AD120" s="2" t="s">
        <v>235</v>
      </c>
      <c r="AE120" s="65">
        <f t="shared" si="15"/>
        <v>0.19930753006153384</v>
      </c>
    </row>
    <row r="121" spans="2:31" ht="15.75" thickBot="1" x14ac:dyDescent="0.3">
      <c r="B121" s="260" t="s">
        <v>236</v>
      </c>
      <c r="C121" s="261"/>
      <c r="D121" s="262"/>
      <c r="L121" s="71" t="s">
        <v>237</v>
      </c>
      <c r="M121" s="72">
        <f>SUM(M116:M120)</f>
        <v>81859.274625940903</v>
      </c>
      <c r="N121" s="54">
        <f>SUM(N116:N120)</f>
        <v>1</v>
      </c>
      <c r="AD121" s="2" t="s">
        <v>238</v>
      </c>
      <c r="AE121" s="65">
        <f t="shared" si="15"/>
        <v>4.4966767420982677E-2</v>
      </c>
    </row>
    <row r="122" spans="2:31" x14ac:dyDescent="0.25">
      <c r="B122" s="2" t="s">
        <v>239</v>
      </c>
      <c r="C122" s="3">
        <v>24</v>
      </c>
      <c r="D122" s="3" t="s">
        <v>87</v>
      </c>
      <c r="I122" s="33" t="s">
        <v>113</v>
      </c>
      <c r="J122" s="33" t="s">
        <v>204</v>
      </c>
      <c r="K122" s="33" t="s">
        <v>207</v>
      </c>
      <c r="L122" s="73" t="s">
        <v>208</v>
      </c>
      <c r="M122" s="73" t="s">
        <v>155</v>
      </c>
      <c r="N122" s="73" t="s">
        <v>31</v>
      </c>
      <c r="O122" s="38">
        <f>M123+M124+M125</f>
        <v>64374.724255555477</v>
      </c>
      <c r="AD122" s="2" t="s">
        <v>240</v>
      </c>
      <c r="AE122" s="65">
        <f t="shared" si="15"/>
        <v>6.5271918062425216E-2</v>
      </c>
    </row>
    <row r="123" spans="2:31" x14ac:dyDescent="0.25">
      <c r="B123" s="2" t="s">
        <v>241</v>
      </c>
      <c r="C123" s="19">
        <f>1/R29</f>
        <v>0.33333333333333331</v>
      </c>
      <c r="D123" s="3" t="s">
        <v>242</v>
      </c>
      <c r="I123" s="35">
        <v>1</v>
      </c>
      <c r="J123" s="35" t="s">
        <v>243</v>
      </c>
      <c r="K123" s="67">
        <f>C107*G91</f>
        <v>221331.01899999974</v>
      </c>
      <c r="L123" s="35">
        <f>C95</f>
        <v>0.25</v>
      </c>
      <c r="M123" s="46">
        <f>K123*L123</f>
        <v>55332.754749999935</v>
      </c>
      <c r="N123" s="36">
        <f>(M123/M128)</f>
        <v>0.51278298214129669</v>
      </c>
    </row>
    <row r="124" spans="2:31" ht="17.25" x14ac:dyDescent="0.25">
      <c r="B124" s="2" t="s">
        <v>51</v>
      </c>
      <c r="C124" s="19">
        <f>C58</f>
        <v>1133.0794520547929</v>
      </c>
      <c r="D124" s="3" t="s">
        <v>52</v>
      </c>
      <c r="I124" s="35">
        <v>2</v>
      </c>
      <c r="J124" s="35" t="s">
        <v>244</v>
      </c>
      <c r="K124" s="67">
        <f>C110*G91</f>
        <v>18189.597222222197</v>
      </c>
      <c r="L124" s="35">
        <f>L123</f>
        <v>0.25</v>
      </c>
      <c r="M124" s="46">
        <f>K124*L124</f>
        <v>4547.3993055555493</v>
      </c>
      <c r="N124" s="36">
        <f>(M124/M128)</f>
        <v>4.2141928183867243E-2</v>
      </c>
      <c r="O124" s="38"/>
    </row>
    <row r="125" spans="2:31" x14ac:dyDescent="0.25">
      <c r="B125" s="2" t="s">
        <v>245</v>
      </c>
      <c r="C125" s="3">
        <v>0.01</v>
      </c>
      <c r="D125" s="3" t="s">
        <v>246</v>
      </c>
      <c r="I125" s="35">
        <v>3</v>
      </c>
      <c r="J125" s="35" t="s">
        <v>247</v>
      </c>
      <c r="K125" s="67">
        <f>(C119+C140)*G91</f>
        <v>17978.280799999975</v>
      </c>
      <c r="L125" s="35">
        <f>L123</f>
        <v>0.25</v>
      </c>
      <c r="M125" s="46">
        <f>K125*L125</f>
        <v>4494.5701999999937</v>
      </c>
      <c r="N125" s="36">
        <f>(M125/M128)</f>
        <v>4.1652347167830173E-2</v>
      </c>
      <c r="O125" s="74">
        <f>(C119)*G91*L125</f>
        <v>4308.0624999999936</v>
      </c>
      <c r="P125" t="s">
        <v>248</v>
      </c>
    </row>
    <row r="126" spans="2:31" ht="18.75" x14ac:dyDescent="0.35">
      <c r="B126" s="68" t="s">
        <v>249</v>
      </c>
      <c r="C126" s="3">
        <v>1.5</v>
      </c>
      <c r="D126" s="3" t="s">
        <v>250</v>
      </c>
      <c r="I126" s="35">
        <v>4</v>
      </c>
      <c r="J126" s="35" t="s">
        <v>251</v>
      </c>
      <c r="K126" s="67">
        <f>C117*G91*0</f>
        <v>0</v>
      </c>
      <c r="L126" s="35">
        <f>C97</f>
        <v>0.05</v>
      </c>
      <c r="M126" s="46">
        <f>K126*L126</f>
        <v>0</v>
      </c>
      <c r="N126" s="36">
        <f>(M126/M128)</f>
        <v>0</v>
      </c>
      <c r="O126" s="74">
        <f>(C140)*G91*L125</f>
        <v>186.50769999999994</v>
      </c>
      <c r="P126" t="s">
        <v>252</v>
      </c>
    </row>
    <row r="127" spans="2:31" ht="15.75" thickBot="1" x14ac:dyDescent="0.3">
      <c r="B127" s="2" t="s">
        <v>61</v>
      </c>
      <c r="C127" s="19">
        <f>I24/V28</f>
        <v>0.41666666666666669</v>
      </c>
      <c r="D127" s="3" t="s">
        <v>253</v>
      </c>
      <c r="I127" s="35">
        <v>5</v>
      </c>
      <c r="J127" s="35" t="s">
        <v>174</v>
      </c>
      <c r="K127" s="67">
        <f>C113*G91</f>
        <v>310943.17603489751</v>
      </c>
      <c r="L127" s="70">
        <f>C99</f>
        <v>0.14000000000000001</v>
      </c>
      <c r="M127" s="52">
        <f>K127*L127</f>
        <v>43532.044644885653</v>
      </c>
      <c r="N127" s="53">
        <f>(M127/M128)</f>
        <v>0.40342274250700594</v>
      </c>
    </row>
    <row r="128" spans="2:31" ht="15.75" thickBot="1" x14ac:dyDescent="0.3">
      <c r="B128" s="2" t="s">
        <v>165</v>
      </c>
      <c r="C128" s="3">
        <v>0.3</v>
      </c>
      <c r="D128" s="3" t="s">
        <v>250</v>
      </c>
      <c r="L128" s="71" t="s">
        <v>237</v>
      </c>
      <c r="M128" s="72">
        <f>SUM(M123:M127)</f>
        <v>107906.76890044112</v>
      </c>
      <c r="N128" s="54">
        <f>SUM(N123:N127)</f>
        <v>1</v>
      </c>
    </row>
    <row r="129" spans="2:14" x14ac:dyDescent="0.25">
      <c r="B129" s="2" t="s">
        <v>254</v>
      </c>
      <c r="C129" s="3">
        <v>2</v>
      </c>
      <c r="D129" s="3" t="s">
        <v>31</v>
      </c>
      <c r="I129" s="33" t="s">
        <v>113</v>
      </c>
      <c r="J129" s="33" t="s">
        <v>255</v>
      </c>
      <c r="K129" s="33" t="s">
        <v>207</v>
      </c>
      <c r="L129" s="73" t="s">
        <v>208</v>
      </c>
      <c r="M129" s="73" t="s">
        <v>155</v>
      </c>
      <c r="N129" s="73" t="s">
        <v>31</v>
      </c>
    </row>
    <row r="130" spans="2:14" x14ac:dyDescent="0.25">
      <c r="I130" s="35">
        <v>1</v>
      </c>
      <c r="J130" s="35" t="s">
        <v>256</v>
      </c>
      <c r="K130" s="35">
        <v>2</v>
      </c>
      <c r="L130" s="46">
        <v>30000</v>
      </c>
      <c r="M130" s="34">
        <f t="shared" ref="M130:M138" si="16">K130*L130</f>
        <v>60000</v>
      </c>
      <c r="N130" s="36">
        <f>(M130/$M$139)</f>
        <v>0.28435077162620753</v>
      </c>
    </row>
    <row r="131" spans="2:14" x14ac:dyDescent="0.25">
      <c r="B131" s="260" t="s">
        <v>257</v>
      </c>
      <c r="C131" s="261"/>
      <c r="D131" s="262"/>
      <c r="I131" s="35">
        <v>2</v>
      </c>
      <c r="J131" s="35" t="s">
        <v>258</v>
      </c>
      <c r="K131" s="35">
        <v>0.2</v>
      </c>
      <c r="L131" s="46">
        <f>M130</f>
        <v>60000</v>
      </c>
      <c r="M131" s="34">
        <f t="shared" si="16"/>
        <v>12000</v>
      </c>
      <c r="N131" s="36">
        <f t="shared" ref="N131:N138" si="17">(M131/$M$139)</f>
        <v>5.6870154325241506E-2</v>
      </c>
    </row>
    <row r="132" spans="2:14" x14ac:dyDescent="0.25">
      <c r="B132" s="2" t="s">
        <v>259</v>
      </c>
      <c r="C132" s="19">
        <f>K194</f>
        <v>36.5</v>
      </c>
      <c r="D132" s="3" t="s">
        <v>83</v>
      </c>
      <c r="E132" s="50"/>
      <c r="I132" s="35">
        <v>3</v>
      </c>
      <c r="J132" s="35" t="s">
        <v>260</v>
      </c>
      <c r="K132" s="35">
        <v>0.25</v>
      </c>
      <c r="L132" s="46">
        <f>M130+M131</f>
        <v>72000</v>
      </c>
      <c r="M132" s="34">
        <f t="shared" si="16"/>
        <v>18000</v>
      </c>
      <c r="N132" s="36">
        <f t="shared" si="17"/>
        <v>8.530523148786226E-2</v>
      </c>
    </row>
    <row r="133" spans="2:14" x14ac:dyDescent="0.25">
      <c r="B133" s="2" t="s">
        <v>261</v>
      </c>
      <c r="C133" s="19">
        <f t="shared" ref="C133:C138" si="18">K195</f>
        <v>36.5</v>
      </c>
      <c r="D133" s="3" t="s">
        <v>83</v>
      </c>
      <c r="E133" s="50"/>
      <c r="I133" s="35">
        <v>4</v>
      </c>
      <c r="J133" s="35" t="s">
        <v>262</v>
      </c>
      <c r="K133" s="35">
        <v>0.04</v>
      </c>
      <c r="L133" s="46">
        <f>O85</f>
        <v>254244.13970056467</v>
      </c>
      <c r="M133" s="34">
        <f t="shared" si="16"/>
        <v>10169.765588022587</v>
      </c>
      <c r="N133" s="36">
        <f t="shared" si="17"/>
        <v>4.8196344870197909E-2</v>
      </c>
    </row>
    <row r="134" spans="2:14" x14ac:dyDescent="0.25">
      <c r="B134" s="68" t="s">
        <v>263</v>
      </c>
      <c r="C134" s="19">
        <f t="shared" si="18"/>
        <v>36.57</v>
      </c>
      <c r="D134" s="3" t="s">
        <v>83</v>
      </c>
      <c r="E134" s="50"/>
      <c r="I134" s="35">
        <v>5</v>
      </c>
      <c r="J134" s="35" t="s">
        <v>264</v>
      </c>
      <c r="K134" s="35">
        <v>4.0000000000000001E-3</v>
      </c>
      <c r="L134" s="46">
        <f>M121</f>
        <v>81859.274625940903</v>
      </c>
      <c r="M134" s="34">
        <f t="shared" si="16"/>
        <v>327.43709850376359</v>
      </c>
      <c r="N134" s="36">
        <f t="shared" si="17"/>
        <v>1.551783193643195E-3</v>
      </c>
    </row>
    <row r="135" spans="2:14" x14ac:dyDescent="0.25">
      <c r="B135" s="68" t="s">
        <v>265</v>
      </c>
      <c r="C135" s="19">
        <f t="shared" si="18"/>
        <v>36.57</v>
      </c>
      <c r="D135" s="3" t="s">
        <v>83</v>
      </c>
      <c r="E135" s="50"/>
      <c r="I135" s="35">
        <v>6</v>
      </c>
      <c r="J135" s="35" t="s">
        <v>266</v>
      </c>
      <c r="K135" s="35">
        <v>0.55000000000000004</v>
      </c>
      <c r="L135" s="46">
        <f>M130+M131+M133</f>
        <v>82169.765588022594</v>
      </c>
      <c r="M135" s="34">
        <f t="shared" si="16"/>
        <v>45193.371073412432</v>
      </c>
      <c r="N135" s="36">
        <f t="shared" si="17"/>
        <v>0.21417949895190586</v>
      </c>
    </row>
    <row r="136" spans="2:14" x14ac:dyDescent="0.25">
      <c r="B136" s="68" t="s">
        <v>267</v>
      </c>
      <c r="C136" s="19">
        <f t="shared" si="18"/>
        <v>36.51</v>
      </c>
      <c r="D136" s="3" t="s">
        <v>83</v>
      </c>
      <c r="E136" s="50"/>
      <c r="I136" s="35">
        <v>7</v>
      </c>
      <c r="J136" s="35" t="s">
        <v>268</v>
      </c>
      <c r="K136" s="35">
        <f>0.21</f>
        <v>0.21</v>
      </c>
      <c r="L136" s="46">
        <f>M121+M128+M133+M134</f>
        <v>200263.24621290836</v>
      </c>
      <c r="M136" s="34">
        <f t="shared" si="16"/>
        <v>42055.281704710753</v>
      </c>
      <c r="N136" s="36">
        <f t="shared" si="17"/>
        <v>0.19930753006153384</v>
      </c>
    </row>
    <row r="137" spans="2:14" x14ac:dyDescent="0.25">
      <c r="B137" s="68" t="s">
        <v>269</v>
      </c>
      <c r="C137" s="19">
        <f t="shared" si="18"/>
        <v>36.51</v>
      </c>
      <c r="D137" s="3" t="s">
        <v>83</v>
      </c>
      <c r="E137" s="50"/>
      <c r="I137" s="35">
        <v>8</v>
      </c>
      <c r="J137" s="35" t="s">
        <v>270</v>
      </c>
      <c r="K137" s="35">
        <v>0.05</v>
      </c>
      <c r="L137" s="46">
        <f>M121+M128</f>
        <v>189766.04352638201</v>
      </c>
      <c r="M137" s="34">
        <f t="shared" si="16"/>
        <v>9488.3021763191009</v>
      </c>
      <c r="N137" s="36">
        <f t="shared" si="17"/>
        <v>4.4966767420982677E-2</v>
      </c>
    </row>
    <row r="138" spans="2:14" ht="15.75" thickBot="1" x14ac:dyDescent="0.3">
      <c r="B138" s="68" t="s">
        <v>271</v>
      </c>
      <c r="C138" s="19">
        <f t="shared" si="18"/>
        <v>36.33</v>
      </c>
      <c r="D138" s="3" t="s">
        <v>83</v>
      </c>
      <c r="E138" s="50"/>
      <c r="I138" s="35">
        <v>9</v>
      </c>
      <c r="J138" s="35" t="s">
        <v>272</v>
      </c>
      <c r="K138" s="35">
        <v>0.05</v>
      </c>
      <c r="L138" s="52">
        <f>M121+M128+M131+M132+M133+M134+M135</f>
        <v>275456.61728632078</v>
      </c>
      <c r="M138" s="42">
        <f t="shared" si="16"/>
        <v>13772.83086431604</v>
      </c>
      <c r="N138" s="53">
        <f t="shared" si="17"/>
        <v>6.5271918062425216E-2</v>
      </c>
    </row>
    <row r="139" spans="2:14" ht="15.75" thickBot="1" x14ac:dyDescent="0.3">
      <c r="B139" s="75" t="s">
        <v>223</v>
      </c>
      <c r="C139" s="15">
        <f>SUM(C132:C138)</f>
        <v>255.48999999999995</v>
      </c>
      <c r="D139" s="3" t="s">
        <v>83</v>
      </c>
      <c r="L139" s="71" t="s">
        <v>237</v>
      </c>
      <c r="M139" s="76">
        <f>SUM(M130:M138)</f>
        <v>211006.98850528468</v>
      </c>
      <c r="N139" s="54">
        <f>SUM(N130:N138)</f>
        <v>1</v>
      </c>
    </row>
    <row r="140" spans="2:14" x14ac:dyDescent="0.25">
      <c r="B140" s="77"/>
      <c r="C140" s="126">
        <f>(C139/1000)*8</f>
        <v>2.0439199999999995</v>
      </c>
      <c r="D140" s="127" t="s">
        <v>182</v>
      </c>
      <c r="E140" s="1"/>
    </row>
    <row r="141" spans="2:14" x14ac:dyDescent="0.25">
      <c r="B141" s="26"/>
      <c r="I141" s="234" t="s">
        <v>273</v>
      </c>
      <c r="J141" s="234"/>
      <c r="K141" s="234"/>
      <c r="L141" s="234"/>
    </row>
    <row r="142" spans="2:14" x14ac:dyDescent="0.25">
      <c r="I142" s="33" t="s">
        <v>113</v>
      </c>
      <c r="J142" s="33" t="s">
        <v>114</v>
      </c>
      <c r="K142" s="33" t="s">
        <v>155</v>
      </c>
      <c r="L142" s="33" t="s">
        <v>31</v>
      </c>
    </row>
    <row r="143" spans="2:14" x14ac:dyDescent="0.25">
      <c r="I143" s="35">
        <v>1</v>
      </c>
      <c r="J143" s="35" t="s">
        <v>274</v>
      </c>
      <c r="K143" s="46">
        <f>L111</f>
        <v>123293.15310639182</v>
      </c>
      <c r="L143" s="36">
        <f>(K143/$K$147)</f>
        <v>0.23526256149099151</v>
      </c>
    </row>
    <row r="144" spans="2:14" x14ac:dyDescent="0.25">
      <c r="I144" s="35">
        <v>2</v>
      </c>
      <c r="J144" s="35" t="s">
        <v>206</v>
      </c>
      <c r="K144" s="46">
        <f>M121</f>
        <v>81859.274625940903</v>
      </c>
      <c r="L144" s="36">
        <f>(K144/$K$147)</f>
        <v>0.1562002604773596</v>
      </c>
    </row>
    <row r="145" spans="1:18" x14ac:dyDescent="0.25">
      <c r="I145" s="35">
        <v>3</v>
      </c>
      <c r="J145" s="35" t="s">
        <v>204</v>
      </c>
      <c r="K145" s="46">
        <f>M128</f>
        <v>107906.76890044112</v>
      </c>
      <c r="L145" s="36">
        <f>(K145/$K$147)</f>
        <v>0.20590294119437313</v>
      </c>
    </row>
    <row r="146" spans="1:18" ht="15.75" thickBot="1" x14ac:dyDescent="0.3">
      <c r="I146" s="35">
        <v>4</v>
      </c>
      <c r="J146" s="35" t="s">
        <v>255</v>
      </c>
      <c r="K146" s="52">
        <f>M139</f>
        <v>211006.98850528468</v>
      </c>
      <c r="L146" s="53">
        <f>(K146/$K$147)</f>
        <v>0.40263423683727584</v>
      </c>
    </row>
    <row r="147" spans="1:18" ht="15.75" thickBot="1" x14ac:dyDescent="0.3">
      <c r="K147" s="78">
        <f>SUM(K143:K146)</f>
        <v>524066.1851380585</v>
      </c>
      <c r="L147" s="54">
        <f>SUM(L143:L146)</f>
        <v>1</v>
      </c>
    </row>
    <row r="148" spans="1:18" ht="15.75" thickBot="1" x14ac:dyDescent="0.3"/>
    <row r="149" spans="1:18" x14ac:dyDescent="0.25">
      <c r="J149" s="79" t="s">
        <v>275</v>
      </c>
      <c r="K149" s="80">
        <f>K147</f>
        <v>524066.1851380585</v>
      </c>
    </row>
    <row r="150" spans="1:18" ht="17.25" x14ac:dyDescent="0.25">
      <c r="J150" s="81" t="s">
        <v>276</v>
      </c>
      <c r="K150" s="82">
        <f>K149/(N20*365)</f>
        <v>63.725869790512867</v>
      </c>
    </row>
    <row r="151" spans="1:18" ht="18" thickBot="1" x14ac:dyDescent="0.3">
      <c r="J151" s="83" t="s">
        <v>277</v>
      </c>
      <c r="K151" s="84">
        <f>(C155+C156)/(D20*G91)</f>
        <v>106.25204935732057</v>
      </c>
    </row>
    <row r="153" spans="1:18" ht="20.25" thickBot="1" x14ac:dyDescent="0.35">
      <c r="B153" s="235" t="s">
        <v>278</v>
      </c>
      <c r="C153" s="235"/>
      <c r="D153" s="235"/>
      <c r="E153" s="235"/>
      <c r="F153" s="235"/>
      <c r="G153" s="235"/>
      <c r="H153" s="235"/>
      <c r="I153" s="235"/>
      <c r="J153" s="85"/>
      <c r="K153" s="235" t="s">
        <v>279</v>
      </c>
      <c r="L153" s="235"/>
      <c r="M153" s="235"/>
      <c r="N153" s="235"/>
      <c r="O153" s="235"/>
      <c r="P153" s="235"/>
      <c r="Q153" s="235"/>
      <c r="R153" s="235"/>
    </row>
    <row r="154" spans="1:18" ht="16.5" thickTop="1" thickBot="1" x14ac:dyDescent="0.3"/>
    <row r="155" spans="1:18" ht="15.75" thickBot="1" x14ac:dyDescent="0.3">
      <c r="A155" s="86" t="s">
        <v>280</v>
      </c>
      <c r="B155" s="40" t="s">
        <v>281</v>
      </c>
      <c r="C155" s="46">
        <f>L102+L108+L109+L110</f>
        <v>1063996.4699984812</v>
      </c>
      <c r="K155" s="87"/>
      <c r="L155" s="88" t="s">
        <v>27</v>
      </c>
      <c r="M155" s="89" t="s">
        <v>282</v>
      </c>
      <c r="N155" s="88" t="s">
        <v>27</v>
      </c>
      <c r="O155" s="89" t="s">
        <v>283</v>
      </c>
      <c r="P155" s="88" t="s">
        <v>27</v>
      </c>
      <c r="Q155" s="89" t="s">
        <v>284</v>
      </c>
      <c r="R155" s="90"/>
    </row>
    <row r="156" spans="1:18" x14ac:dyDescent="0.25">
      <c r="A156" s="86" t="s">
        <v>285</v>
      </c>
      <c r="B156" s="40" t="s">
        <v>286</v>
      </c>
      <c r="C156" s="46">
        <f>M121+M128+M139</f>
        <v>400773.03203166672</v>
      </c>
      <c r="K156" s="91" t="s">
        <v>287</v>
      </c>
      <c r="L156" s="92">
        <f>(N28/N21)*100</f>
        <v>1.0668796358465495</v>
      </c>
      <c r="M156" s="93">
        <v>30.8</v>
      </c>
      <c r="N156" s="94">
        <f>L156</f>
        <v>1.0668796358465495</v>
      </c>
      <c r="O156" s="93" t="s">
        <v>41</v>
      </c>
      <c r="P156" s="94">
        <f>N156</f>
        <v>1.0668796358465495</v>
      </c>
      <c r="Q156" s="93">
        <v>4</v>
      </c>
    </row>
    <row r="157" spans="1:18" x14ac:dyDescent="0.25">
      <c r="B157" s="40" t="s">
        <v>288</v>
      </c>
      <c r="C157" s="3">
        <v>0.05</v>
      </c>
      <c r="K157" s="95" t="s">
        <v>289</v>
      </c>
      <c r="L157" s="92">
        <f>(N30/N21)*100</f>
        <v>0.23713812582161542</v>
      </c>
      <c r="M157" s="93">
        <v>3.5</v>
      </c>
      <c r="N157" s="94">
        <f>L157</f>
        <v>0.23713812582161542</v>
      </c>
      <c r="O157" s="93">
        <v>12</v>
      </c>
      <c r="P157" s="94">
        <f>N157</f>
        <v>0.23713812582161542</v>
      </c>
      <c r="Q157" s="93">
        <v>12</v>
      </c>
    </row>
    <row r="158" spans="1:18" x14ac:dyDescent="0.25">
      <c r="B158" s="40" t="s">
        <v>290</v>
      </c>
      <c r="C158" s="3">
        <f>K106</f>
        <v>10</v>
      </c>
      <c r="K158" s="95" t="s">
        <v>291</v>
      </c>
      <c r="L158" s="92">
        <f>(N34/N21)*100</f>
        <v>0.47435173542856934</v>
      </c>
      <c r="M158" s="93" t="s">
        <v>41</v>
      </c>
      <c r="N158" s="94">
        <f>L158</f>
        <v>0.47435173542856934</v>
      </c>
      <c r="O158" s="93">
        <v>24</v>
      </c>
      <c r="P158" s="94">
        <f>N158</f>
        <v>0.47435173542856934</v>
      </c>
      <c r="Q158" s="93">
        <v>4</v>
      </c>
    </row>
    <row r="159" spans="1:18" ht="15.75" thickBot="1" x14ac:dyDescent="0.3">
      <c r="K159" s="96" t="s">
        <v>292</v>
      </c>
      <c r="L159" s="97">
        <v>3518.8015606722633</v>
      </c>
      <c r="M159" s="98">
        <v>120</v>
      </c>
      <c r="N159" s="97">
        <v>3035.7220052360317</v>
      </c>
      <c r="O159" s="98">
        <f>5*12</f>
        <v>60</v>
      </c>
      <c r="P159" s="97">
        <v>3035.7222819333624</v>
      </c>
      <c r="Q159" s="98">
        <f>5*12</f>
        <v>60</v>
      </c>
    </row>
    <row r="160" spans="1:18" x14ac:dyDescent="0.25">
      <c r="B160" s="99" t="s">
        <v>293</v>
      </c>
      <c r="C160" s="100">
        <f>((C157*(1+C157)^C158)/((1+C157)^C158-1))*C155+C156</f>
        <v>538565.44264356629</v>
      </c>
      <c r="D160" s="101" t="s">
        <v>294</v>
      </c>
      <c r="K160" s="95" t="s">
        <v>295</v>
      </c>
      <c r="L160" s="92">
        <f>C161/1000</f>
        <v>6.5488963502830316E-2</v>
      </c>
      <c r="M160" s="102">
        <f>658/640</f>
        <v>1.028125</v>
      </c>
      <c r="N160" s="94">
        <f>L160</f>
        <v>6.5488963502830316E-2</v>
      </c>
      <c r="O160" s="103">
        <f>Q160</f>
        <v>6.3849999999999998</v>
      </c>
      <c r="P160" s="94">
        <f>N160</f>
        <v>6.5488963502830316E-2</v>
      </c>
      <c r="Q160" s="103">
        <f>1277/200</f>
        <v>6.3849999999999998</v>
      </c>
    </row>
    <row r="161" spans="2:23" ht="18" thickBot="1" x14ac:dyDescent="0.3">
      <c r="B161" s="104" t="s">
        <v>93</v>
      </c>
      <c r="C161" s="105">
        <f>C160/C169</f>
        <v>65.488963502830316</v>
      </c>
      <c r="D161" s="106" t="s">
        <v>296</v>
      </c>
      <c r="K161" s="95" t="s">
        <v>297</v>
      </c>
      <c r="L161" s="107">
        <f>L$159*1*(L156/100)</f>
        <v>37.541377276662942</v>
      </c>
      <c r="M161" s="108">
        <f>M$159*1*(M156/100)</f>
        <v>36.96</v>
      </c>
      <c r="N161" s="107">
        <f>N$159*1*(N156/100)</f>
        <v>32.387499874775742</v>
      </c>
      <c r="O161" s="108" t="s">
        <v>41</v>
      </c>
      <c r="P161" s="107">
        <f t="shared" ref="P161:Q163" si="19">P$159*1*(P156/100)</f>
        <v>32.387502826803221</v>
      </c>
      <c r="Q161" s="108">
        <f t="shared" si="19"/>
        <v>2.4</v>
      </c>
    </row>
    <row r="162" spans="2:23" x14ac:dyDescent="0.25">
      <c r="K162" s="95" t="s">
        <v>298</v>
      </c>
      <c r="L162" s="107">
        <f t="shared" ref="L162:O163" si="20">L$159*1*(L157/100)</f>
        <v>8.3444200723599593</v>
      </c>
      <c r="M162" s="108">
        <f t="shared" si="20"/>
        <v>4.2</v>
      </c>
      <c r="N162" s="107">
        <f>N$159*1*(N157/100)</f>
        <v>7.1988542683710879</v>
      </c>
      <c r="O162" s="108">
        <f>O$159*1*(O157/100)</f>
        <v>7.1999999999999993</v>
      </c>
      <c r="P162" s="107">
        <f t="shared" si="19"/>
        <v>7.1988549245259517</v>
      </c>
      <c r="Q162" s="108">
        <f t="shared" si="19"/>
        <v>7.1999999999999993</v>
      </c>
    </row>
    <row r="163" spans="2:23" x14ac:dyDescent="0.25">
      <c r="B163" s="109" t="s">
        <v>299</v>
      </c>
      <c r="C163" s="263" t="s">
        <v>300</v>
      </c>
      <c r="D163" s="263"/>
      <c r="E163" s="263"/>
      <c r="F163" s="263"/>
      <c r="K163" s="95" t="s">
        <v>301</v>
      </c>
      <c r="L163" s="107">
        <f t="shared" si="20"/>
        <v>16.691496269336465</v>
      </c>
      <c r="M163" s="108" t="s">
        <v>41</v>
      </c>
      <c r="N163" s="107">
        <f t="shared" si="20"/>
        <v>14.400000014624082</v>
      </c>
      <c r="O163" s="110">
        <f t="shared" si="20"/>
        <v>14.399999999999999</v>
      </c>
      <c r="P163" s="107">
        <f t="shared" si="19"/>
        <v>14.400001327142672</v>
      </c>
      <c r="Q163" s="110">
        <f t="shared" si="19"/>
        <v>2.4</v>
      </c>
    </row>
    <row r="164" spans="2:23" ht="15.75" thickBot="1" x14ac:dyDescent="0.3">
      <c r="B164" s="111" t="s">
        <v>302</v>
      </c>
      <c r="C164" s="263" t="s">
        <v>303</v>
      </c>
      <c r="D164" s="263"/>
      <c r="E164" s="263"/>
      <c r="F164" s="263"/>
      <c r="K164" s="112" t="s">
        <v>304</v>
      </c>
      <c r="L164" s="113">
        <f>L159*L160</f>
        <v>230.44266698056822</v>
      </c>
      <c r="M164" s="114">
        <f t="shared" ref="M164:Q164" si="21">M159*M160</f>
        <v>123.375</v>
      </c>
      <c r="N164" s="113">
        <f>N159*N160</f>
        <v>198.80628760564133</v>
      </c>
      <c r="O164" s="115">
        <f t="shared" si="21"/>
        <v>383.09999999999997</v>
      </c>
      <c r="P164" s="113">
        <f t="shared" si="21"/>
        <v>198.80630572626274</v>
      </c>
      <c r="Q164" s="115">
        <f t="shared" si="21"/>
        <v>383.09999999999997</v>
      </c>
    </row>
    <row r="165" spans="2:23" x14ac:dyDescent="0.25">
      <c r="B165" s="111" t="s">
        <v>305</v>
      </c>
      <c r="C165" s="263" t="s">
        <v>306</v>
      </c>
      <c r="D165" s="263"/>
      <c r="E165" s="263"/>
      <c r="F165" s="263"/>
      <c r="M165" s="6"/>
      <c r="U165" s="6"/>
      <c r="W165" s="6"/>
    </row>
    <row r="166" spans="2:23" x14ac:dyDescent="0.25">
      <c r="B166" s="111" t="s">
        <v>307</v>
      </c>
      <c r="C166" s="263" t="s">
        <v>308</v>
      </c>
      <c r="D166" s="263"/>
      <c r="E166" s="263"/>
      <c r="F166" s="263"/>
      <c r="K166" s="23" t="s">
        <v>309</v>
      </c>
      <c r="L166" s="19">
        <f>L156/L157</f>
        <v>4.4989797914195302</v>
      </c>
      <c r="R166" t="s">
        <v>310</v>
      </c>
    </row>
    <row r="167" spans="2:23" x14ac:dyDescent="0.25">
      <c r="B167" s="111" t="s">
        <v>293</v>
      </c>
      <c r="C167" s="263" t="s">
        <v>311</v>
      </c>
      <c r="D167" s="263"/>
      <c r="E167" s="263"/>
      <c r="F167" s="263"/>
      <c r="K167" s="116"/>
      <c r="L167" s="5"/>
      <c r="R167" t="s">
        <v>312</v>
      </c>
    </row>
    <row r="168" spans="2:23" x14ac:dyDescent="0.25">
      <c r="R168" s="117" t="s">
        <v>313</v>
      </c>
    </row>
    <row r="169" spans="2:23" ht="17.25" x14ac:dyDescent="0.25">
      <c r="B169" s="111" t="s">
        <v>314</v>
      </c>
      <c r="C169" s="19">
        <f>N20*G91</f>
        <v>8223.7588417518691</v>
      </c>
      <c r="D169" s="3" t="s">
        <v>315</v>
      </c>
      <c r="K169" s="116"/>
      <c r="O169" s="90"/>
    </row>
    <row r="170" spans="2:23" x14ac:dyDescent="0.25">
      <c r="R170" s="26" t="s">
        <v>316</v>
      </c>
    </row>
    <row r="171" spans="2:23" ht="20.25" thickBot="1" x14ac:dyDescent="0.35">
      <c r="B171" s="235" t="s">
        <v>317</v>
      </c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</row>
    <row r="172" spans="2:23" ht="15.75" thickTop="1" x14ac:dyDescent="0.25"/>
    <row r="173" spans="2:23" x14ac:dyDescent="0.25">
      <c r="B173" s="40" t="s">
        <v>318</v>
      </c>
      <c r="C173" s="37">
        <v>0</v>
      </c>
      <c r="D173" s="37">
        <v>1</v>
      </c>
      <c r="E173" s="37">
        <v>2</v>
      </c>
      <c r="F173" s="37">
        <v>3</v>
      </c>
      <c r="G173" s="37">
        <v>4</v>
      </c>
      <c r="H173" s="37">
        <v>5</v>
      </c>
      <c r="I173" s="37">
        <v>6</v>
      </c>
      <c r="J173" s="37">
        <v>7</v>
      </c>
      <c r="K173" s="37">
        <v>8</v>
      </c>
      <c r="L173" s="37">
        <v>9</v>
      </c>
      <c r="M173" s="37">
        <v>10</v>
      </c>
    </row>
    <row r="174" spans="2:23" x14ac:dyDescent="0.25">
      <c r="B174" s="40" t="s">
        <v>319</v>
      </c>
      <c r="C174" s="46">
        <f>C155</f>
        <v>1063996.4699984812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</row>
    <row r="175" spans="2:23" x14ac:dyDescent="0.25">
      <c r="B175" s="40" t="s">
        <v>320</v>
      </c>
      <c r="C175" s="35"/>
      <c r="D175" s="46">
        <f>C186*C183</f>
        <v>663347.2661591497</v>
      </c>
      <c r="E175" s="46">
        <f>$D$175</f>
        <v>663347.2661591497</v>
      </c>
      <c r="F175" s="46">
        <f t="shared" ref="F175:M175" si="22">$D$175</f>
        <v>663347.2661591497</v>
      </c>
      <c r="G175" s="46">
        <f t="shared" si="22"/>
        <v>663347.2661591497</v>
      </c>
      <c r="H175" s="46">
        <f t="shared" si="22"/>
        <v>663347.2661591497</v>
      </c>
      <c r="I175" s="46">
        <f t="shared" si="22"/>
        <v>663347.2661591497</v>
      </c>
      <c r="J175" s="46">
        <f t="shared" si="22"/>
        <v>663347.2661591497</v>
      </c>
      <c r="K175" s="46">
        <f t="shared" si="22"/>
        <v>663347.2661591497</v>
      </c>
      <c r="L175" s="46">
        <f t="shared" si="22"/>
        <v>663347.2661591497</v>
      </c>
      <c r="M175" s="46">
        <f t="shared" si="22"/>
        <v>663347.2661591497</v>
      </c>
    </row>
    <row r="176" spans="2:23" x14ac:dyDescent="0.25">
      <c r="B176" s="40" t="s">
        <v>321</v>
      </c>
      <c r="C176" s="35"/>
      <c r="D176" s="46">
        <f>C156</f>
        <v>400773.03203166672</v>
      </c>
      <c r="E176" s="46">
        <f>$D$176</f>
        <v>400773.03203166672</v>
      </c>
      <c r="F176" s="46">
        <f t="shared" ref="F176:M176" si="23">$D$176</f>
        <v>400773.03203166672</v>
      </c>
      <c r="G176" s="46">
        <f t="shared" si="23"/>
        <v>400773.03203166672</v>
      </c>
      <c r="H176" s="46">
        <f t="shared" si="23"/>
        <v>400773.03203166672</v>
      </c>
      <c r="I176" s="46">
        <f t="shared" si="23"/>
        <v>400773.03203166672</v>
      </c>
      <c r="J176" s="46">
        <f t="shared" si="23"/>
        <v>400773.03203166672</v>
      </c>
      <c r="K176" s="46">
        <f t="shared" si="23"/>
        <v>400773.03203166672</v>
      </c>
      <c r="L176" s="46">
        <f t="shared" si="23"/>
        <v>400773.03203166672</v>
      </c>
      <c r="M176" s="46">
        <f t="shared" si="23"/>
        <v>400773.03203166672</v>
      </c>
    </row>
    <row r="177" spans="2:16" x14ac:dyDescent="0.25">
      <c r="B177" s="40" t="s">
        <v>322</v>
      </c>
      <c r="C177" s="35"/>
      <c r="D177" s="46">
        <f>D175-D176</f>
        <v>262574.23412748298</v>
      </c>
      <c r="E177" s="46">
        <f t="shared" ref="E177:M177" si="24">E175-E176</f>
        <v>262574.23412748298</v>
      </c>
      <c r="F177" s="46">
        <f t="shared" si="24"/>
        <v>262574.23412748298</v>
      </c>
      <c r="G177" s="46">
        <f t="shared" si="24"/>
        <v>262574.23412748298</v>
      </c>
      <c r="H177" s="46">
        <f t="shared" si="24"/>
        <v>262574.23412748298</v>
      </c>
      <c r="I177" s="46">
        <f t="shared" si="24"/>
        <v>262574.23412748298</v>
      </c>
      <c r="J177" s="46">
        <f t="shared" si="24"/>
        <v>262574.23412748298</v>
      </c>
      <c r="K177" s="46">
        <f t="shared" si="24"/>
        <v>262574.23412748298</v>
      </c>
      <c r="L177" s="46">
        <f t="shared" si="24"/>
        <v>262574.23412748298</v>
      </c>
      <c r="M177" s="46">
        <f t="shared" si="24"/>
        <v>262574.23412748298</v>
      </c>
    </row>
    <row r="178" spans="2:16" x14ac:dyDescent="0.25">
      <c r="B178" s="40" t="s">
        <v>323</v>
      </c>
      <c r="C178" s="35"/>
      <c r="D178" s="46">
        <f>D177/((1+$C$157)^$C$158)</f>
        <v>161197.80236917615</v>
      </c>
      <c r="E178" s="46">
        <f t="shared" ref="E178:M178" si="25">E177/((1+$C$157)^$C$158)</f>
        <v>161197.80236917615</v>
      </c>
      <c r="F178" s="46">
        <f t="shared" si="25"/>
        <v>161197.80236917615</v>
      </c>
      <c r="G178" s="46">
        <f t="shared" si="25"/>
        <v>161197.80236917615</v>
      </c>
      <c r="H178" s="46">
        <f t="shared" si="25"/>
        <v>161197.80236917615</v>
      </c>
      <c r="I178" s="46">
        <f t="shared" si="25"/>
        <v>161197.80236917615</v>
      </c>
      <c r="J178" s="46">
        <f t="shared" si="25"/>
        <v>161197.80236917615</v>
      </c>
      <c r="K178" s="46">
        <f t="shared" si="25"/>
        <v>161197.80236917615</v>
      </c>
      <c r="L178" s="46">
        <f t="shared" si="25"/>
        <v>161197.80236917615</v>
      </c>
      <c r="M178" s="46">
        <f t="shared" si="25"/>
        <v>161197.80236917615</v>
      </c>
    </row>
    <row r="179" spans="2:16" ht="15.75" thickBot="1" x14ac:dyDescent="0.3"/>
    <row r="180" spans="2:16" ht="15.75" thickBot="1" x14ac:dyDescent="0.3">
      <c r="B180" s="118" t="s">
        <v>324</v>
      </c>
      <c r="C180" s="119">
        <f>SUM(D178:M178)-C174</f>
        <v>547981.55369328032</v>
      </c>
    </row>
    <row r="181" spans="2:16" x14ac:dyDescent="0.25">
      <c r="D181" s="120"/>
    </row>
    <row r="182" spans="2:16" x14ac:dyDescent="0.25">
      <c r="B182" s="40" t="s">
        <v>325</v>
      </c>
      <c r="C182" s="34">
        <f>C161</f>
        <v>65.488963502830316</v>
      </c>
    </row>
    <row r="183" spans="2:16" x14ac:dyDescent="0.25">
      <c r="B183" s="40" t="s">
        <v>326</v>
      </c>
      <c r="C183" s="34">
        <v>80.662295541954379</v>
      </c>
    </row>
    <row r="185" spans="2:16" x14ac:dyDescent="0.25">
      <c r="B185" s="264" t="s">
        <v>314</v>
      </c>
      <c r="C185" s="19">
        <f>C186*1000</f>
        <v>8223758.8417518688</v>
      </c>
      <c r="D185" s="11" t="s">
        <v>327</v>
      </c>
    </row>
    <row r="186" spans="2:16" ht="17.25" x14ac:dyDescent="0.25">
      <c r="B186" s="265"/>
      <c r="C186" s="19">
        <f>C169</f>
        <v>8223.7588417518691</v>
      </c>
      <c r="D186" s="3" t="s">
        <v>315</v>
      </c>
    </row>
    <row r="188" spans="2:16" x14ac:dyDescent="0.25">
      <c r="B188" s="26" t="s">
        <v>328</v>
      </c>
    </row>
    <row r="190" spans="2:16" ht="20.25" thickBot="1" x14ac:dyDescent="0.35">
      <c r="B190" s="235" t="s">
        <v>329</v>
      </c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</row>
    <row r="191" spans="2:16" ht="15.75" thickTop="1" x14ac:dyDescent="0.25"/>
    <row r="192" spans="2:16" x14ac:dyDescent="0.25">
      <c r="B192" s="234" t="s">
        <v>330</v>
      </c>
      <c r="C192" s="234"/>
      <c r="D192" s="234"/>
      <c r="E192" s="234"/>
      <c r="F192" s="234"/>
      <c r="G192" s="234"/>
      <c r="H192" s="234"/>
      <c r="I192" s="234"/>
      <c r="J192" s="234"/>
      <c r="K192" s="234"/>
    </row>
    <row r="193" spans="2:11" ht="17.25" x14ac:dyDescent="0.25">
      <c r="B193" s="3" t="s">
        <v>331</v>
      </c>
      <c r="C193" s="3" t="s">
        <v>332</v>
      </c>
      <c r="D193" s="3" t="s">
        <v>333</v>
      </c>
      <c r="E193" s="3" t="s">
        <v>334</v>
      </c>
      <c r="F193" s="3" t="s">
        <v>335</v>
      </c>
      <c r="G193" s="3" t="s">
        <v>336</v>
      </c>
      <c r="H193" s="3" t="s">
        <v>337</v>
      </c>
      <c r="I193" s="3" t="s">
        <v>338</v>
      </c>
      <c r="J193" s="3" t="s">
        <v>339</v>
      </c>
      <c r="K193" s="3" t="s">
        <v>340</v>
      </c>
    </row>
    <row r="194" spans="2:11" x14ac:dyDescent="0.25">
      <c r="B194" s="3" t="s">
        <v>4</v>
      </c>
      <c r="C194" s="19">
        <v>1573.7214611872146</v>
      </c>
      <c r="D194" s="19">
        <f>((1000*3*9.81)+101325)/101325</f>
        <v>1.2904515173945226</v>
      </c>
      <c r="E194" s="3">
        <v>1.5</v>
      </c>
      <c r="F194" s="3">
        <v>25</v>
      </c>
      <c r="G194" s="3">
        <v>2.1480000000000001</v>
      </c>
      <c r="H194" s="3">
        <v>1.577</v>
      </c>
      <c r="I194" s="65">
        <v>0.75</v>
      </c>
      <c r="J194" s="121">
        <v>4780</v>
      </c>
      <c r="K194" s="3">
        <v>36.5</v>
      </c>
    </row>
    <row r="195" spans="2:11" x14ac:dyDescent="0.25">
      <c r="B195" s="3" t="s">
        <v>5</v>
      </c>
      <c r="C195" s="19">
        <v>9245.6135844748842</v>
      </c>
      <c r="D195" s="19">
        <f>D194</f>
        <v>1.2904515173945226</v>
      </c>
      <c r="E195" s="3">
        <v>1.5</v>
      </c>
      <c r="F195" s="3">
        <v>25</v>
      </c>
      <c r="G195" s="3">
        <v>2.1480000000000001</v>
      </c>
      <c r="H195" s="3">
        <v>9.2639999999999993</v>
      </c>
      <c r="I195" s="65">
        <v>0.75</v>
      </c>
      <c r="J195" s="121">
        <v>5230</v>
      </c>
      <c r="K195" s="3">
        <v>36.5</v>
      </c>
    </row>
    <row r="196" spans="2:11" x14ac:dyDescent="0.25">
      <c r="B196" s="3" t="s">
        <v>6</v>
      </c>
      <c r="C196" s="19">
        <v>4917.8795662100447</v>
      </c>
      <c r="D196" s="3">
        <v>0.5</v>
      </c>
      <c r="E196" s="3">
        <v>1.5</v>
      </c>
      <c r="F196" s="3">
        <v>25</v>
      </c>
      <c r="G196" s="3">
        <v>10.23</v>
      </c>
      <c r="H196" s="3">
        <v>4.9279999999999999</v>
      </c>
      <c r="I196" s="65">
        <v>0.75</v>
      </c>
      <c r="J196" s="121">
        <v>5000</v>
      </c>
      <c r="K196" s="3">
        <v>36.57</v>
      </c>
    </row>
    <row r="197" spans="2:11" x14ac:dyDescent="0.25">
      <c r="B197" s="3" t="s">
        <v>9</v>
      </c>
      <c r="C197" s="19">
        <v>9835.7591324200894</v>
      </c>
      <c r="D197" s="3">
        <v>1</v>
      </c>
      <c r="E197" s="3">
        <v>1.5</v>
      </c>
      <c r="F197" s="3">
        <v>25</v>
      </c>
      <c r="G197" s="3">
        <v>5.1139999999999999</v>
      </c>
      <c r="H197" s="3">
        <v>9.8450000000000006</v>
      </c>
      <c r="I197" s="65">
        <v>0.75</v>
      </c>
      <c r="J197" s="121">
        <v>5340</v>
      </c>
      <c r="K197" s="3">
        <v>36.57</v>
      </c>
    </row>
    <row r="198" spans="2:11" x14ac:dyDescent="0.25">
      <c r="B198" s="3" t="s">
        <v>12</v>
      </c>
      <c r="C198" s="19">
        <v>934.39711757990847</v>
      </c>
      <c r="D198" s="3">
        <v>0.5</v>
      </c>
      <c r="E198" s="3">
        <v>1</v>
      </c>
      <c r="F198" s="3">
        <v>25</v>
      </c>
      <c r="G198" s="3">
        <v>5.1139999999999999</v>
      </c>
      <c r="H198" s="3">
        <v>0.93630000000000002</v>
      </c>
      <c r="I198" s="65">
        <v>0.75</v>
      </c>
      <c r="J198" s="121">
        <v>4780</v>
      </c>
      <c r="K198" s="3">
        <v>36.51</v>
      </c>
    </row>
    <row r="199" spans="2:11" x14ac:dyDescent="0.25">
      <c r="B199" s="3" t="s">
        <v>13</v>
      </c>
      <c r="C199" s="19">
        <v>934.39711757990847</v>
      </c>
      <c r="D199" s="3">
        <v>1</v>
      </c>
      <c r="E199" s="3">
        <v>1.29</v>
      </c>
      <c r="F199" s="3">
        <v>35</v>
      </c>
      <c r="G199" s="3">
        <v>2.9750000000000001</v>
      </c>
      <c r="H199" s="3">
        <v>0.93630000000000002</v>
      </c>
      <c r="I199" s="65">
        <v>0.75</v>
      </c>
      <c r="J199" s="121">
        <v>4780</v>
      </c>
      <c r="K199" s="3">
        <v>36.51</v>
      </c>
    </row>
    <row r="200" spans="2:11" x14ac:dyDescent="0.25">
      <c r="B200" s="3" t="s">
        <v>14</v>
      </c>
      <c r="C200" s="19">
        <v>953.55225849029659</v>
      </c>
      <c r="D200" s="3">
        <v>1.29</v>
      </c>
      <c r="E200" s="3">
        <v>1.5</v>
      </c>
      <c r="F200" s="3">
        <v>50</v>
      </c>
      <c r="G200" s="3">
        <v>2.1669999999999998</v>
      </c>
      <c r="H200" s="3">
        <v>0.95399999999999996</v>
      </c>
      <c r="I200" s="65">
        <v>0.75</v>
      </c>
      <c r="J200" s="121">
        <v>4560</v>
      </c>
      <c r="K200" s="3">
        <v>36.33</v>
      </c>
    </row>
    <row r="202" spans="2:11" x14ac:dyDescent="0.25">
      <c r="B202" s="234" t="s">
        <v>341</v>
      </c>
      <c r="C202" s="234"/>
      <c r="D202" s="234"/>
      <c r="E202" s="234"/>
      <c r="F202" s="234"/>
      <c r="G202" s="234"/>
      <c r="H202" s="234"/>
      <c r="I202" s="234"/>
      <c r="J202" s="234"/>
      <c r="K202" s="234"/>
    </row>
    <row r="203" spans="2:11" ht="17.25" x14ac:dyDescent="0.25">
      <c r="B203" s="3" t="s">
        <v>342</v>
      </c>
      <c r="C203" s="3" t="s">
        <v>343</v>
      </c>
      <c r="D203" s="3" t="s">
        <v>335</v>
      </c>
      <c r="E203" s="3" t="s">
        <v>344</v>
      </c>
      <c r="F203" s="3" t="s">
        <v>345</v>
      </c>
      <c r="G203" s="3" t="s">
        <v>346</v>
      </c>
      <c r="H203" s="3" t="s">
        <v>347</v>
      </c>
      <c r="I203" s="3" t="s">
        <v>374</v>
      </c>
      <c r="J203" s="3" t="s">
        <v>349</v>
      </c>
      <c r="K203" s="3" t="s">
        <v>348</v>
      </c>
    </row>
    <row r="204" spans="2:11" x14ac:dyDescent="0.25">
      <c r="B204" s="19">
        <f>N21/24</f>
        <v>938.78525590774768</v>
      </c>
      <c r="C204" s="3">
        <f>O61</f>
        <v>4</v>
      </c>
      <c r="D204" s="3">
        <v>50</v>
      </c>
      <c r="E204" s="19">
        <v>3.74</v>
      </c>
      <c r="F204" s="3">
        <v>2.2050000000000001</v>
      </c>
      <c r="G204" s="3">
        <v>1.47</v>
      </c>
      <c r="H204" s="3">
        <v>40.322000000000003</v>
      </c>
      <c r="I204" s="122">
        <f>(2*PI()*(G204/2))*F204</f>
        <v>10.183001347713276</v>
      </c>
      <c r="J204" s="121">
        <v>64200</v>
      </c>
      <c r="K204" s="3">
        <v>59794.8</v>
      </c>
    </row>
    <row r="206" spans="2:11" x14ac:dyDescent="0.25">
      <c r="B206" s="234" t="s">
        <v>81</v>
      </c>
      <c r="C206" s="234"/>
      <c r="D206" s="234"/>
      <c r="E206" s="234"/>
      <c r="F206" s="234"/>
      <c r="G206" s="234"/>
      <c r="H206" s="234"/>
      <c r="I206" s="234"/>
      <c r="J206" s="234"/>
      <c r="K206" s="234"/>
    </row>
    <row r="207" spans="2:11" ht="17.25" x14ac:dyDescent="0.25">
      <c r="B207" s="3" t="s">
        <v>342</v>
      </c>
      <c r="C207" s="3" t="s">
        <v>343</v>
      </c>
      <c r="D207" s="3" t="s">
        <v>335</v>
      </c>
      <c r="E207" s="3" t="s">
        <v>344</v>
      </c>
      <c r="F207" s="3" t="s">
        <v>345</v>
      </c>
      <c r="G207" s="3" t="s">
        <v>346</v>
      </c>
      <c r="H207" s="3" t="s">
        <v>350</v>
      </c>
      <c r="I207" s="3" t="s">
        <v>374</v>
      </c>
      <c r="J207" s="3" t="s">
        <v>349</v>
      </c>
      <c r="K207" s="3"/>
    </row>
    <row r="208" spans="2:11" x14ac:dyDescent="0.25">
      <c r="B208" s="19">
        <f>N21/24</f>
        <v>938.78525590774768</v>
      </c>
      <c r="C208" s="3">
        <v>24</v>
      </c>
      <c r="D208" s="3">
        <v>25</v>
      </c>
      <c r="E208" s="19">
        <v>22.89</v>
      </c>
      <c r="F208" s="3">
        <v>4.0330000000000004</v>
      </c>
      <c r="G208" s="3">
        <v>2.6880000000000002</v>
      </c>
      <c r="H208" s="3">
        <v>36.32</v>
      </c>
      <c r="I208" s="122">
        <f>(2*PI()*(G208/2))*F208</f>
        <v>34.057076046141489</v>
      </c>
      <c r="J208" s="121">
        <v>30400</v>
      </c>
      <c r="K208" s="3"/>
    </row>
    <row r="210" spans="2:2" x14ac:dyDescent="0.25">
      <c r="B210" s="26"/>
    </row>
  </sheetData>
  <mergeCells count="81">
    <mergeCell ref="B185:B186"/>
    <mergeCell ref="B190:P190"/>
    <mergeCell ref="B192:K192"/>
    <mergeCell ref="B202:K202"/>
    <mergeCell ref="B206:K206"/>
    <mergeCell ref="B171:P171"/>
    <mergeCell ref="B118:B119"/>
    <mergeCell ref="B121:D121"/>
    <mergeCell ref="B131:D131"/>
    <mergeCell ref="I141:L141"/>
    <mergeCell ref="B153:I153"/>
    <mergeCell ref="K153:R153"/>
    <mergeCell ref="C163:F163"/>
    <mergeCell ref="C164:F164"/>
    <mergeCell ref="C165:F165"/>
    <mergeCell ref="C166:F166"/>
    <mergeCell ref="C167:F167"/>
    <mergeCell ref="U113:W113"/>
    <mergeCell ref="Z113:AA113"/>
    <mergeCell ref="AB113:AC113"/>
    <mergeCell ref="AD113:AE113"/>
    <mergeCell ref="B116:B117"/>
    <mergeCell ref="V116:W116"/>
    <mergeCell ref="R117:S117"/>
    <mergeCell ref="Q113:S113"/>
    <mergeCell ref="I104:M104"/>
    <mergeCell ref="B105:B106"/>
    <mergeCell ref="B109:B111"/>
    <mergeCell ref="B113:B114"/>
    <mergeCell ref="I113:N113"/>
    <mergeCell ref="B102:B103"/>
    <mergeCell ref="F68:G68"/>
    <mergeCell ref="K68:L68"/>
    <mergeCell ref="W68:W69"/>
    <mergeCell ref="W75:Y75"/>
    <mergeCell ref="W78:W79"/>
    <mergeCell ref="B86:C86"/>
    <mergeCell ref="B87:D87"/>
    <mergeCell ref="I87:M87"/>
    <mergeCell ref="B88:D88"/>
    <mergeCell ref="B90:D90"/>
    <mergeCell ref="B100:D100"/>
    <mergeCell ref="S72:S73"/>
    <mergeCell ref="R56:T56"/>
    <mergeCell ref="G60:H60"/>
    <mergeCell ref="G61:H61"/>
    <mergeCell ref="B65:P65"/>
    <mergeCell ref="S65:Y65"/>
    <mergeCell ref="B67:G67"/>
    <mergeCell ref="I67:P67"/>
    <mergeCell ref="S67:S68"/>
    <mergeCell ref="W67:Y67"/>
    <mergeCell ref="C68:D68"/>
    <mergeCell ref="B44:D44"/>
    <mergeCell ref="B46:E46"/>
    <mergeCell ref="B54:P54"/>
    <mergeCell ref="B56:D56"/>
    <mergeCell ref="F56:H56"/>
    <mergeCell ref="J56:L56"/>
    <mergeCell ref="N56:P56"/>
    <mergeCell ref="B34:B35"/>
    <mergeCell ref="Q35:S35"/>
    <mergeCell ref="U35:W35"/>
    <mergeCell ref="B36:B37"/>
    <mergeCell ref="B40:B41"/>
    <mergeCell ref="B24:B25"/>
    <mergeCell ref="V56:X56"/>
    <mergeCell ref="R4:S4"/>
    <mergeCell ref="Q18:S18"/>
    <mergeCell ref="U18:W18"/>
    <mergeCell ref="B20:B21"/>
    <mergeCell ref="B22:B23"/>
    <mergeCell ref="B38:B39"/>
    <mergeCell ref="V38:W38"/>
    <mergeCell ref="B26:B27"/>
    <mergeCell ref="Q26:S26"/>
    <mergeCell ref="U26:W26"/>
    <mergeCell ref="B28:B29"/>
    <mergeCell ref="B30:B31"/>
    <mergeCell ref="U30:W30"/>
    <mergeCell ref="B32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zoomScale="90" zoomScaleNormal="90" workbookViewId="0">
      <selection activeCell="B27" sqref="B27:F27"/>
    </sheetView>
  </sheetViews>
  <sheetFormatPr defaultColWidth="10.85546875" defaultRowHeight="15" x14ac:dyDescent="0.25"/>
  <cols>
    <col min="1" max="1" width="12.5703125" style="139" bestFit="1" customWidth="1"/>
    <col min="2" max="2" width="27.85546875" style="139" customWidth="1"/>
    <col min="3" max="3" width="12.140625" style="139" bestFit="1" customWidth="1"/>
    <col min="4" max="7" width="10.85546875" style="139"/>
    <col min="8" max="8" width="15.140625" style="139" bestFit="1" customWidth="1"/>
    <col min="9" max="9" width="15.140625" style="139" customWidth="1"/>
    <col min="10" max="21" width="10.85546875" style="139"/>
    <col min="22" max="22" width="15.85546875" style="139" bestFit="1" customWidth="1"/>
    <col min="23" max="23" width="11.85546875" style="139" customWidth="1"/>
    <col min="24" max="24" width="12.5703125" style="139" customWidth="1"/>
    <col min="25" max="16384" width="10.85546875" style="139"/>
  </cols>
  <sheetData>
    <row r="1" spans="1:14" x14ac:dyDescent="0.25">
      <c r="A1" s="187" t="s">
        <v>660</v>
      </c>
      <c r="D1" s="215" t="s">
        <v>705</v>
      </c>
      <c r="E1" s="215" t="s">
        <v>701</v>
      </c>
      <c r="F1" s="215"/>
      <c r="J1" s="215" t="s">
        <v>705</v>
      </c>
      <c r="K1" s="215" t="s">
        <v>701</v>
      </c>
      <c r="L1" s="215"/>
    </row>
    <row r="2" spans="1:14" ht="30" customHeight="1" x14ac:dyDescent="0.25">
      <c r="B2" s="167" t="s">
        <v>657</v>
      </c>
      <c r="C2" s="167" t="s">
        <v>365</v>
      </c>
      <c r="D2" s="167" t="s">
        <v>698</v>
      </c>
      <c r="E2" s="167" t="s">
        <v>699</v>
      </c>
      <c r="F2" s="167" t="s">
        <v>649</v>
      </c>
      <c r="H2" s="323" t="s">
        <v>582</v>
      </c>
      <c r="I2" s="324"/>
      <c r="J2" s="167" t="s">
        <v>698</v>
      </c>
      <c r="K2" s="167" t="s">
        <v>699</v>
      </c>
      <c r="L2" s="167" t="s">
        <v>649</v>
      </c>
    </row>
    <row r="3" spans="1:14" ht="18" x14ac:dyDescent="0.25">
      <c r="B3" s="134" t="s">
        <v>495</v>
      </c>
      <c r="C3" s="11" t="s">
        <v>564</v>
      </c>
      <c r="D3" s="15">
        <f>'Results Flue gas - membran (GF)'!D24</f>
        <v>0.80093889765799986</v>
      </c>
      <c r="E3" s="15">
        <f>'Results Biogas - membrane (GF)'!D24</f>
        <v>0.80753889765799991</v>
      </c>
      <c r="F3" s="15">
        <f>'Results SimaPro (GF)'!D24</f>
        <v>0.9620827376579999</v>
      </c>
      <c r="H3" s="15">
        <f>MAX(D3:F3)</f>
        <v>0.9620827376579999</v>
      </c>
      <c r="I3" s="15" t="s">
        <v>689</v>
      </c>
      <c r="J3" s="185">
        <f>D3/$H3</f>
        <v>0.83250521634732488</v>
      </c>
      <c r="K3" s="185">
        <f t="shared" ref="K3:L17" si="0">E3/$H3</f>
        <v>0.83936533319763496</v>
      </c>
      <c r="L3" s="185">
        <f t="shared" si="0"/>
        <v>1</v>
      </c>
    </row>
    <row r="4" spans="1:14" ht="18" x14ac:dyDescent="0.25">
      <c r="B4" s="134" t="s">
        <v>496</v>
      </c>
      <c r="C4" s="11" t="s">
        <v>564</v>
      </c>
      <c r="D4" s="15">
        <f>'Results Flue gas - membran (GF)'!D25</f>
        <v>1.5495472581699998</v>
      </c>
      <c r="E4" s="15">
        <f>'Results Biogas - membrane (GF)'!D25</f>
        <v>1.5519472581699998</v>
      </c>
      <c r="F4" s="15">
        <f>'Results SimaPro (GF)'!D25</f>
        <v>1.7296119881699998</v>
      </c>
      <c r="H4" s="15">
        <f t="shared" ref="H4:H17" si="1">MAX(D4:F4)</f>
        <v>1.7296119881699998</v>
      </c>
      <c r="I4" s="15" t="s">
        <v>649</v>
      </c>
      <c r="J4" s="185">
        <f t="shared" ref="J4:J17" si="2">D4/$H4</f>
        <v>0.89589299147347157</v>
      </c>
      <c r="K4" s="185">
        <f t="shared" si="0"/>
        <v>0.89728058592610904</v>
      </c>
      <c r="L4" s="185">
        <f t="shared" si="0"/>
        <v>1</v>
      </c>
    </row>
    <row r="5" spans="1:14" x14ac:dyDescent="0.25">
      <c r="B5" s="134" t="s">
        <v>497</v>
      </c>
      <c r="C5" s="11" t="s">
        <v>512</v>
      </c>
      <c r="D5" s="15">
        <f>'Results Flue gas - membran (GF)'!D26</f>
        <v>5.3054958083100005E-2</v>
      </c>
      <c r="E5" s="15">
        <f>'Results Biogas - membrane (GF)'!D26</f>
        <v>5.3604958083100007E-2</v>
      </c>
      <c r="F5" s="15">
        <f>'Results SimaPro (GF)'!D26</f>
        <v>5.9438768083100002E-2</v>
      </c>
      <c r="H5" s="15">
        <f t="shared" si="1"/>
        <v>5.9438768083100002E-2</v>
      </c>
      <c r="I5" s="15" t="s">
        <v>690</v>
      </c>
      <c r="J5" s="185">
        <f t="shared" si="2"/>
        <v>0.89259854795316529</v>
      </c>
      <c r="K5" s="185">
        <f t="shared" si="0"/>
        <v>0.90185176799351097</v>
      </c>
      <c r="L5" s="185">
        <f t="shared" si="0"/>
        <v>1</v>
      </c>
    </row>
    <row r="6" spans="1:14" x14ac:dyDescent="0.25">
      <c r="B6" s="134" t="s">
        <v>561</v>
      </c>
      <c r="C6" s="11" t="s">
        <v>513</v>
      </c>
      <c r="D6" s="15">
        <f>'Results Flue gas - membran (GF)'!D27</f>
        <v>1123.6334173399998</v>
      </c>
      <c r="E6" s="15">
        <f>'Results Biogas - membrane (GF)'!D27</f>
        <v>1143.6334173399998</v>
      </c>
      <c r="F6" s="15">
        <f>'Results SimaPro (GF)'!D27</f>
        <v>1240.9024595199996</v>
      </c>
      <c r="H6" s="15">
        <f t="shared" si="1"/>
        <v>1240.9024595199996</v>
      </c>
      <c r="I6" s="15" t="s">
        <v>690</v>
      </c>
      <c r="J6" s="185">
        <f t="shared" si="2"/>
        <v>0.9054969701443244</v>
      </c>
      <c r="K6" s="185">
        <f t="shared" si="0"/>
        <v>0.92161427239202587</v>
      </c>
      <c r="L6" s="185">
        <f t="shared" si="0"/>
        <v>1</v>
      </c>
    </row>
    <row r="7" spans="1:14" x14ac:dyDescent="0.25">
      <c r="B7" s="134" t="s">
        <v>498</v>
      </c>
      <c r="C7" s="11" t="s">
        <v>514</v>
      </c>
      <c r="D7" s="15">
        <f>'Results Flue gas - membran (GF)'!D28</f>
        <v>5.7763639000125558E-6</v>
      </c>
      <c r="E7" s="15">
        <f>'Results Biogas - membrane (GF)'!D28</f>
        <v>5.8353639000125564E-6</v>
      </c>
      <c r="F7" s="15">
        <f>'Results SimaPro (GF)'!D28</f>
        <v>6.464063900012556E-6</v>
      </c>
      <c r="H7" s="15">
        <f t="shared" si="1"/>
        <v>6.464063900012556E-6</v>
      </c>
      <c r="I7" s="15" t="s">
        <v>690</v>
      </c>
      <c r="J7" s="185">
        <f t="shared" si="2"/>
        <v>0.893611819029409</v>
      </c>
      <c r="K7" s="185">
        <f t="shared" si="0"/>
        <v>0.9027392040479707</v>
      </c>
      <c r="L7" s="185">
        <f t="shared" si="0"/>
        <v>1</v>
      </c>
    </row>
    <row r="8" spans="1:14" ht="18" x14ac:dyDescent="0.25">
      <c r="B8" s="134" t="s">
        <v>499</v>
      </c>
      <c r="C8" s="11" t="s">
        <v>565</v>
      </c>
      <c r="D8" s="15">
        <f>'Results Flue gas - membran (GF)'!D29</f>
        <v>1.2958129355999997E-2</v>
      </c>
      <c r="E8" s="15">
        <f>'Results Biogas - membrane (GF)'!D29</f>
        <v>1.3009129356E-2</v>
      </c>
      <c r="F8" s="15">
        <f>'Results SimaPro (GF)'!D29</f>
        <v>1.4972449355999997E-2</v>
      </c>
      <c r="H8" s="15">
        <f t="shared" si="1"/>
        <v>1.4972449355999997E-2</v>
      </c>
      <c r="I8" s="15" t="s">
        <v>690</v>
      </c>
      <c r="J8" s="185">
        <f t="shared" si="2"/>
        <v>0.86546489808677896</v>
      </c>
      <c r="K8" s="185">
        <f t="shared" si="0"/>
        <v>0.86887115439043217</v>
      </c>
      <c r="L8" s="185">
        <f t="shared" si="0"/>
        <v>1</v>
      </c>
    </row>
    <row r="9" spans="1:14" x14ac:dyDescent="0.25">
      <c r="B9" s="134" t="s">
        <v>500</v>
      </c>
      <c r="C9" s="11" t="s">
        <v>515</v>
      </c>
      <c r="D9" s="15">
        <f>'Results Flue gas - membran (GF)'!D30</f>
        <v>3173.90565295852</v>
      </c>
      <c r="E9" s="15">
        <f>'Results Biogas - membrane (GF)'!D30</f>
        <v>3196.90565295852</v>
      </c>
      <c r="F9" s="15">
        <f>'Results SimaPro (GF)'!D30</f>
        <v>3826.3766751585199</v>
      </c>
      <c r="H9" s="15">
        <f t="shared" si="1"/>
        <v>3826.3766751585199</v>
      </c>
      <c r="I9" s="15" t="s">
        <v>689</v>
      </c>
      <c r="J9" s="185">
        <f t="shared" si="2"/>
        <v>0.82948071306310445</v>
      </c>
      <c r="K9" s="185">
        <f t="shared" si="0"/>
        <v>0.83549162154195866</v>
      </c>
      <c r="L9" s="185">
        <f t="shared" si="0"/>
        <v>1</v>
      </c>
    </row>
    <row r="10" spans="1:14" x14ac:dyDescent="0.25">
      <c r="B10" s="134" t="s">
        <v>562</v>
      </c>
      <c r="C10" s="11" t="s">
        <v>516</v>
      </c>
      <c r="D10" s="15">
        <f>'Results Flue gas - membran (GF)'!D31</f>
        <v>1265.9608753599</v>
      </c>
      <c r="E10" s="15">
        <f>'Results Biogas - membrane (GF)'!D31</f>
        <v>1271.4608753599</v>
      </c>
      <c r="F10" s="15">
        <f>'Results SimaPro (GF)'!D31</f>
        <v>1492.9487812598998</v>
      </c>
      <c r="H10" s="15">
        <f t="shared" si="1"/>
        <v>1492.9487812598998</v>
      </c>
      <c r="I10" s="15" t="s">
        <v>690</v>
      </c>
      <c r="J10" s="185">
        <f t="shared" si="2"/>
        <v>0.84796001795289677</v>
      </c>
      <c r="K10" s="185">
        <f t="shared" si="0"/>
        <v>0.85164400233939297</v>
      </c>
      <c r="L10" s="185">
        <f t="shared" si="0"/>
        <v>1</v>
      </c>
    </row>
    <row r="11" spans="1:14" ht="18" x14ac:dyDescent="0.25">
      <c r="B11" s="134" t="s">
        <v>501</v>
      </c>
      <c r="C11" s="11" t="s">
        <v>566</v>
      </c>
      <c r="D11" s="15">
        <f>'Results Flue gas - membran (GF)'!D32</f>
        <v>0.84016876926999995</v>
      </c>
      <c r="E11" s="15">
        <f>'Results Biogas - membrane (GF)'!D32</f>
        <v>0.84916876926999996</v>
      </c>
      <c r="F11" s="15">
        <f>'Results SimaPro (GF)'!D32</f>
        <v>0.92006229926999994</v>
      </c>
      <c r="H11" s="15">
        <f t="shared" si="1"/>
        <v>0.92006229926999994</v>
      </c>
      <c r="I11" s="15" t="s">
        <v>690</v>
      </c>
      <c r="J11" s="185">
        <f t="shared" si="2"/>
        <v>0.9131650866866412</v>
      </c>
      <c r="K11" s="185">
        <f t="shared" si="0"/>
        <v>0.92294703298217018</v>
      </c>
      <c r="L11" s="185">
        <f t="shared" si="0"/>
        <v>1</v>
      </c>
    </row>
    <row r="12" spans="1:14" x14ac:dyDescent="0.25">
      <c r="B12" s="134" t="s">
        <v>502</v>
      </c>
      <c r="C12" s="11" t="s">
        <v>563</v>
      </c>
      <c r="D12" s="15">
        <f>'Results Flue gas - membran (GF)'!D33</f>
        <v>2.6131621600000003</v>
      </c>
      <c r="E12" s="15">
        <f>'Results Biogas - membrane (GF)'!D33</f>
        <v>2.6191621600000001</v>
      </c>
      <c r="F12" s="15">
        <f>'Results SimaPro (GF)'!D33</f>
        <v>2.8337030000000003</v>
      </c>
      <c r="H12" s="15">
        <f t="shared" si="1"/>
        <v>2.8337030000000003</v>
      </c>
      <c r="I12" s="15" t="s">
        <v>649</v>
      </c>
      <c r="J12" s="185">
        <f t="shared" si="2"/>
        <v>0.92217221070803823</v>
      </c>
      <c r="K12" s="185">
        <f t="shared" si="0"/>
        <v>0.92428958151224738</v>
      </c>
      <c r="L12" s="185">
        <f t="shared" si="0"/>
        <v>1</v>
      </c>
    </row>
    <row r="13" spans="1:14" ht="18" x14ac:dyDescent="0.25">
      <c r="B13" s="134" t="s">
        <v>503</v>
      </c>
      <c r="C13" s="11" t="s">
        <v>566</v>
      </c>
      <c r="D13" s="15">
        <f>'Results Flue gas - membran (GF)'!D34</f>
        <v>215.2687213024</v>
      </c>
      <c r="E13" s="15">
        <f>'Results Biogas - membrane (GF)'!D34</f>
        <v>215.27172130240001</v>
      </c>
      <c r="F13" s="15">
        <f>'Results SimaPro (GF)'!D34</f>
        <v>215.29834345240002</v>
      </c>
      <c r="H13" s="15">
        <f t="shared" si="1"/>
        <v>215.29834345240002</v>
      </c>
      <c r="I13" s="15" t="s">
        <v>690</v>
      </c>
      <c r="J13" s="185">
        <f t="shared" si="2"/>
        <v>0.99986241347924454</v>
      </c>
      <c r="K13" s="185">
        <f t="shared" si="0"/>
        <v>0.99987634763197375</v>
      </c>
      <c r="L13" s="185">
        <f t="shared" si="0"/>
        <v>1</v>
      </c>
    </row>
    <row r="14" spans="1:14" ht="18" x14ac:dyDescent="0.25">
      <c r="B14" s="134" t="s">
        <v>504</v>
      </c>
      <c r="C14" s="11" t="s">
        <v>567</v>
      </c>
      <c r="D14" s="15">
        <f>'Results Flue gas - membran (GF)'!D35</f>
        <v>2.8364782799999998E-2</v>
      </c>
      <c r="E14" s="15">
        <f>'Results Biogas - membrane (GF)'!D35</f>
        <v>2.8420782799999999E-2</v>
      </c>
      <c r="F14" s="15">
        <f>'Results SimaPro (GF)'!D35</f>
        <v>3.3278562800000001E-2</v>
      </c>
      <c r="H14" s="15">
        <f t="shared" si="1"/>
        <v>3.3278562800000001E-2</v>
      </c>
      <c r="I14" s="15" t="s">
        <v>649</v>
      </c>
      <c r="J14" s="185">
        <f t="shared" si="2"/>
        <v>0.85234398403767597</v>
      </c>
      <c r="K14" s="185">
        <f t="shared" si="0"/>
        <v>0.85402674901573572</v>
      </c>
      <c r="L14" s="185">
        <f t="shared" si="0"/>
        <v>1</v>
      </c>
      <c r="N14" s="203" t="s">
        <v>650</v>
      </c>
    </row>
    <row r="15" spans="1:14" ht="18" x14ac:dyDescent="0.25">
      <c r="B15" s="176" t="s">
        <v>505</v>
      </c>
      <c r="C15" s="165" t="s">
        <v>578</v>
      </c>
      <c r="D15" s="195">
        <f>'Results Flue gas - membran (GF)'!D36</f>
        <v>50.784374665482098</v>
      </c>
      <c r="E15" s="195">
        <f>'Results Biogas - membrane (GF)'!D36</f>
        <v>51.224374665482095</v>
      </c>
      <c r="F15" s="195">
        <f>'Results SimaPro (GF)'!D36</f>
        <v>62.160403655482099</v>
      </c>
      <c r="H15" s="15">
        <f t="shared" si="1"/>
        <v>62.160403655482099</v>
      </c>
      <c r="I15" s="15" t="s">
        <v>689</v>
      </c>
      <c r="J15" s="185">
        <f t="shared" si="2"/>
        <v>0.81698913904982795</v>
      </c>
      <c r="K15" s="185">
        <f t="shared" si="0"/>
        <v>0.82406760016212466</v>
      </c>
      <c r="L15" s="185">
        <f t="shared" si="0"/>
        <v>1</v>
      </c>
    </row>
    <row r="16" spans="1:14" x14ac:dyDescent="0.25">
      <c r="B16" s="134" t="s">
        <v>506</v>
      </c>
      <c r="C16" s="11" t="s">
        <v>517</v>
      </c>
      <c r="D16" s="15">
        <f>'Results Flue gas - membran (GF)'!D37</f>
        <v>846.74675035999985</v>
      </c>
      <c r="E16" s="15">
        <f>'Results Biogas - membrane (GF)'!D37</f>
        <v>855.9467503599999</v>
      </c>
      <c r="F16" s="15">
        <f>'Results SimaPro (GF)'!D37</f>
        <v>988.26467586999991</v>
      </c>
      <c r="H16" s="15">
        <f t="shared" si="1"/>
        <v>988.26467586999991</v>
      </c>
      <c r="I16" s="15" t="s">
        <v>690</v>
      </c>
      <c r="J16" s="185">
        <f t="shared" si="2"/>
        <v>0.8568015947899611</v>
      </c>
      <c r="K16" s="185">
        <f t="shared" si="0"/>
        <v>0.86611084182127984</v>
      </c>
      <c r="L16" s="185">
        <f t="shared" si="0"/>
        <v>1</v>
      </c>
    </row>
    <row r="17" spans="1:12" x14ac:dyDescent="0.25">
      <c r="B17" s="134" t="s">
        <v>507</v>
      </c>
      <c r="C17" s="11" t="s">
        <v>518</v>
      </c>
      <c r="D17" s="15">
        <f>'Results Flue gas - membran (GF)'!D38</f>
        <v>2.1719855299999997</v>
      </c>
      <c r="E17" s="15">
        <f>'Results Biogas - membrane (GF)'!D38</f>
        <v>2.1769855300000001</v>
      </c>
      <c r="F17" s="15">
        <f>'Results SimaPro (GF)'!D38</f>
        <v>3.8349841599999999</v>
      </c>
      <c r="H17" s="15">
        <f t="shared" si="1"/>
        <v>3.8349841599999999</v>
      </c>
      <c r="I17" s="15" t="s">
        <v>649</v>
      </c>
      <c r="J17" s="185">
        <f t="shared" si="2"/>
        <v>0.56636101725124199</v>
      </c>
      <c r="K17" s="185">
        <f t="shared" si="0"/>
        <v>0.56766480360117055</v>
      </c>
      <c r="L17" s="185">
        <f t="shared" si="0"/>
        <v>1</v>
      </c>
    </row>
    <row r="18" spans="1:12" ht="14.45" customHeight="1" x14ac:dyDescent="0.25"/>
    <row r="20" spans="1:12" ht="29.1" customHeight="1" x14ac:dyDescent="0.25">
      <c r="B20" s="167" t="s">
        <v>662</v>
      </c>
      <c r="C20" s="167" t="s">
        <v>365</v>
      </c>
      <c r="D20" s="167" t="s">
        <v>698</v>
      </c>
      <c r="E20" s="167" t="s">
        <v>699</v>
      </c>
      <c r="F20" s="167" t="s">
        <v>649</v>
      </c>
      <c r="H20" s="323" t="s">
        <v>582</v>
      </c>
      <c r="I20" s="324"/>
      <c r="J20" s="167" t="s">
        <v>698</v>
      </c>
      <c r="K20" s="167" t="s">
        <v>699</v>
      </c>
      <c r="L20" s="167" t="s">
        <v>649</v>
      </c>
    </row>
    <row r="21" spans="1:12" x14ac:dyDescent="0.25">
      <c r="B21" s="134" t="s">
        <v>508</v>
      </c>
      <c r="C21" s="11" t="s">
        <v>579</v>
      </c>
      <c r="D21" s="15">
        <f>'Results Flue gas - membran (GF)'!D111</f>
        <v>4.3988770585699999E-5</v>
      </c>
      <c r="E21" s="15">
        <f>'Results Biogas - membrane (GF)'!D111</f>
        <v>4.4408770585699998E-5</v>
      </c>
      <c r="F21" s="15">
        <f>'Results SimaPro (GF)'!D111</f>
        <v>4.9445970585699998E-5</v>
      </c>
      <c r="H21" s="15">
        <f>MAX(D21:F21)</f>
        <v>4.9445970585699998E-5</v>
      </c>
      <c r="I21" s="15" t="s">
        <v>689</v>
      </c>
      <c r="J21" s="185">
        <f>D21/$H21</f>
        <v>0.8896330694825465</v>
      </c>
      <c r="K21" s="185">
        <f t="shared" ref="K21:L24" si="3">E21/$H21</f>
        <v>0.89812718932739932</v>
      </c>
      <c r="L21" s="185">
        <f t="shared" si="3"/>
        <v>1</v>
      </c>
    </row>
    <row r="22" spans="1:12" ht="17.25" x14ac:dyDescent="0.25">
      <c r="B22" s="134" t="s">
        <v>509</v>
      </c>
      <c r="C22" s="11" t="s">
        <v>580</v>
      </c>
      <c r="D22" s="15">
        <f>'Results Flue gas - membran (GF)'!D112</f>
        <v>13.895880075600001</v>
      </c>
      <c r="E22" s="15">
        <f>'Results Biogas - membrane (GF)'!D112</f>
        <v>13.956880075599999</v>
      </c>
      <c r="F22" s="15">
        <f>'Results SimaPro (GF)'!D112</f>
        <v>16.048419245599998</v>
      </c>
      <c r="H22" s="15">
        <f t="shared" ref="H22:H24" si="4">MAX(D22:F22)</f>
        <v>16.048419245599998</v>
      </c>
      <c r="I22" s="15" t="s">
        <v>690</v>
      </c>
      <c r="J22" s="185">
        <f t="shared" ref="J22:J24" si="5">D22/$H22</f>
        <v>0.86587219980621088</v>
      </c>
      <c r="K22" s="185">
        <f t="shared" si="3"/>
        <v>0.86967319721701331</v>
      </c>
      <c r="L22" s="185">
        <f t="shared" si="3"/>
        <v>1</v>
      </c>
    </row>
    <row r="23" spans="1:12" ht="18" x14ac:dyDescent="0.25">
      <c r="B23" s="176" t="s">
        <v>510</v>
      </c>
      <c r="C23" s="165" t="s">
        <v>578</v>
      </c>
      <c r="D23" s="195">
        <f>'Results Flue gas - membran (GF)'!D113</f>
        <v>50.784374665482098</v>
      </c>
      <c r="E23" s="195">
        <f>'Results Biogas - membrane (GF)'!D113</f>
        <v>51.224374665482095</v>
      </c>
      <c r="F23" s="195">
        <f>'Results SimaPro (GF)'!D113</f>
        <v>62.160403655482099</v>
      </c>
      <c r="H23" s="15">
        <f t="shared" si="4"/>
        <v>62.160403655482099</v>
      </c>
      <c r="I23" s="15" t="s">
        <v>689</v>
      </c>
      <c r="J23" s="185">
        <f t="shared" si="5"/>
        <v>0.81698913904982795</v>
      </c>
      <c r="K23" s="185">
        <f t="shared" si="3"/>
        <v>0.82406760016212466</v>
      </c>
      <c r="L23" s="185">
        <f t="shared" si="3"/>
        <v>1</v>
      </c>
    </row>
    <row r="24" spans="1:12" x14ac:dyDescent="0.25">
      <c r="B24" s="134" t="s">
        <v>511</v>
      </c>
      <c r="C24" s="11" t="s">
        <v>517</v>
      </c>
      <c r="D24" s="15">
        <f>'Results Flue gas - membran (GF)'!D114</f>
        <v>849.68833681000001</v>
      </c>
      <c r="E24" s="15">
        <f>'Results Biogas - membrane (GF)'!D114</f>
        <v>858.88833680999994</v>
      </c>
      <c r="F24" s="15">
        <f>'Results SimaPro (GF)'!D114</f>
        <v>992.92266051999991</v>
      </c>
      <c r="H24" s="15">
        <f t="shared" si="4"/>
        <v>992.92266051999991</v>
      </c>
      <c r="I24" s="15" t="s">
        <v>690</v>
      </c>
      <c r="J24" s="185">
        <f t="shared" si="5"/>
        <v>0.85574473279219232</v>
      </c>
      <c r="K24" s="185">
        <f t="shared" si="3"/>
        <v>0.86501030841636206</v>
      </c>
      <c r="L24" s="185">
        <f t="shared" si="3"/>
        <v>1</v>
      </c>
    </row>
    <row r="26" spans="1:12" ht="18" x14ac:dyDescent="0.25">
      <c r="B26" s="317" t="s">
        <v>619</v>
      </c>
      <c r="C26" s="317"/>
      <c r="D26" s="317"/>
      <c r="E26" s="317"/>
      <c r="F26" s="317"/>
      <c r="G26" s="135" t="s">
        <v>621</v>
      </c>
    </row>
    <row r="27" spans="1:12" x14ac:dyDescent="0.25">
      <c r="B27" s="325" t="s">
        <v>620</v>
      </c>
      <c r="C27" s="288"/>
      <c r="D27" s="288"/>
      <c r="E27" s="288"/>
      <c r="F27" s="288"/>
      <c r="G27" s="11">
        <v>73.2</v>
      </c>
      <c r="H27" s="216" t="s">
        <v>622</v>
      </c>
      <c r="I27" s="216"/>
    </row>
    <row r="28" spans="1:12" x14ac:dyDescent="0.25">
      <c r="B28" s="325" t="s">
        <v>446</v>
      </c>
      <c r="C28" s="288"/>
      <c r="D28" s="288"/>
      <c r="E28" s="288"/>
      <c r="F28" s="288"/>
      <c r="G28" s="11">
        <v>118.6</v>
      </c>
      <c r="H28" s="216" t="s">
        <v>622</v>
      </c>
      <c r="I28" s="216"/>
    </row>
    <row r="29" spans="1:12" s="211" customFormat="1" x14ac:dyDescent="0.25"/>
    <row r="32" spans="1:12" x14ac:dyDescent="0.25">
      <c r="A32" s="187" t="s">
        <v>648</v>
      </c>
      <c r="D32" s="215" t="s">
        <v>705</v>
      </c>
      <c r="E32" s="215" t="s">
        <v>701</v>
      </c>
      <c r="F32" s="215"/>
      <c r="J32" s="215" t="s">
        <v>705</v>
      </c>
      <c r="K32" s="215" t="s">
        <v>701</v>
      </c>
      <c r="L32" s="215"/>
    </row>
    <row r="33" spans="2:12" ht="33.6" customHeight="1" x14ac:dyDescent="0.25">
      <c r="B33" s="167" t="s">
        <v>656</v>
      </c>
      <c r="C33" s="167" t="s">
        <v>365</v>
      </c>
      <c r="D33" s="167" t="s">
        <v>698</v>
      </c>
      <c r="E33" s="167" t="s">
        <v>699</v>
      </c>
      <c r="F33" s="167" t="s">
        <v>649</v>
      </c>
      <c r="H33" s="323" t="s">
        <v>582</v>
      </c>
      <c r="I33" s="324"/>
      <c r="J33" s="167" t="s">
        <v>698</v>
      </c>
      <c r="K33" s="167" t="s">
        <v>699</v>
      </c>
      <c r="L33" s="167" t="s">
        <v>649</v>
      </c>
    </row>
    <row r="34" spans="2:12" ht="18" x14ac:dyDescent="0.25">
      <c r="B34" s="134" t="s">
        <v>495</v>
      </c>
      <c r="C34" s="11" t="s">
        <v>564</v>
      </c>
      <c r="D34" s="15">
        <f>'Results Flue gas - membran (GF)'!D5</f>
        <v>2.9320000590999999</v>
      </c>
      <c r="E34" s="15">
        <f>'Results Biogas - membrane (GF)'!D5</f>
        <v>2.9520000591000004</v>
      </c>
      <c r="F34" s="15">
        <f>'Results SimaPro (GF)'!D5</f>
        <v>3.4220000591000002</v>
      </c>
      <c r="H34" s="15">
        <f>MAX(D34:F34)</f>
        <v>3.4220000591000002</v>
      </c>
      <c r="I34" s="15" t="s">
        <v>689</v>
      </c>
      <c r="J34" s="185">
        <f>D34/$H34</f>
        <v>0.856808886166743</v>
      </c>
      <c r="K34" s="185">
        <f t="shared" ref="K34:L48" si="6">E34/$H34</f>
        <v>0.86265342142524348</v>
      </c>
      <c r="L34" s="185">
        <f t="shared" si="6"/>
        <v>1</v>
      </c>
    </row>
    <row r="35" spans="2:12" ht="18" x14ac:dyDescent="0.25">
      <c r="B35" s="134" t="s">
        <v>496</v>
      </c>
      <c r="C35" s="11" t="s">
        <v>564</v>
      </c>
      <c r="D35" s="15">
        <f>'Results Flue gas - membran (GF)'!D6</f>
        <v>5.8400012600000002</v>
      </c>
      <c r="E35" s="15">
        <f>'Results Biogas - membrane (GF)'!D6</f>
        <v>5.8400012600000002</v>
      </c>
      <c r="F35" s="15">
        <f>'Results SimaPro (GF)'!D6</f>
        <v>6.3800012600000002</v>
      </c>
      <c r="H35" s="15">
        <f t="shared" ref="H35:H48" si="7">MAX(D35:F35)</f>
        <v>6.3800012600000002</v>
      </c>
      <c r="I35" s="15" t="s">
        <v>649</v>
      </c>
      <c r="J35" s="185">
        <f t="shared" ref="J35:J48" si="8">D35/$H35</f>
        <v>0.91536051828303244</v>
      </c>
      <c r="K35" s="185">
        <f t="shared" si="6"/>
        <v>0.91536051828303244</v>
      </c>
      <c r="L35" s="185">
        <f t="shared" si="6"/>
        <v>1</v>
      </c>
    </row>
    <row r="36" spans="2:12" x14ac:dyDescent="0.25">
      <c r="B36" s="134" t="s">
        <v>497</v>
      </c>
      <c r="C36" s="11" t="s">
        <v>512</v>
      </c>
      <c r="D36" s="15">
        <f>'Results Flue gas - membran (GF)'!D7</f>
        <v>0.20070001700000001</v>
      </c>
      <c r="E36" s="15">
        <f>'Results Biogas - membrane (GF)'!D7</f>
        <v>0.20270001700000001</v>
      </c>
      <c r="F36" s="15">
        <f>'Results SimaPro (GF)'!D7</f>
        <v>0.21970001699999997</v>
      </c>
      <c r="H36" s="15">
        <f t="shared" si="7"/>
        <v>0.21970001699999997</v>
      </c>
      <c r="I36" s="15" t="s">
        <v>690</v>
      </c>
      <c r="J36" s="185">
        <f t="shared" si="8"/>
        <v>0.91351844092028467</v>
      </c>
      <c r="K36" s="185">
        <f t="shared" si="6"/>
        <v>0.92262176292867581</v>
      </c>
      <c r="L36" s="185">
        <f t="shared" si="6"/>
        <v>1</v>
      </c>
    </row>
    <row r="37" spans="2:12" x14ac:dyDescent="0.25">
      <c r="B37" s="134" t="s">
        <v>561</v>
      </c>
      <c r="C37" s="11" t="s">
        <v>513</v>
      </c>
      <c r="D37" s="15">
        <f>'Results Flue gas - membran (GF)'!D8</f>
        <v>3941.0115999999998</v>
      </c>
      <c r="E37" s="15">
        <f>'Results Biogas - membrane (GF)'!D8</f>
        <v>4001.0115999999998</v>
      </c>
      <c r="F37" s="15">
        <f>'Results SimaPro (GF)'!D8</f>
        <v>4301.0115999999998</v>
      </c>
      <c r="H37" s="15">
        <f t="shared" si="7"/>
        <v>4301.0115999999998</v>
      </c>
      <c r="I37" s="15" t="s">
        <v>690</v>
      </c>
      <c r="J37" s="185">
        <f t="shared" si="8"/>
        <v>0.91629876097055862</v>
      </c>
      <c r="K37" s="185">
        <f t="shared" si="6"/>
        <v>0.93024896747546548</v>
      </c>
      <c r="L37" s="185">
        <f t="shared" si="6"/>
        <v>1</v>
      </c>
    </row>
    <row r="38" spans="2:12" x14ac:dyDescent="0.25">
      <c r="B38" s="134" t="s">
        <v>498</v>
      </c>
      <c r="C38" s="11" t="s">
        <v>514</v>
      </c>
      <c r="D38" s="15">
        <f>'Results Flue gas - membran (GF)'!D9</f>
        <v>2.9200000000041998E-5</v>
      </c>
      <c r="E38" s="15">
        <f>'Results Biogas - membrane (GF)'!D9</f>
        <v>2.9400000000041999E-5</v>
      </c>
      <c r="F38" s="15">
        <f>'Results SimaPro (GF)'!D9</f>
        <v>3.1300000000042001E-5</v>
      </c>
      <c r="H38" s="15">
        <f t="shared" si="7"/>
        <v>3.1300000000042001E-5</v>
      </c>
      <c r="I38" s="15" t="s">
        <v>690</v>
      </c>
      <c r="J38" s="185">
        <f t="shared" si="8"/>
        <v>0.93290734824290145</v>
      </c>
      <c r="K38" s="185">
        <f t="shared" si="6"/>
        <v>0.93929712460072035</v>
      </c>
      <c r="L38" s="185">
        <f t="shared" si="6"/>
        <v>1</v>
      </c>
    </row>
    <row r="39" spans="2:12" ht="18" x14ac:dyDescent="0.25">
      <c r="B39" s="134" t="s">
        <v>499</v>
      </c>
      <c r="C39" s="11" t="s">
        <v>565</v>
      </c>
      <c r="D39" s="15">
        <f>'Results Flue gas - membran (GF)'!D10</f>
        <v>6.8300299000000009E-2</v>
      </c>
      <c r="E39" s="15">
        <f>'Results Biogas - membrane (GF)'!D10</f>
        <v>6.8500299000000001E-2</v>
      </c>
      <c r="F39" s="15">
        <f>'Results SimaPro (GF)'!D10</f>
        <v>7.4400299000000003E-2</v>
      </c>
      <c r="H39" s="15">
        <f t="shared" si="7"/>
        <v>7.4400299000000003E-2</v>
      </c>
      <c r="I39" s="15" t="s">
        <v>690</v>
      </c>
      <c r="J39" s="185">
        <f t="shared" si="8"/>
        <v>0.91801108218664562</v>
      </c>
      <c r="K39" s="185">
        <f t="shared" si="6"/>
        <v>0.92069924342642762</v>
      </c>
      <c r="L39" s="185">
        <f t="shared" si="6"/>
        <v>1</v>
      </c>
    </row>
    <row r="40" spans="2:12" x14ac:dyDescent="0.25">
      <c r="B40" s="134" t="s">
        <v>500</v>
      </c>
      <c r="C40" s="11" t="s">
        <v>515</v>
      </c>
      <c r="D40" s="15">
        <f>'Results Flue gas - membran (GF)'!D11</f>
        <v>15220.539000000001</v>
      </c>
      <c r="E40" s="15">
        <f>'Results Biogas - membrane (GF)'!D11</f>
        <v>15290.539000000001</v>
      </c>
      <c r="F40" s="15">
        <f>'Results SimaPro (GF)'!D11</f>
        <v>17180.539000000001</v>
      </c>
      <c r="H40" s="15">
        <f t="shared" si="7"/>
        <v>17180.539000000001</v>
      </c>
      <c r="I40" s="15" t="s">
        <v>689</v>
      </c>
      <c r="J40" s="185">
        <f t="shared" si="8"/>
        <v>0.88591743250895683</v>
      </c>
      <c r="K40" s="185">
        <f t="shared" si="6"/>
        <v>0.88999180991935123</v>
      </c>
      <c r="L40" s="185">
        <f t="shared" si="6"/>
        <v>1</v>
      </c>
    </row>
    <row r="41" spans="2:12" x14ac:dyDescent="0.25">
      <c r="B41" s="134" t="s">
        <v>562</v>
      </c>
      <c r="C41" s="11" t="s">
        <v>516</v>
      </c>
      <c r="D41" s="15">
        <f>'Results Flue gas - membran (GF)'!D12</f>
        <v>7970.0001140000004</v>
      </c>
      <c r="E41" s="15">
        <f>'Results Biogas - membrane (GF)'!D12</f>
        <v>7990.0001140000004</v>
      </c>
      <c r="F41" s="15">
        <f>'Results SimaPro (GF)'!D12</f>
        <v>8660.0001140000004</v>
      </c>
      <c r="H41" s="15">
        <f t="shared" si="7"/>
        <v>8660.0001140000004</v>
      </c>
      <c r="I41" s="15" t="s">
        <v>690</v>
      </c>
      <c r="J41" s="185">
        <f t="shared" si="8"/>
        <v>0.92032332668396544</v>
      </c>
      <c r="K41" s="185">
        <f t="shared" si="6"/>
        <v>0.92263279547573451</v>
      </c>
      <c r="L41" s="185">
        <f t="shared" si="6"/>
        <v>1</v>
      </c>
    </row>
    <row r="42" spans="2:12" ht="18" x14ac:dyDescent="0.25">
      <c r="B42" s="134" t="s">
        <v>501</v>
      </c>
      <c r="C42" s="11" t="s">
        <v>566</v>
      </c>
      <c r="D42" s="15">
        <f>'Results Flue gas - membran (GF)'!D13</f>
        <v>3.1070007329999996</v>
      </c>
      <c r="E42" s="15">
        <f>'Results Biogas - membrane (GF)'!D13</f>
        <v>3.1370007329999998</v>
      </c>
      <c r="F42" s="15">
        <f>'Results SimaPro (GF)'!D13</f>
        <v>3.3470007329999998</v>
      </c>
      <c r="H42" s="15">
        <f t="shared" si="7"/>
        <v>3.3470007329999998</v>
      </c>
      <c r="I42" s="15" t="s">
        <v>690</v>
      </c>
      <c r="J42" s="185">
        <f t="shared" si="8"/>
        <v>0.92829401032581127</v>
      </c>
      <c r="K42" s="185">
        <f t="shared" si="6"/>
        <v>0.93725725903508494</v>
      </c>
      <c r="L42" s="185">
        <f t="shared" si="6"/>
        <v>1</v>
      </c>
    </row>
    <row r="43" spans="2:12" x14ac:dyDescent="0.25">
      <c r="B43" s="134" t="s">
        <v>502</v>
      </c>
      <c r="C43" s="11" t="s">
        <v>563</v>
      </c>
      <c r="D43" s="15">
        <f>'Results Flue gas - membran (GF)'!D14</f>
        <v>10.24</v>
      </c>
      <c r="E43" s="15">
        <f>'Results Biogas - membrane (GF)'!D14</f>
        <v>10.26</v>
      </c>
      <c r="F43" s="15">
        <f>'Results SimaPro (GF)'!D14</f>
        <v>10.91</v>
      </c>
      <c r="H43" s="15">
        <f t="shared" si="7"/>
        <v>10.91</v>
      </c>
      <c r="I43" s="15" t="s">
        <v>649</v>
      </c>
      <c r="J43" s="185">
        <f t="shared" si="8"/>
        <v>0.93858845096241983</v>
      </c>
      <c r="K43" s="185">
        <f t="shared" si="6"/>
        <v>0.94042163153070579</v>
      </c>
      <c r="L43" s="185">
        <f t="shared" si="6"/>
        <v>1</v>
      </c>
    </row>
    <row r="44" spans="2:12" ht="18" x14ac:dyDescent="0.25">
      <c r="B44" s="134" t="s">
        <v>503</v>
      </c>
      <c r="C44" s="11" t="s">
        <v>566</v>
      </c>
      <c r="D44" s="15">
        <f>'Results Flue gas - membran (GF)'!D15</f>
        <v>1.0360026199999999</v>
      </c>
      <c r="E44" s="15">
        <f>'Results Biogas - membrane (GF)'!D15</f>
        <v>1.04500262</v>
      </c>
      <c r="F44" s="15">
        <f>'Results SimaPro (GF)'!D15</f>
        <v>1.12600262</v>
      </c>
      <c r="H44" s="15">
        <f t="shared" si="7"/>
        <v>1.12600262</v>
      </c>
      <c r="I44" s="15" t="s">
        <v>690</v>
      </c>
      <c r="J44" s="185">
        <f t="shared" si="8"/>
        <v>0.92007123393727086</v>
      </c>
      <c r="K44" s="185">
        <f t="shared" si="6"/>
        <v>0.92806411054354387</v>
      </c>
      <c r="L44" s="185">
        <f t="shared" si="6"/>
        <v>1</v>
      </c>
    </row>
    <row r="45" spans="2:12" ht="18" x14ac:dyDescent="0.25">
      <c r="B45" s="134" t="s">
        <v>504</v>
      </c>
      <c r="C45" s="11" t="s">
        <v>567</v>
      </c>
      <c r="D45" s="15">
        <f>'Results Flue gas - membran (GF)'!D16</f>
        <v>9.3839999999999993E-2</v>
      </c>
      <c r="E45" s="15">
        <f>'Results Biogas - membrane (GF)'!D16</f>
        <v>9.4039999999999999E-2</v>
      </c>
      <c r="F45" s="15">
        <f>'Results SimaPro (GF)'!D16</f>
        <v>0.10874</v>
      </c>
      <c r="H45" s="15">
        <f t="shared" si="7"/>
        <v>0.10874</v>
      </c>
      <c r="I45" s="15" t="s">
        <v>649</v>
      </c>
      <c r="J45" s="185">
        <f t="shared" si="8"/>
        <v>0.86297590583042105</v>
      </c>
      <c r="K45" s="185">
        <f t="shared" si="6"/>
        <v>0.86481515541659004</v>
      </c>
      <c r="L45" s="185">
        <f t="shared" si="6"/>
        <v>1</v>
      </c>
    </row>
    <row r="46" spans="2:12" ht="18" x14ac:dyDescent="0.25">
      <c r="B46" s="176" t="s">
        <v>505</v>
      </c>
      <c r="C46" s="165" t="s">
        <v>578</v>
      </c>
      <c r="D46" s="195">
        <f>'Results Flue gas - membran (GF)'!D17</f>
        <v>216.90000001830001</v>
      </c>
      <c r="E46" s="195">
        <f>'Results Biogas - membrane (GF)'!D17</f>
        <v>217.90000001830001</v>
      </c>
      <c r="F46" s="195">
        <f>'Results SimaPro (GF)'!D17</f>
        <v>251.90000001830001</v>
      </c>
      <c r="H46" s="15">
        <f t="shared" si="7"/>
        <v>251.90000001830001</v>
      </c>
      <c r="I46" s="15" t="s">
        <v>689</v>
      </c>
      <c r="J46" s="185">
        <f t="shared" si="8"/>
        <v>0.8610559746031865</v>
      </c>
      <c r="K46" s="185">
        <f t="shared" si="6"/>
        <v>0.86502580390023831</v>
      </c>
      <c r="L46" s="185">
        <f t="shared" si="6"/>
        <v>1</v>
      </c>
    </row>
    <row r="47" spans="2:12" x14ac:dyDescent="0.25">
      <c r="B47" s="134" t="s">
        <v>506</v>
      </c>
      <c r="C47" s="11" t="s">
        <v>517</v>
      </c>
      <c r="D47" s="15">
        <f>'Results Flue gas - membran (GF)'!D18</f>
        <v>3601.57</v>
      </c>
      <c r="E47" s="15">
        <f>'Results Biogas - membrane (GF)'!D18</f>
        <v>3631.57</v>
      </c>
      <c r="F47" s="15">
        <f>'Results SimaPro (GF)'!D18</f>
        <v>4031.57</v>
      </c>
      <c r="H47" s="15">
        <f t="shared" si="7"/>
        <v>4031.57</v>
      </c>
      <c r="I47" s="15" t="s">
        <v>690</v>
      </c>
      <c r="J47" s="185">
        <f t="shared" si="8"/>
        <v>0.8933417998447255</v>
      </c>
      <c r="K47" s="185">
        <f t="shared" si="6"/>
        <v>0.90078306962300048</v>
      </c>
      <c r="L47" s="185">
        <f t="shared" si="6"/>
        <v>1</v>
      </c>
    </row>
    <row r="48" spans="2:12" x14ac:dyDescent="0.25">
      <c r="B48" s="134" t="s">
        <v>507</v>
      </c>
      <c r="C48" s="11" t="s">
        <v>518</v>
      </c>
      <c r="D48" s="15">
        <f>'Results Flue gas - membran (GF)'!D19</f>
        <v>7.9630000000000001</v>
      </c>
      <c r="E48" s="15">
        <f>'Results Biogas - membrane (GF)'!D19</f>
        <v>7.9830000000000005</v>
      </c>
      <c r="F48" s="15">
        <f>'Results SimaPro (GF)'!D19</f>
        <v>12.972999999999999</v>
      </c>
      <c r="H48" s="15">
        <f t="shared" si="7"/>
        <v>12.972999999999999</v>
      </c>
      <c r="I48" s="15" t="s">
        <v>649</v>
      </c>
      <c r="J48" s="185">
        <f t="shared" si="8"/>
        <v>0.61381330455561556</v>
      </c>
      <c r="K48" s="185">
        <f t="shared" si="6"/>
        <v>0.61535496801048339</v>
      </c>
      <c r="L48" s="185">
        <f t="shared" si="6"/>
        <v>1</v>
      </c>
    </row>
    <row r="51" spans="2:12" ht="30" x14ac:dyDescent="0.25">
      <c r="B51" s="167" t="s">
        <v>656</v>
      </c>
      <c r="C51" s="167" t="s">
        <v>365</v>
      </c>
      <c r="D51" s="167" t="s">
        <v>698</v>
      </c>
      <c r="E51" s="167" t="s">
        <v>699</v>
      </c>
      <c r="F51" s="167" t="s">
        <v>649</v>
      </c>
      <c r="H51" s="323" t="s">
        <v>582</v>
      </c>
      <c r="I51" s="324"/>
      <c r="J51" s="167" t="s">
        <v>698</v>
      </c>
      <c r="K51" s="167" t="s">
        <v>699</v>
      </c>
      <c r="L51" s="167" t="s">
        <v>649</v>
      </c>
    </row>
    <row r="52" spans="2:12" x14ac:dyDescent="0.25">
      <c r="B52" s="134" t="s">
        <v>508</v>
      </c>
      <c r="C52" s="11" t="s">
        <v>579</v>
      </c>
      <c r="D52" s="15">
        <f>'Results Flue gas - membran (GF)'!D103</f>
        <v>1.665000187E-4</v>
      </c>
      <c r="E52" s="15">
        <f>'Results Biogas - membrane (GF)'!D103</f>
        <v>1.675000187E-4</v>
      </c>
      <c r="F52" s="15">
        <f>'Results SimaPro (GF)'!D103</f>
        <v>1.8250001869999998E-4</v>
      </c>
      <c r="H52" s="15">
        <f>MAX(D52:F52)</f>
        <v>1.8250001869999998E-4</v>
      </c>
      <c r="I52" s="15" t="s">
        <v>689</v>
      </c>
      <c r="J52" s="185">
        <f>D52/$H52</f>
        <v>0.9123287761065858</v>
      </c>
      <c r="K52" s="185">
        <f t="shared" ref="K52:L55" si="9">E52/$H52</f>
        <v>0.9178082275999242</v>
      </c>
      <c r="L52" s="185">
        <f t="shared" si="9"/>
        <v>1</v>
      </c>
    </row>
    <row r="53" spans="2:12" ht="17.25" x14ac:dyDescent="0.25">
      <c r="B53" s="134" t="s">
        <v>509</v>
      </c>
      <c r="C53" s="11" t="s">
        <v>580</v>
      </c>
      <c r="D53" s="15">
        <f>'Results Flue gas - membran (GF)'!D104</f>
        <v>78.300028700000013</v>
      </c>
      <c r="E53" s="15">
        <f>'Results Biogas - membrane (GF)'!D104</f>
        <v>78.300028700000013</v>
      </c>
      <c r="F53" s="15">
        <f>'Results SimaPro (GF)'!D104</f>
        <v>84.800028700000013</v>
      </c>
      <c r="H53" s="15">
        <f t="shared" ref="H53:H55" si="10">MAX(D53:F53)</f>
        <v>84.800028700000013</v>
      </c>
      <c r="I53" s="15" t="s">
        <v>690</v>
      </c>
      <c r="J53" s="185">
        <f t="shared" ref="J53:J55" si="11">D53/$H53</f>
        <v>0.92334908254577042</v>
      </c>
      <c r="K53" s="185">
        <f t="shared" si="9"/>
        <v>0.92334908254577042</v>
      </c>
      <c r="L53" s="185">
        <f t="shared" si="9"/>
        <v>1</v>
      </c>
    </row>
    <row r="54" spans="2:12" ht="18" x14ac:dyDescent="0.25">
      <c r="B54" s="176" t="s">
        <v>510</v>
      </c>
      <c r="C54" s="165" t="s">
        <v>578</v>
      </c>
      <c r="D54" s="195">
        <f>'Results Flue gas - membran (GF)'!D105</f>
        <v>216.90000001830001</v>
      </c>
      <c r="E54" s="195">
        <f>'Results Biogas - membrane (GF)'!D105</f>
        <v>217.9</v>
      </c>
      <c r="F54" s="195">
        <f>'Results SimaPro (GF)'!D105</f>
        <v>251.90000001830001</v>
      </c>
      <c r="H54" s="15">
        <f t="shared" si="10"/>
        <v>251.90000001830001</v>
      </c>
      <c r="I54" s="15" t="s">
        <v>689</v>
      </c>
      <c r="J54" s="185">
        <f t="shared" si="11"/>
        <v>0.8610559746031865</v>
      </c>
      <c r="K54" s="185">
        <f t="shared" si="9"/>
        <v>0.86502580382759042</v>
      </c>
      <c r="L54" s="185">
        <f t="shared" si="9"/>
        <v>1</v>
      </c>
    </row>
    <row r="55" spans="2:12" x14ac:dyDescent="0.25">
      <c r="B55" s="134" t="s">
        <v>511</v>
      </c>
      <c r="C55" s="11" t="s">
        <v>517</v>
      </c>
      <c r="D55" s="15">
        <f>'Results Flue gas - membran (GF)'!D106</f>
        <v>3611.66</v>
      </c>
      <c r="E55" s="15">
        <f>'Results Biogas - membrane (GF)'!D106</f>
        <v>3641.66</v>
      </c>
      <c r="F55" s="15">
        <f>'Results SimaPro (GF)'!D106</f>
        <v>4041.66</v>
      </c>
      <c r="H55" s="15">
        <f t="shared" si="10"/>
        <v>4041.66</v>
      </c>
      <c r="I55" s="15" t="s">
        <v>690</v>
      </c>
      <c r="J55" s="185">
        <f t="shared" si="11"/>
        <v>0.89360807193084024</v>
      </c>
      <c r="K55" s="185">
        <f t="shared" si="9"/>
        <v>0.90103076458682818</v>
      </c>
      <c r="L55" s="185">
        <f t="shared" si="9"/>
        <v>1</v>
      </c>
    </row>
  </sheetData>
  <mergeCells count="7">
    <mergeCell ref="H51:I51"/>
    <mergeCell ref="H2:I2"/>
    <mergeCell ref="H20:I20"/>
    <mergeCell ref="B26:F26"/>
    <mergeCell ref="B27:F27"/>
    <mergeCell ref="B28:F28"/>
    <mergeCell ref="H33:I33"/>
  </mergeCells>
  <hyperlinks>
    <hyperlink ref="B27" r:id="rId1" xr:uid="{00000000-0004-0000-0900-000000000000}"/>
    <hyperlink ref="B28" r:id="rId2" xr:uid="{00000000-0004-0000-09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24"/>
  <sheetViews>
    <sheetView topLeftCell="A9" zoomScale="70" zoomScaleNormal="70" workbookViewId="0">
      <selection activeCell="N50" sqref="N50"/>
    </sheetView>
  </sheetViews>
  <sheetFormatPr defaultColWidth="11.42578125" defaultRowHeight="15" x14ac:dyDescent="0.25"/>
  <cols>
    <col min="2" max="2" width="17" bestFit="1" customWidth="1"/>
    <col min="3" max="3" width="11.7109375" bestFit="1" customWidth="1"/>
    <col min="4" max="4" width="17.140625" customWidth="1"/>
    <col min="6" max="6" width="10.85546875" customWidth="1"/>
    <col min="12" max="12" width="12.140625" bestFit="1" customWidth="1"/>
    <col min="13" max="13" width="19.140625" customWidth="1"/>
    <col min="14" max="14" width="13.5703125" customWidth="1"/>
    <col min="17" max="17" width="22.140625" customWidth="1"/>
    <col min="22" max="22" width="13.140625" bestFit="1" customWidth="1"/>
    <col min="24" max="24" width="21.42578125" bestFit="1" customWidth="1"/>
    <col min="26" max="26" width="14.28515625" customWidth="1"/>
    <col min="27" max="28" width="15.85546875" customWidth="1"/>
    <col min="31" max="31" width="12.5703125" bestFit="1" customWidth="1"/>
  </cols>
  <sheetData>
    <row r="2" spans="2:32" x14ac:dyDescent="0.25">
      <c r="B2" s="270" t="s">
        <v>390</v>
      </c>
      <c r="C2" s="270"/>
      <c r="D2" s="270"/>
      <c r="E2" s="270"/>
      <c r="F2" s="270"/>
      <c r="G2" s="270"/>
      <c r="H2" s="270"/>
      <c r="M2" s="270" t="s">
        <v>520</v>
      </c>
      <c r="N2" s="270"/>
      <c r="O2" s="270"/>
      <c r="P2" s="270"/>
      <c r="Q2" s="270"/>
      <c r="R2" s="270"/>
      <c r="S2" s="270"/>
      <c r="X2" s="270" t="s">
        <v>630</v>
      </c>
      <c r="Y2" s="270"/>
      <c r="Z2" s="270"/>
      <c r="AA2" s="270"/>
      <c r="AB2" s="270"/>
      <c r="AC2" s="270"/>
      <c r="AD2" s="270"/>
    </row>
    <row r="4" spans="2:32" x14ac:dyDescent="0.25">
      <c r="B4" s="40" t="s">
        <v>394</v>
      </c>
      <c r="C4" s="40" t="s">
        <v>391</v>
      </c>
      <c r="D4" s="40" t="s">
        <v>365</v>
      </c>
      <c r="E4" s="246" t="s">
        <v>393</v>
      </c>
      <c r="F4" s="246"/>
      <c r="G4" s="246"/>
      <c r="H4" s="246"/>
      <c r="I4" s="246"/>
      <c r="J4" s="246"/>
      <c r="N4" s="40" t="s">
        <v>289</v>
      </c>
      <c r="O4" s="40" t="s">
        <v>291</v>
      </c>
      <c r="P4" s="40" t="s">
        <v>521</v>
      </c>
      <c r="Q4" s="40" t="s">
        <v>595</v>
      </c>
      <c r="S4" s="40" t="s">
        <v>594</v>
      </c>
      <c r="X4" s="86" t="s">
        <v>283</v>
      </c>
      <c r="Y4" s="180" t="s">
        <v>392</v>
      </c>
      <c r="Z4" s="180" t="s">
        <v>365</v>
      </c>
    </row>
    <row r="5" spans="2:32" ht="17.25" x14ac:dyDescent="0.25">
      <c r="B5" s="131" t="s">
        <v>395</v>
      </c>
      <c r="C5" s="3">
        <v>2200</v>
      </c>
      <c r="D5" s="3" t="s">
        <v>398</v>
      </c>
      <c r="E5" s="263" t="s">
        <v>376</v>
      </c>
      <c r="F5" s="263"/>
      <c r="G5" s="263"/>
      <c r="H5" s="263"/>
      <c r="I5" s="263"/>
      <c r="J5" s="263"/>
      <c r="M5" s="131" t="s">
        <v>519</v>
      </c>
      <c r="N5" s="3">
        <f>'Scenario 1'!O157</f>
        <v>12</v>
      </c>
      <c r="O5" s="3">
        <f>'Scenario 1'!O158</f>
        <v>24</v>
      </c>
      <c r="P5" s="3">
        <f>'Scenario 1'!O159</f>
        <v>60</v>
      </c>
      <c r="Q5" s="150">
        <f>P5/P6</f>
        <v>1.976465562278484E-2</v>
      </c>
      <c r="R5" s="168">
        <f>Q5*1000</f>
        <v>19.76465562278484</v>
      </c>
      <c r="S5" s="19">
        <f>S6*Q5</f>
        <v>445.31441488234969</v>
      </c>
      <c r="X5" s="131" t="s">
        <v>223</v>
      </c>
      <c r="Y5" s="3">
        <f>P5</f>
        <v>60</v>
      </c>
      <c r="Z5" s="3" t="s">
        <v>629</v>
      </c>
    </row>
    <row r="6" spans="2:32" ht="17.25" x14ac:dyDescent="0.25">
      <c r="B6" s="131" t="s">
        <v>396</v>
      </c>
      <c r="C6" s="3">
        <v>2490</v>
      </c>
      <c r="D6" s="3" t="s">
        <v>398</v>
      </c>
      <c r="E6" s="271" t="s">
        <v>397</v>
      </c>
      <c r="F6" s="263"/>
      <c r="G6" s="263"/>
      <c r="H6" s="263"/>
      <c r="I6" s="263"/>
      <c r="J6" s="263"/>
      <c r="M6" s="131" t="s">
        <v>362</v>
      </c>
      <c r="N6" s="19">
        <f>'Scenario 1'!N157</f>
        <v>0.23713812582161542</v>
      </c>
      <c r="O6" s="19">
        <f>'Scenario 1'!N158</f>
        <v>0.47435173542856934</v>
      </c>
      <c r="P6" s="19">
        <f>'Scenario 1'!N159</f>
        <v>3035.7220052360317</v>
      </c>
      <c r="Q6" s="150">
        <f>P6/P6</f>
        <v>1</v>
      </c>
      <c r="S6" s="19">
        <f>'Scenario 1'!N20*1000</f>
        <v>22530.846141785943</v>
      </c>
      <c r="X6" s="131" t="s">
        <v>548</v>
      </c>
      <c r="Y6" s="3">
        <f>Y5*(N5/100)</f>
        <v>7.1999999999999993</v>
      </c>
      <c r="Z6" s="3" t="s">
        <v>353</v>
      </c>
    </row>
    <row r="7" spans="2:32" x14ac:dyDescent="0.25">
      <c r="X7" s="131" t="s">
        <v>230</v>
      </c>
      <c r="Y7" s="3">
        <f>Y5*(O5/100)</f>
        <v>14.399999999999999</v>
      </c>
      <c r="Z7" s="3" t="s">
        <v>353</v>
      </c>
    </row>
    <row r="8" spans="2:32" x14ac:dyDescent="0.25">
      <c r="B8" s="40" t="s">
        <v>341</v>
      </c>
      <c r="C8" s="40" t="s">
        <v>392</v>
      </c>
      <c r="D8" s="40" t="s">
        <v>365</v>
      </c>
      <c r="E8" s="246" t="s">
        <v>393</v>
      </c>
      <c r="F8" s="246"/>
      <c r="G8" s="246"/>
      <c r="H8" s="246"/>
      <c r="I8" s="246"/>
      <c r="J8" s="246"/>
      <c r="M8" s="287" t="s">
        <v>627</v>
      </c>
      <c r="N8" s="122">
        <f>((N5/100)*P5)/(P6)</f>
        <v>2.3717586747341803E-3</v>
      </c>
      <c r="O8" s="3" t="s">
        <v>522</v>
      </c>
      <c r="Q8" s="287" t="s">
        <v>628</v>
      </c>
      <c r="R8" s="122">
        <f>((O5/100)*P5)/(P6)</f>
        <v>4.7435173494683605E-3</v>
      </c>
      <c r="S8" s="3" t="s">
        <v>522</v>
      </c>
      <c r="U8">
        <v>2.78</v>
      </c>
      <c r="X8" s="131" t="s">
        <v>217</v>
      </c>
      <c r="Y8" s="3">
        <f>Y5</f>
        <v>60</v>
      </c>
      <c r="Z8" s="3" t="s">
        <v>629</v>
      </c>
    </row>
    <row r="9" spans="2:32" ht="17.25" x14ac:dyDescent="0.25">
      <c r="B9" s="131" t="s">
        <v>399</v>
      </c>
      <c r="C9" s="19">
        <f>'Scenario 1'!V28</f>
        <v>1133.0794520547929</v>
      </c>
      <c r="D9" s="3" t="s">
        <v>52</v>
      </c>
      <c r="E9" s="231" t="s">
        <v>405</v>
      </c>
      <c r="F9" s="266"/>
      <c r="G9" s="266"/>
      <c r="H9" s="266"/>
      <c r="I9" s="266"/>
      <c r="J9" s="232"/>
      <c r="M9" s="287"/>
      <c r="N9" s="150">
        <f>(N8*1000)*U8</f>
        <v>6.5934891157610211</v>
      </c>
      <c r="O9" s="3" t="s">
        <v>398</v>
      </c>
      <c r="Q9" s="287"/>
      <c r="R9" s="150">
        <f>(R8*1000)*U8</f>
        <v>13.186978231522042</v>
      </c>
      <c r="S9" s="3" t="s">
        <v>398</v>
      </c>
      <c r="U9" s="161">
        <f>N9+R9</f>
        <v>19.780467347283064</v>
      </c>
      <c r="V9" s="161"/>
    </row>
    <row r="10" spans="2:32" ht="17.25" x14ac:dyDescent="0.25">
      <c r="B10" s="131" t="s">
        <v>49</v>
      </c>
      <c r="C10" s="19">
        <f>'Scenario 1'!V27</f>
        <v>28326.986301369823</v>
      </c>
      <c r="D10" s="3" t="s">
        <v>50</v>
      </c>
      <c r="E10" s="231" t="s">
        <v>405</v>
      </c>
      <c r="F10" s="266"/>
      <c r="G10" s="266"/>
      <c r="H10" s="266"/>
      <c r="I10" s="266"/>
      <c r="J10" s="232"/>
      <c r="O10">
        <v>6.31</v>
      </c>
      <c r="Y10" s="40" t="s">
        <v>392</v>
      </c>
      <c r="Z10" s="40" t="s">
        <v>365</v>
      </c>
      <c r="AA10" s="246" t="s">
        <v>393</v>
      </c>
      <c r="AB10" s="246"/>
      <c r="AC10" s="246"/>
      <c r="AD10" s="246"/>
      <c r="AE10" s="246"/>
      <c r="AF10" s="246"/>
    </row>
    <row r="11" spans="2:32" ht="16.5" customHeight="1" x14ac:dyDescent="0.35">
      <c r="B11" s="131" t="s">
        <v>407</v>
      </c>
      <c r="C11" s="19">
        <v>4</v>
      </c>
      <c r="D11" s="3" t="s">
        <v>408</v>
      </c>
      <c r="E11" s="231" t="s">
        <v>411</v>
      </c>
      <c r="F11" s="266"/>
      <c r="G11" s="266"/>
      <c r="H11" s="266"/>
      <c r="I11" s="266"/>
      <c r="J11" s="232"/>
      <c r="M11" s="270" t="s">
        <v>529</v>
      </c>
      <c r="N11" s="270"/>
      <c r="O11" s="270"/>
      <c r="P11" s="270"/>
      <c r="Q11" s="270"/>
      <c r="R11" s="270"/>
      <c r="S11" s="270"/>
      <c r="X11" s="131" t="s">
        <v>519</v>
      </c>
      <c r="Y11" s="3">
        <v>862.17</v>
      </c>
      <c r="Z11" s="3" t="s">
        <v>639</v>
      </c>
      <c r="AA11" s="271" t="s">
        <v>631</v>
      </c>
      <c r="AB11" s="271"/>
      <c r="AC11" s="271"/>
      <c r="AD11" s="271"/>
      <c r="AE11" s="271"/>
      <c r="AF11" s="271"/>
    </row>
    <row r="12" spans="2:32" ht="18" x14ac:dyDescent="0.35">
      <c r="B12" s="131" t="s">
        <v>400</v>
      </c>
      <c r="C12" s="163">
        <v>10</v>
      </c>
      <c r="D12" s="3" t="s">
        <v>401</v>
      </c>
      <c r="E12" s="231" t="s">
        <v>553</v>
      </c>
      <c r="F12" s="266"/>
      <c r="G12" s="266"/>
      <c r="H12" s="266"/>
      <c r="I12" s="266"/>
      <c r="J12" s="232"/>
      <c r="X12" s="131" t="s">
        <v>632</v>
      </c>
      <c r="Y12" s="3" t="s">
        <v>641</v>
      </c>
      <c r="Z12" s="3" t="s">
        <v>640</v>
      </c>
      <c r="AA12" s="272" t="s">
        <v>638</v>
      </c>
      <c r="AB12" s="273"/>
      <c r="AC12" s="273"/>
      <c r="AD12" s="273"/>
      <c r="AE12" s="273"/>
      <c r="AF12" s="274"/>
    </row>
    <row r="13" spans="2:32" ht="18.75" x14ac:dyDescent="0.35">
      <c r="B13" s="131" t="s">
        <v>558</v>
      </c>
      <c r="C13" s="166">
        <v>320</v>
      </c>
      <c r="D13" s="3" t="s">
        <v>406</v>
      </c>
      <c r="E13" s="231" t="s">
        <v>560</v>
      </c>
      <c r="F13" s="266"/>
      <c r="G13" s="266"/>
      <c r="H13" s="266"/>
      <c r="I13" s="266"/>
      <c r="J13" s="232"/>
      <c r="M13" s="149" t="s">
        <v>163</v>
      </c>
      <c r="N13" s="3">
        <v>8.4</v>
      </c>
      <c r="O13" s="3" t="s">
        <v>31</v>
      </c>
      <c r="Q13" s="149" t="s">
        <v>163</v>
      </c>
      <c r="R13" s="19">
        <f>N18</f>
        <v>708.17465753424563</v>
      </c>
      <c r="S13" s="3" t="s">
        <v>36</v>
      </c>
    </row>
    <row r="14" spans="2:32" ht="18.75" x14ac:dyDescent="0.35">
      <c r="B14" s="131" t="s">
        <v>403</v>
      </c>
      <c r="C14" s="163">
        <v>570</v>
      </c>
      <c r="D14" s="3" t="s">
        <v>406</v>
      </c>
      <c r="E14" s="272" t="s">
        <v>409</v>
      </c>
      <c r="F14" s="266"/>
      <c r="G14" s="266"/>
      <c r="H14" s="266"/>
      <c r="I14" s="266"/>
      <c r="J14" s="232"/>
      <c r="M14" s="149" t="s">
        <v>459</v>
      </c>
      <c r="N14" s="3">
        <v>71.400000000000006</v>
      </c>
      <c r="O14" s="3" t="s">
        <v>31</v>
      </c>
      <c r="Q14" s="149" t="s">
        <v>459</v>
      </c>
      <c r="R14" s="19">
        <f>$R$17*(N14/100)</f>
        <v>6019.4845890410888</v>
      </c>
      <c r="S14" s="3" t="s">
        <v>36</v>
      </c>
      <c r="X14" s="86" t="s">
        <v>642</v>
      </c>
      <c r="Y14" s="180" t="s">
        <v>392</v>
      </c>
      <c r="Z14" s="180" t="s">
        <v>365</v>
      </c>
      <c r="AA14" s="86" t="s">
        <v>644</v>
      </c>
      <c r="AB14" s="180" t="s">
        <v>392</v>
      </c>
      <c r="AC14" s="180" t="s">
        <v>365</v>
      </c>
    </row>
    <row r="15" spans="2:32" ht="18.75" x14ac:dyDescent="0.35">
      <c r="B15" s="131" t="s">
        <v>524</v>
      </c>
      <c r="C15" s="3">
        <v>50</v>
      </c>
      <c r="D15" s="3" t="s">
        <v>526</v>
      </c>
      <c r="E15" s="231" t="s">
        <v>525</v>
      </c>
      <c r="F15" s="266"/>
      <c r="G15" s="266"/>
      <c r="H15" s="266"/>
      <c r="I15" s="266"/>
      <c r="J15" s="232"/>
      <c r="M15" s="149" t="s">
        <v>527</v>
      </c>
      <c r="N15" s="3">
        <v>2.5</v>
      </c>
      <c r="O15" s="3" t="s">
        <v>31</v>
      </c>
      <c r="Q15" s="149" t="s">
        <v>527</v>
      </c>
      <c r="R15" s="19">
        <f>$R$17*(N15/100)</f>
        <v>210.76626712328741</v>
      </c>
      <c r="S15" s="3" t="s">
        <v>36</v>
      </c>
      <c r="X15" s="131" t="s">
        <v>223</v>
      </c>
      <c r="Y15" s="3">
        <f>SUM(Y16:Y18)</f>
        <v>313</v>
      </c>
      <c r="Z15" s="3" t="s">
        <v>353</v>
      </c>
      <c r="AA15" s="131" t="s">
        <v>223</v>
      </c>
      <c r="AB15" s="3">
        <f>SUM(AB16:AB18)</f>
        <v>311</v>
      </c>
      <c r="AC15" s="3" t="s">
        <v>353</v>
      </c>
    </row>
    <row r="16" spans="2:32" ht="18" x14ac:dyDescent="0.35">
      <c r="M16" s="149" t="s">
        <v>528</v>
      </c>
      <c r="N16" s="3">
        <v>16.7</v>
      </c>
      <c r="O16" s="3" t="s">
        <v>31</v>
      </c>
      <c r="Q16" s="149" t="s">
        <v>528</v>
      </c>
      <c r="R16" s="19">
        <f>$R$17*(N16/100)</f>
        <v>1407.9186643835596</v>
      </c>
      <c r="S16" s="3" t="s">
        <v>36</v>
      </c>
      <c r="X16" s="131" t="s">
        <v>633</v>
      </c>
      <c r="Y16" s="3">
        <v>102</v>
      </c>
      <c r="Z16" s="3" t="s">
        <v>353</v>
      </c>
      <c r="AA16" s="131" t="s">
        <v>636</v>
      </c>
      <c r="AB16" s="3">
        <v>98</v>
      </c>
      <c r="AC16" s="3" t="s">
        <v>353</v>
      </c>
    </row>
    <row r="17" spans="2:30" ht="18" x14ac:dyDescent="0.35">
      <c r="B17" s="40" t="s">
        <v>404</v>
      </c>
      <c r="C17" s="40" t="s">
        <v>392</v>
      </c>
      <c r="D17" s="40" t="s">
        <v>365</v>
      </c>
      <c r="E17" s="246" t="s">
        <v>393</v>
      </c>
      <c r="F17" s="246"/>
      <c r="G17" s="246"/>
      <c r="H17" s="246"/>
      <c r="I17" s="246"/>
      <c r="J17" s="246"/>
      <c r="M17" s="90"/>
      <c r="Q17" s="149" t="s">
        <v>223</v>
      </c>
      <c r="R17" s="19">
        <f>(R13*100)/N13</f>
        <v>8430.6506849314956</v>
      </c>
      <c r="S17" s="3" t="s">
        <v>36</v>
      </c>
      <c r="X17" s="149" t="s">
        <v>634</v>
      </c>
      <c r="Y17" s="3">
        <v>113</v>
      </c>
      <c r="Z17" s="3" t="s">
        <v>353</v>
      </c>
      <c r="AA17" s="149" t="s">
        <v>634</v>
      </c>
      <c r="AB17" s="3">
        <v>113</v>
      </c>
      <c r="AC17" s="3" t="s">
        <v>353</v>
      </c>
    </row>
    <row r="18" spans="2:30" ht="18" x14ac:dyDescent="0.35">
      <c r="B18" s="289" t="s">
        <v>559</v>
      </c>
      <c r="C18" s="19">
        <f>C10*(C13/1000)</f>
        <v>9064.6356164383433</v>
      </c>
      <c r="D18" s="11" t="s">
        <v>353</v>
      </c>
      <c r="E18" s="231" t="s">
        <v>560</v>
      </c>
      <c r="F18" s="266"/>
      <c r="G18" s="266"/>
      <c r="H18" s="266"/>
      <c r="I18" s="266"/>
      <c r="J18" s="232"/>
      <c r="M18" s="149" t="s">
        <v>530</v>
      </c>
      <c r="N18" s="19">
        <f>('Scenario 1'!C126*'Scenario 1'!I24)</f>
        <v>708.17465753424563</v>
      </c>
      <c r="O18" s="3" t="s">
        <v>36</v>
      </c>
      <c r="Q18" s="278" t="s">
        <v>531</v>
      </c>
      <c r="R18" s="278"/>
      <c r="S18" s="278"/>
      <c r="X18" s="149" t="s">
        <v>635</v>
      </c>
      <c r="Y18" s="3">
        <v>98</v>
      </c>
      <c r="Z18" s="3" t="s">
        <v>353</v>
      </c>
      <c r="AA18" s="149" t="s">
        <v>637</v>
      </c>
      <c r="AB18" s="3">
        <v>100</v>
      </c>
      <c r="AC18" s="3" t="s">
        <v>353</v>
      </c>
    </row>
    <row r="19" spans="2:30" x14ac:dyDescent="0.25">
      <c r="B19" s="290"/>
      <c r="C19" s="19">
        <f>C18/C12</f>
        <v>906.46356164383428</v>
      </c>
      <c r="D19" s="11" t="s">
        <v>543</v>
      </c>
      <c r="E19" s="288" t="s">
        <v>544</v>
      </c>
      <c r="F19" s="288"/>
      <c r="G19" s="288"/>
      <c r="H19" s="288"/>
      <c r="I19" s="288"/>
      <c r="J19" s="288"/>
      <c r="N19" s="123"/>
      <c r="O19" s="6"/>
      <c r="Q19" s="162"/>
      <c r="R19" s="162"/>
      <c r="S19" s="162"/>
    </row>
    <row r="20" spans="2:30" x14ac:dyDescent="0.25">
      <c r="B20" s="279" t="s">
        <v>402</v>
      </c>
      <c r="C20" s="15">
        <f>(C14/1000)*C10</f>
        <v>16146.382191780798</v>
      </c>
      <c r="D20" s="11" t="s">
        <v>353</v>
      </c>
      <c r="E20" s="288" t="s">
        <v>376</v>
      </c>
      <c r="F20" s="288"/>
      <c r="G20" s="288"/>
      <c r="H20" s="288"/>
      <c r="I20" s="288"/>
      <c r="J20" s="288"/>
      <c r="X20" s="86" t="s">
        <v>643</v>
      </c>
      <c r="Y20" s="180" t="s">
        <v>392</v>
      </c>
      <c r="Z20" s="180" t="s">
        <v>365</v>
      </c>
      <c r="AA20" s="86" t="s">
        <v>645</v>
      </c>
      <c r="AB20" s="180" t="s">
        <v>392</v>
      </c>
      <c r="AC20" s="180" t="s">
        <v>365</v>
      </c>
    </row>
    <row r="21" spans="2:30" x14ac:dyDescent="0.25">
      <c r="B21" s="279"/>
      <c r="C21" s="15">
        <f>C20/C12</f>
        <v>1614.6382191780799</v>
      </c>
      <c r="D21" s="11" t="s">
        <v>543</v>
      </c>
      <c r="E21" s="288" t="s">
        <v>544</v>
      </c>
      <c r="F21" s="288"/>
      <c r="G21" s="288"/>
      <c r="H21" s="288"/>
      <c r="I21" s="288"/>
      <c r="J21" s="288"/>
      <c r="X21" s="131" t="s">
        <v>223</v>
      </c>
      <c r="Y21" s="19">
        <f>SUM(Y22:Y24)</f>
        <v>81.16981132075469</v>
      </c>
      <c r="Z21" s="3" t="s">
        <v>353</v>
      </c>
      <c r="AA21" s="131" t="s">
        <v>223</v>
      </c>
      <c r="AB21" s="19">
        <f>SUM(AB22:AB24)</f>
        <v>69.65217391304347</v>
      </c>
      <c r="AC21" s="3" t="s">
        <v>353</v>
      </c>
      <c r="AD21" s="177">
        <v>60</v>
      </c>
    </row>
    <row r="22" spans="2:30" x14ac:dyDescent="0.25">
      <c r="X22" s="131" t="s">
        <v>633</v>
      </c>
      <c r="Y22" s="19">
        <f>(AD22*100)/26.5</f>
        <v>27.169811320754711</v>
      </c>
      <c r="Z22" s="3" t="s">
        <v>353</v>
      </c>
      <c r="AA22" s="131" t="s">
        <v>636</v>
      </c>
      <c r="AB22" s="19">
        <f>(AD22*100)/46</f>
        <v>15.652173913043475</v>
      </c>
      <c r="AC22" s="3" t="s">
        <v>353</v>
      </c>
      <c r="AD22" s="177">
        <f>AD21*0.12</f>
        <v>7.1999999999999993</v>
      </c>
    </row>
    <row r="23" spans="2:30" ht="18" x14ac:dyDescent="0.35">
      <c r="B23" s="270" t="s">
        <v>435</v>
      </c>
      <c r="C23" s="270"/>
      <c r="D23" s="270"/>
      <c r="E23" s="270"/>
      <c r="F23" s="270"/>
      <c r="G23" s="270"/>
      <c r="H23" s="270"/>
      <c r="X23" s="149" t="s">
        <v>634</v>
      </c>
      <c r="Y23" s="19">
        <f>(AD23*100)/40</f>
        <v>17.999999999999996</v>
      </c>
      <c r="Z23" s="3" t="s">
        <v>353</v>
      </c>
      <c r="AA23" s="149" t="s">
        <v>634</v>
      </c>
      <c r="AB23" s="19">
        <f>(AD23*100)/40</f>
        <v>17.999999999999996</v>
      </c>
      <c r="AC23" s="3" t="s">
        <v>353</v>
      </c>
      <c r="AD23" s="177">
        <f>AD21*0.12</f>
        <v>7.1999999999999993</v>
      </c>
    </row>
    <row r="24" spans="2:30" ht="18" x14ac:dyDescent="0.35">
      <c r="N24" s="1" t="s">
        <v>440</v>
      </c>
      <c r="X24" s="149" t="s">
        <v>635</v>
      </c>
      <c r="Y24" s="19">
        <f>(AD24*100)/40</f>
        <v>35.999999999999993</v>
      </c>
      <c r="Z24" s="3" t="s">
        <v>353</v>
      </c>
      <c r="AA24" s="149" t="s">
        <v>637</v>
      </c>
      <c r="AB24" s="19">
        <f>(AD24*100)/40</f>
        <v>35.999999999999993</v>
      </c>
      <c r="AC24" s="3" t="s">
        <v>353</v>
      </c>
      <c r="AD24" s="177">
        <f>AD21*0.24</f>
        <v>14.399999999999999</v>
      </c>
    </row>
    <row r="25" spans="2:30" x14ac:dyDescent="0.25">
      <c r="B25" s="40" t="s">
        <v>422</v>
      </c>
      <c r="C25" s="40" t="s">
        <v>392</v>
      </c>
      <c r="D25" s="40" t="s">
        <v>365</v>
      </c>
      <c r="E25" s="246" t="s">
        <v>393</v>
      </c>
      <c r="F25" s="246"/>
      <c r="G25" s="246"/>
      <c r="H25" s="246"/>
      <c r="I25" s="246"/>
      <c r="J25" s="246"/>
      <c r="M25" s="40" t="s">
        <v>439</v>
      </c>
      <c r="N25" s="40" t="s">
        <v>392</v>
      </c>
      <c r="O25" s="40" t="s">
        <v>365</v>
      </c>
      <c r="P25" s="246" t="s">
        <v>393</v>
      </c>
      <c r="Q25" s="246"/>
      <c r="R25" s="246"/>
      <c r="S25" s="246"/>
      <c r="T25" s="246"/>
      <c r="U25" s="246"/>
    </row>
    <row r="26" spans="2:30" x14ac:dyDescent="0.25">
      <c r="B26" s="131" t="s">
        <v>423</v>
      </c>
      <c r="C26" s="3">
        <v>5.6</v>
      </c>
      <c r="D26" s="3" t="s">
        <v>29</v>
      </c>
      <c r="E26" s="272" t="s">
        <v>432</v>
      </c>
      <c r="F26" s="266"/>
      <c r="G26" s="266"/>
      <c r="H26" s="266"/>
      <c r="I26" s="266"/>
      <c r="J26" s="232"/>
      <c r="K26" s="50" t="s">
        <v>433</v>
      </c>
      <c r="M26" s="131" t="s">
        <v>423</v>
      </c>
      <c r="N26" s="3">
        <v>0.1</v>
      </c>
      <c r="O26" s="3" t="s">
        <v>29</v>
      </c>
      <c r="P26" s="272" t="s">
        <v>432</v>
      </c>
      <c r="Q26" s="266"/>
      <c r="R26" s="266"/>
      <c r="S26" s="266"/>
      <c r="T26" s="266"/>
      <c r="U26" s="232"/>
    </row>
    <row r="27" spans="2:30" x14ac:dyDescent="0.25">
      <c r="B27" s="131" t="s">
        <v>424</v>
      </c>
      <c r="C27" s="3">
        <v>19.600000000000001</v>
      </c>
      <c r="D27" s="3" t="s">
        <v>29</v>
      </c>
      <c r="E27" s="272" t="s">
        <v>432</v>
      </c>
      <c r="F27" s="266"/>
      <c r="G27" s="266"/>
      <c r="H27" s="266"/>
      <c r="I27" s="266"/>
      <c r="J27" s="232"/>
      <c r="K27" s="50" t="s">
        <v>434</v>
      </c>
      <c r="M27" s="131" t="s">
        <v>424</v>
      </c>
      <c r="N27" s="3">
        <v>0.6</v>
      </c>
      <c r="O27" s="3" t="s">
        <v>29</v>
      </c>
      <c r="P27" s="272" t="s">
        <v>432</v>
      </c>
      <c r="Q27" s="266"/>
      <c r="R27" s="266"/>
      <c r="S27" s="266"/>
      <c r="T27" s="266"/>
      <c r="U27" s="232"/>
      <c r="V27" s="50" t="s">
        <v>441</v>
      </c>
    </row>
    <row r="28" spans="2:30" x14ac:dyDescent="0.25">
      <c r="B28" s="131" t="s">
        <v>425</v>
      </c>
      <c r="C28" s="3">
        <v>4.1000000000000002E-2</v>
      </c>
      <c r="D28" s="3" t="s">
        <v>29</v>
      </c>
      <c r="E28" s="272" t="s">
        <v>432</v>
      </c>
      <c r="F28" s="266"/>
      <c r="G28" s="266"/>
      <c r="H28" s="266"/>
      <c r="I28" s="266"/>
      <c r="J28" s="232"/>
      <c r="M28" s="131" t="s">
        <v>425</v>
      </c>
      <c r="N28" s="3">
        <v>1.5</v>
      </c>
      <c r="O28" s="3" t="s">
        <v>442</v>
      </c>
      <c r="P28" s="272" t="s">
        <v>432</v>
      </c>
      <c r="Q28" s="266"/>
      <c r="R28" s="266"/>
      <c r="S28" s="266"/>
      <c r="T28" s="266"/>
      <c r="U28" s="232"/>
      <c r="V28" s="6"/>
    </row>
    <row r="30" spans="2:30" x14ac:dyDescent="0.25">
      <c r="B30" s="270" t="s">
        <v>546</v>
      </c>
      <c r="C30" s="270"/>
      <c r="D30" s="270"/>
      <c r="E30" s="270"/>
      <c r="F30" s="270"/>
      <c r="G30" s="270"/>
      <c r="H30" s="270"/>
      <c r="M30" s="270" t="s">
        <v>547</v>
      </c>
      <c r="N30" s="270"/>
      <c r="O30" s="270"/>
      <c r="P30" s="270"/>
      <c r="Q30" s="270"/>
      <c r="R30" s="270"/>
      <c r="S30" s="270"/>
    </row>
    <row r="32" spans="2:30" x14ac:dyDescent="0.25">
      <c r="B32" s="40" t="s">
        <v>394</v>
      </c>
      <c r="C32" s="40" t="s">
        <v>392</v>
      </c>
      <c r="D32" s="40" t="s">
        <v>365</v>
      </c>
      <c r="E32" s="246" t="s">
        <v>393</v>
      </c>
      <c r="F32" s="246"/>
      <c r="G32" s="246"/>
      <c r="H32" s="246"/>
      <c r="I32" s="246"/>
      <c r="J32" s="246"/>
      <c r="M32" s="40" t="s">
        <v>394</v>
      </c>
      <c r="N32" s="40" t="s">
        <v>392</v>
      </c>
      <c r="O32" s="40" t="s">
        <v>365</v>
      </c>
      <c r="P32" s="246" t="s">
        <v>393</v>
      </c>
      <c r="Q32" s="246"/>
      <c r="R32" s="246"/>
      <c r="S32" s="246"/>
      <c r="T32" s="246"/>
      <c r="U32" s="246"/>
      <c r="V32" s="181"/>
    </row>
    <row r="33" spans="2:22" ht="18" x14ac:dyDescent="0.25">
      <c r="B33" s="144" t="s">
        <v>418</v>
      </c>
      <c r="C33" s="3">
        <v>0.05</v>
      </c>
      <c r="D33" s="3" t="s">
        <v>431</v>
      </c>
      <c r="E33" s="272" t="s">
        <v>430</v>
      </c>
      <c r="F33" s="266"/>
      <c r="G33" s="266"/>
      <c r="H33" s="266"/>
      <c r="I33" s="266"/>
      <c r="J33" s="232"/>
      <c r="M33" s="144" t="s">
        <v>548</v>
      </c>
      <c r="N33" s="3">
        <v>0.129</v>
      </c>
      <c r="O33" s="3" t="s">
        <v>431</v>
      </c>
      <c r="P33" s="231" t="s">
        <v>549</v>
      </c>
      <c r="Q33" s="266"/>
      <c r="R33" s="266"/>
      <c r="S33" s="266"/>
      <c r="T33" s="266"/>
      <c r="U33" s="232"/>
      <c r="V33" s="6"/>
    </row>
    <row r="34" spans="2:22" ht="18" x14ac:dyDescent="0.35">
      <c r="B34" s="149" t="s">
        <v>467</v>
      </c>
      <c r="C34" s="3">
        <v>0.04</v>
      </c>
      <c r="D34" s="3" t="s">
        <v>431</v>
      </c>
      <c r="E34" s="272" t="s">
        <v>430</v>
      </c>
      <c r="F34" s="266"/>
      <c r="G34" s="266"/>
      <c r="H34" s="266"/>
      <c r="I34" s="266"/>
      <c r="J34" s="232"/>
      <c r="M34" s="149" t="s">
        <v>38</v>
      </c>
      <c r="N34" s="3">
        <v>8.9999999999999998E-4</v>
      </c>
      <c r="O34" s="3" t="s">
        <v>431</v>
      </c>
      <c r="P34" s="231" t="s">
        <v>549</v>
      </c>
      <c r="Q34" s="266"/>
      <c r="R34" s="266"/>
      <c r="S34" s="266"/>
      <c r="T34" s="266"/>
      <c r="U34" s="232"/>
      <c r="V34" s="6"/>
    </row>
    <row r="36" spans="2:22" x14ac:dyDescent="0.25">
      <c r="B36" s="270" t="s">
        <v>537</v>
      </c>
      <c r="C36" s="270"/>
      <c r="D36" s="270"/>
      <c r="E36" s="270"/>
      <c r="F36" s="270"/>
      <c r="G36" s="270"/>
      <c r="H36" s="270"/>
      <c r="M36" s="270" t="s">
        <v>538</v>
      </c>
      <c r="N36" s="270"/>
      <c r="O36" s="270"/>
      <c r="P36" s="270"/>
      <c r="Q36" s="270"/>
      <c r="R36" s="270"/>
      <c r="S36" s="270"/>
    </row>
    <row r="38" spans="2:22" x14ac:dyDescent="0.25">
      <c r="B38" s="40" t="s">
        <v>443</v>
      </c>
      <c r="C38" s="40" t="s">
        <v>392</v>
      </c>
      <c r="D38" s="40" t="s">
        <v>365</v>
      </c>
      <c r="E38" s="246" t="s">
        <v>393</v>
      </c>
      <c r="F38" s="246"/>
      <c r="G38" s="246"/>
      <c r="H38" s="246"/>
      <c r="I38" s="246"/>
      <c r="J38" s="246"/>
      <c r="M38" s="40" t="s">
        <v>443</v>
      </c>
      <c r="N38" s="40" t="s">
        <v>392</v>
      </c>
      <c r="O38" s="40" t="s">
        <v>365</v>
      </c>
      <c r="P38" s="246" t="s">
        <v>393</v>
      </c>
      <c r="Q38" s="246"/>
      <c r="R38" s="246"/>
      <c r="S38" s="246"/>
      <c r="T38" s="246"/>
      <c r="U38" s="246"/>
      <c r="V38" s="181"/>
    </row>
    <row r="39" spans="2:22" ht="17.25" x14ac:dyDescent="0.25">
      <c r="B39" s="131" t="s">
        <v>362</v>
      </c>
      <c r="C39" s="19">
        <f>'Scenario 1'!N159</f>
        <v>3035.7220052360317</v>
      </c>
      <c r="D39" s="3" t="s">
        <v>465</v>
      </c>
      <c r="E39" s="275" t="s">
        <v>532</v>
      </c>
      <c r="F39" s="276"/>
      <c r="G39" s="276"/>
      <c r="H39" s="276"/>
      <c r="I39" s="276"/>
      <c r="J39" s="277"/>
      <c r="K39" s="50" t="s">
        <v>447</v>
      </c>
      <c r="M39" s="131" t="s">
        <v>363</v>
      </c>
      <c r="N39" s="19">
        <f>'Scenario 1'!K20</f>
        <v>95.603578767123139</v>
      </c>
      <c r="O39" s="3" t="s">
        <v>33</v>
      </c>
      <c r="P39" s="275" t="s">
        <v>534</v>
      </c>
      <c r="Q39" s="276"/>
      <c r="R39" s="276"/>
      <c r="S39" s="276"/>
      <c r="T39" s="276"/>
      <c r="U39" s="277"/>
      <c r="V39" s="182"/>
    </row>
    <row r="40" spans="2:22" x14ac:dyDescent="0.25">
      <c r="B40" s="131" t="s">
        <v>444</v>
      </c>
      <c r="C40" s="184">
        <v>100</v>
      </c>
      <c r="D40" s="3" t="s">
        <v>445</v>
      </c>
      <c r="E40" s="272" t="s">
        <v>446</v>
      </c>
      <c r="F40" s="266"/>
      <c r="G40" s="266"/>
      <c r="H40" s="266"/>
      <c r="I40" s="266"/>
      <c r="J40" s="232"/>
      <c r="K40" s="50" t="s">
        <v>447</v>
      </c>
      <c r="M40" s="279" t="s">
        <v>533</v>
      </c>
      <c r="N40" s="11">
        <v>10</v>
      </c>
      <c r="O40" s="11" t="s">
        <v>145</v>
      </c>
      <c r="P40" s="286" t="s">
        <v>447</v>
      </c>
      <c r="Q40" s="286"/>
      <c r="R40" s="286"/>
      <c r="S40" s="286"/>
      <c r="T40" s="286"/>
      <c r="U40" s="286"/>
      <c r="V40" s="183"/>
    </row>
    <row r="41" spans="2:22" x14ac:dyDescent="0.25">
      <c r="B41" s="289" t="s">
        <v>448</v>
      </c>
      <c r="C41" s="3">
        <v>0.18</v>
      </c>
      <c r="D41" s="3" t="s">
        <v>449</v>
      </c>
      <c r="E41" s="280" t="s">
        <v>450</v>
      </c>
      <c r="F41" s="281"/>
      <c r="G41" s="281"/>
      <c r="H41" s="281"/>
      <c r="I41" s="281"/>
      <c r="J41" s="282"/>
      <c r="K41" s="50" t="s">
        <v>447</v>
      </c>
      <c r="M41" s="279"/>
      <c r="N41" s="15">
        <f>(N39*1000)/(N40*1000)</f>
        <v>9.5603578767123132</v>
      </c>
      <c r="O41" s="11" t="s">
        <v>535</v>
      </c>
      <c r="P41" s="286"/>
      <c r="Q41" s="286"/>
      <c r="R41" s="286"/>
      <c r="S41" s="286"/>
      <c r="T41" s="286"/>
      <c r="U41" s="286"/>
      <c r="V41" s="183"/>
    </row>
    <row r="42" spans="2:22" x14ac:dyDescent="0.25">
      <c r="B42" s="290"/>
      <c r="C42" s="3">
        <f>(C41*850)/1000</f>
        <v>0.153</v>
      </c>
      <c r="D42" s="3" t="s">
        <v>462</v>
      </c>
      <c r="E42" s="283"/>
      <c r="F42" s="284"/>
      <c r="G42" s="284"/>
      <c r="H42" s="284"/>
      <c r="I42" s="284"/>
      <c r="J42" s="285"/>
      <c r="K42" s="50"/>
      <c r="M42" s="131" t="s">
        <v>355</v>
      </c>
      <c r="N42" s="19">
        <f>(N40*N41)*C40</f>
        <v>9560.3578767123145</v>
      </c>
      <c r="O42" s="3" t="s">
        <v>536</v>
      </c>
      <c r="P42" s="275" t="s">
        <v>534</v>
      </c>
      <c r="Q42" s="276"/>
      <c r="R42" s="276"/>
      <c r="S42" s="276"/>
      <c r="T42" s="276"/>
      <c r="U42" s="277"/>
      <c r="V42" s="182"/>
    </row>
    <row r="43" spans="2:22" x14ac:dyDescent="0.25">
      <c r="B43" s="279" t="s">
        <v>212</v>
      </c>
      <c r="C43" s="3">
        <v>42.8</v>
      </c>
      <c r="D43" s="3" t="s">
        <v>460</v>
      </c>
      <c r="E43" s="280" t="s">
        <v>461</v>
      </c>
      <c r="F43" s="281"/>
      <c r="G43" s="281"/>
      <c r="H43" s="281"/>
      <c r="I43" s="281"/>
      <c r="J43" s="282"/>
      <c r="K43" s="50"/>
    </row>
    <row r="44" spans="2:22" x14ac:dyDescent="0.25">
      <c r="B44" s="279"/>
      <c r="C44" s="3">
        <f>C42*C43</f>
        <v>6.5483999999999991</v>
      </c>
      <c r="D44" s="3" t="s">
        <v>464</v>
      </c>
      <c r="E44" s="283"/>
      <c r="F44" s="284"/>
      <c r="G44" s="284"/>
      <c r="H44" s="284"/>
      <c r="I44" s="284"/>
      <c r="J44" s="285"/>
      <c r="K44" s="50"/>
      <c r="M44" s="270" t="s">
        <v>539</v>
      </c>
      <c r="N44" s="270"/>
      <c r="O44" s="270"/>
      <c r="P44" s="270"/>
      <c r="Q44" s="270"/>
      <c r="R44" s="270"/>
      <c r="S44" s="270"/>
    </row>
    <row r="45" spans="2:22" x14ac:dyDescent="0.25">
      <c r="B45" s="6"/>
      <c r="D45" s="6"/>
      <c r="E45" s="158"/>
      <c r="F45" s="158"/>
      <c r="G45" s="158"/>
      <c r="H45" s="158"/>
      <c r="I45" s="158"/>
      <c r="J45" s="158"/>
      <c r="K45" s="50"/>
    </row>
    <row r="46" spans="2:22" x14ac:dyDescent="0.25">
      <c r="B46" s="40" t="s">
        <v>443</v>
      </c>
      <c r="C46" s="40" t="s">
        <v>392</v>
      </c>
      <c r="D46" s="40" t="s">
        <v>365</v>
      </c>
      <c r="E46" s="246" t="s">
        <v>393</v>
      </c>
      <c r="F46" s="246"/>
      <c r="G46" s="246"/>
      <c r="H46" s="246"/>
      <c r="I46" s="246"/>
      <c r="J46" s="246"/>
      <c r="K46" s="50"/>
      <c r="M46" s="40" t="s">
        <v>443</v>
      </c>
      <c r="N46" s="40" t="s">
        <v>392</v>
      </c>
      <c r="O46" s="40" t="s">
        <v>365</v>
      </c>
      <c r="P46" s="246" t="s">
        <v>393</v>
      </c>
      <c r="Q46" s="246"/>
      <c r="R46" s="246"/>
      <c r="S46" s="246"/>
      <c r="T46" s="246"/>
      <c r="U46" s="246"/>
      <c r="V46" s="181"/>
    </row>
    <row r="47" spans="2:22" ht="17.25" x14ac:dyDescent="0.25">
      <c r="B47" s="131" t="s">
        <v>362</v>
      </c>
      <c r="C47" s="19">
        <f>C39/1000</f>
        <v>3.0357220052360319</v>
      </c>
      <c r="D47" s="3" t="s">
        <v>52</v>
      </c>
      <c r="E47" s="275" t="s">
        <v>651</v>
      </c>
      <c r="F47" s="276"/>
      <c r="G47" s="276"/>
      <c r="H47" s="276"/>
      <c r="I47" s="276"/>
      <c r="J47" s="277"/>
      <c r="K47" s="50"/>
      <c r="M47" s="131" t="s">
        <v>381</v>
      </c>
      <c r="N47" s="19">
        <f>'Scenario 1'!D20</f>
        <v>37.7693150684931</v>
      </c>
      <c r="O47" s="3" t="s">
        <v>33</v>
      </c>
      <c r="P47" s="275" t="s">
        <v>534</v>
      </c>
      <c r="Q47" s="276"/>
      <c r="R47" s="276"/>
      <c r="S47" s="276"/>
      <c r="T47" s="276"/>
      <c r="U47" s="277"/>
      <c r="V47" s="182"/>
    </row>
    <row r="48" spans="2:22" x14ac:dyDescent="0.25">
      <c r="B48" s="279" t="s">
        <v>533</v>
      </c>
      <c r="C48" s="11">
        <v>10</v>
      </c>
      <c r="D48" s="11" t="s">
        <v>145</v>
      </c>
      <c r="E48" s="286" t="s">
        <v>447</v>
      </c>
      <c r="F48" s="286"/>
      <c r="G48" s="286"/>
      <c r="H48" s="286"/>
      <c r="I48" s="286"/>
      <c r="J48" s="286"/>
      <c r="K48" s="50"/>
      <c r="M48" s="279" t="s">
        <v>533</v>
      </c>
      <c r="N48" s="11">
        <v>10</v>
      </c>
      <c r="O48" s="11" t="s">
        <v>145</v>
      </c>
      <c r="P48" s="286" t="s">
        <v>447</v>
      </c>
      <c r="Q48" s="286"/>
      <c r="R48" s="286"/>
      <c r="S48" s="286"/>
      <c r="T48" s="286"/>
      <c r="U48" s="286"/>
      <c r="V48" s="183"/>
    </row>
    <row r="49" spans="2:22" x14ac:dyDescent="0.25">
      <c r="B49" s="279"/>
      <c r="C49" s="15">
        <f>(C47*1000)/(C48*1000)</f>
        <v>0.30357220052360318</v>
      </c>
      <c r="D49" s="11" t="s">
        <v>535</v>
      </c>
      <c r="E49" s="286"/>
      <c r="F49" s="286"/>
      <c r="G49" s="286"/>
      <c r="H49" s="286"/>
      <c r="I49" s="286"/>
      <c r="J49" s="286"/>
      <c r="K49" s="50"/>
      <c r="M49" s="279"/>
      <c r="N49" s="15">
        <f>(N47*1000)/(N48*1000)</f>
        <v>3.7769315068493103</v>
      </c>
      <c r="O49" s="11" t="s">
        <v>535</v>
      </c>
      <c r="P49" s="286"/>
      <c r="Q49" s="286"/>
      <c r="R49" s="286"/>
      <c r="S49" s="286"/>
      <c r="T49" s="286"/>
      <c r="U49" s="286"/>
      <c r="V49" s="183"/>
    </row>
    <row r="50" spans="2:22" x14ac:dyDescent="0.25">
      <c r="B50" s="131" t="s">
        <v>355</v>
      </c>
      <c r="C50" s="19">
        <f>(C48*C49)*C40</f>
        <v>303.57220052360321</v>
      </c>
      <c r="D50" s="3" t="s">
        <v>536</v>
      </c>
      <c r="E50" s="275" t="s">
        <v>534</v>
      </c>
      <c r="F50" s="276"/>
      <c r="G50" s="276"/>
      <c r="H50" s="276"/>
      <c r="I50" s="276"/>
      <c r="J50" s="277"/>
      <c r="K50" s="50"/>
      <c r="M50" s="131" t="s">
        <v>355</v>
      </c>
      <c r="N50" s="19">
        <f>(N48*N49)*15</f>
        <v>566.53972602739645</v>
      </c>
      <c r="O50" s="3" t="s">
        <v>536</v>
      </c>
      <c r="P50" s="275" t="s">
        <v>534</v>
      </c>
      <c r="Q50" s="276"/>
      <c r="R50" s="276"/>
      <c r="S50" s="276"/>
      <c r="T50" s="276"/>
      <c r="U50" s="277"/>
      <c r="V50" s="182"/>
    </row>
    <row r="52" spans="2:22" x14ac:dyDescent="0.25">
      <c r="B52" s="270" t="s">
        <v>540</v>
      </c>
      <c r="C52" s="270"/>
      <c r="D52" s="270"/>
      <c r="E52" s="270"/>
      <c r="F52" s="270"/>
      <c r="G52" s="270"/>
      <c r="H52" s="270"/>
    </row>
    <row r="54" spans="2:22" x14ac:dyDescent="0.25">
      <c r="B54" s="40" t="s">
        <v>341</v>
      </c>
      <c r="C54" s="40" t="s">
        <v>392</v>
      </c>
      <c r="D54" s="40" t="s">
        <v>365</v>
      </c>
      <c r="E54" s="246" t="s">
        <v>393</v>
      </c>
      <c r="F54" s="246"/>
      <c r="G54" s="246"/>
      <c r="H54" s="246"/>
      <c r="I54" s="246"/>
      <c r="J54" s="246"/>
    </row>
    <row r="55" spans="2:22" ht="17.25" x14ac:dyDescent="0.25">
      <c r="B55" s="157" t="s">
        <v>399</v>
      </c>
      <c r="C55" s="15">
        <f>'Scenario 1'!E204</f>
        <v>3.74</v>
      </c>
      <c r="D55" s="11" t="s">
        <v>52</v>
      </c>
      <c r="E55" s="267" t="s">
        <v>405</v>
      </c>
      <c r="F55" s="268"/>
      <c r="G55" s="268"/>
      <c r="H55" s="268"/>
      <c r="I55" s="268"/>
      <c r="J55" s="269"/>
    </row>
    <row r="56" spans="2:22" x14ac:dyDescent="0.25">
      <c r="B56" s="157" t="s">
        <v>551</v>
      </c>
      <c r="C56" s="15">
        <f>'Scenario 1'!F204</f>
        <v>2.2050000000000001</v>
      </c>
      <c r="D56" s="11" t="s">
        <v>89</v>
      </c>
      <c r="E56" s="267" t="s">
        <v>405</v>
      </c>
      <c r="F56" s="268"/>
      <c r="G56" s="268"/>
      <c r="H56" s="268"/>
      <c r="I56" s="268"/>
      <c r="J56" s="269"/>
    </row>
    <row r="57" spans="2:22" x14ac:dyDescent="0.25">
      <c r="B57" s="157" t="s">
        <v>552</v>
      </c>
      <c r="C57" s="15">
        <f>'Scenario 1'!G204</f>
        <v>1.47</v>
      </c>
      <c r="D57" s="11" t="s">
        <v>89</v>
      </c>
      <c r="E57" s="267" t="s">
        <v>405</v>
      </c>
      <c r="F57" s="268"/>
      <c r="G57" s="268"/>
      <c r="H57" s="268"/>
      <c r="I57" s="268"/>
      <c r="J57" s="269"/>
    </row>
    <row r="58" spans="2:22" ht="17.25" x14ac:dyDescent="0.25">
      <c r="B58" s="157" t="s">
        <v>49</v>
      </c>
      <c r="C58" s="15">
        <f>'Scenario 1'!W58</f>
        <v>10.183001347713276</v>
      </c>
      <c r="D58" s="11" t="s">
        <v>50</v>
      </c>
      <c r="E58" s="267" t="s">
        <v>41</v>
      </c>
      <c r="F58" s="268"/>
      <c r="G58" s="268"/>
      <c r="H58" s="268"/>
      <c r="I58" s="268"/>
      <c r="J58" s="269"/>
    </row>
    <row r="59" spans="2:22" x14ac:dyDescent="0.25">
      <c r="B59" s="157" t="s">
        <v>400</v>
      </c>
      <c r="C59" s="164">
        <v>10</v>
      </c>
      <c r="D59" s="11" t="s">
        <v>401</v>
      </c>
      <c r="E59" s="267" t="s">
        <v>553</v>
      </c>
      <c r="F59" s="268"/>
      <c r="G59" s="268"/>
      <c r="H59" s="268"/>
      <c r="I59" s="268"/>
      <c r="J59" s="269"/>
    </row>
    <row r="60" spans="2:22" ht="17.25" x14ac:dyDescent="0.25">
      <c r="B60" s="157" t="s">
        <v>550</v>
      </c>
      <c r="C60" s="11">
        <v>50</v>
      </c>
      <c r="D60" s="11" t="s">
        <v>526</v>
      </c>
      <c r="E60" s="267" t="s">
        <v>549</v>
      </c>
      <c r="F60" s="268"/>
      <c r="G60" s="268"/>
      <c r="H60" s="268"/>
      <c r="I60" s="268"/>
      <c r="J60" s="269"/>
    </row>
    <row r="62" spans="2:22" x14ac:dyDescent="0.25">
      <c r="B62" s="40" t="s">
        <v>404</v>
      </c>
      <c r="C62" s="40" t="s">
        <v>392</v>
      </c>
      <c r="D62" s="40" t="s">
        <v>365</v>
      </c>
      <c r="E62" s="246" t="s">
        <v>393</v>
      </c>
      <c r="F62" s="246"/>
      <c r="G62" s="246"/>
      <c r="H62" s="246"/>
      <c r="I62" s="246"/>
      <c r="J62" s="246"/>
    </row>
    <row r="63" spans="2:22" x14ac:dyDescent="0.25">
      <c r="B63" s="279" t="s">
        <v>554</v>
      </c>
      <c r="C63" s="15">
        <f>C58*C60</f>
        <v>509.15006738566382</v>
      </c>
      <c r="D63" s="11" t="s">
        <v>353</v>
      </c>
      <c r="E63" s="288" t="s">
        <v>41</v>
      </c>
      <c r="F63" s="288"/>
      <c r="G63" s="288"/>
      <c r="H63" s="288"/>
      <c r="I63" s="288"/>
      <c r="J63" s="288"/>
    </row>
    <row r="64" spans="2:22" x14ac:dyDescent="0.25">
      <c r="B64" s="279"/>
      <c r="C64" s="146">
        <f>C63/C59</f>
        <v>50.915006738566383</v>
      </c>
      <c r="D64" s="11" t="s">
        <v>543</v>
      </c>
      <c r="E64" s="288" t="s">
        <v>544</v>
      </c>
      <c r="F64" s="288"/>
      <c r="G64" s="288"/>
      <c r="H64" s="288"/>
      <c r="I64" s="288"/>
      <c r="J64" s="288"/>
    </row>
    <row r="66" spans="2:10" x14ac:dyDescent="0.25">
      <c r="B66" s="270" t="s">
        <v>541</v>
      </c>
      <c r="C66" s="270"/>
      <c r="D66" s="270"/>
      <c r="E66" s="270"/>
      <c r="F66" s="270"/>
      <c r="G66" s="270"/>
      <c r="H66" s="270"/>
    </row>
    <row r="68" spans="2:10" x14ac:dyDescent="0.25">
      <c r="B68" s="40" t="s">
        <v>341</v>
      </c>
      <c r="C68" s="40" t="s">
        <v>392</v>
      </c>
      <c r="D68" s="40" t="s">
        <v>365</v>
      </c>
      <c r="E68" s="246" t="s">
        <v>393</v>
      </c>
      <c r="F68" s="246"/>
      <c r="G68" s="246"/>
      <c r="H68" s="246"/>
      <c r="I68" s="246"/>
      <c r="J68" s="246"/>
    </row>
    <row r="69" spans="2:10" ht="17.25" x14ac:dyDescent="0.25">
      <c r="B69" s="131" t="s">
        <v>399</v>
      </c>
      <c r="C69" s="19">
        <f>'Scenario 1'!E208</f>
        <v>22.89</v>
      </c>
      <c r="D69" s="3" t="s">
        <v>52</v>
      </c>
      <c r="E69" s="231" t="s">
        <v>405</v>
      </c>
      <c r="F69" s="266"/>
      <c r="G69" s="266"/>
      <c r="H69" s="266"/>
      <c r="I69" s="266"/>
      <c r="J69" s="232"/>
    </row>
    <row r="70" spans="2:10" x14ac:dyDescent="0.25">
      <c r="B70" s="131" t="s">
        <v>551</v>
      </c>
      <c r="C70" s="19">
        <f>'Scenario 1'!F208</f>
        <v>4.0330000000000004</v>
      </c>
      <c r="D70" s="3" t="s">
        <v>89</v>
      </c>
      <c r="E70" s="231" t="s">
        <v>405</v>
      </c>
      <c r="F70" s="266"/>
      <c r="G70" s="266"/>
      <c r="H70" s="266"/>
      <c r="I70" s="266"/>
      <c r="J70" s="232"/>
    </row>
    <row r="71" spans="2:10" x14ac:dyDescent="0.25">
      <c r="B71" s="131" t="s">
        <v>552</v>
      </c>
      <c r="C71" s="19">
        <f>'Scenario 1'!G208</f>
        <v>2.6880000000000002</v>
      </c>
      <c r="D71" s="3" t="s">
        <v>89</v>
      </c>
      <c r="E71" s="231" t="s">
        <v>405</v>
      </c>
      <c r="F71" s="266"/>
      <c r="G71" s="266"/>
      <c r="H71" s="266"/>
      <c r="I71" s="266"/>
      <c r="J71" s="232"/>
    </row>
    <row r="72" spans="2:10" ht="17.25" x14ac:dyDescent="0.25">
      <c r="B72" s="131" t="s">
        <v>49</v>
      </c>
      <c r="C72" s="19">
        <f>'Scenario 1'!I208</f>
        <v>34.057076046141489</v>
      </c>
      <c r="D72" s="3" t="s">
        <v>50</v>
      </c>
      <c r="E72" s="231" t="s">
        <v>41</v>
      </c>
      <c r="F72" s="266"/>
      <c r="G72" s="266"/>
      <c r="H72" s="266"/>
      <c r="I72" s="266"/>
      <c r="J72" s="232"/>
    </row>
    <row r="73" spans="2:10" x14ac:dyDescent="0.25">
      <c r="B73" s="131" t="s">
        <v>400</v>
      </c>
      <c r="C73" s="163">
        <v>10</v>
      </c>
      <c r="D73" s="3" t="s">
        <v>401</v>
      </c>
      <c r="E73" s="231" t="s">
        <v>553</v>
      </c>
      <c r="F73" s="266"/>
      <c r="G73" s="266"/>
      <c r="H73" s="266"/>
      <c r="I73" s="266"/>
      <c r="J73" s="232"/>
    </row>
    <row r="74" spans="2:10" ht="17.25" x14ac:dyDescent="0.25">
      <c r="B74" s="131" t="s">
        <v>550</v>
      </c>
      <c r="C74" s="3">
        <v>50</v>
      </c>
      <c r="D74" s="3" t="s">
        <v>526</v>
      </c>
      <c r="E74" s="231" t="s">
        <v>549</v>
      </c>
      <c r="F74" s="266"/>
      <c r="G74" s="266"/>
      <c r="H74" s="266"/>
      <c r="I74" s="266"/>
      <c r="J74" s="232"/>
    </row>
    <row r="76" spans="2:10" x14ac:dyDescent="0.25">
      <c r="B76" s="40" t="s">
        <v>404</v>
      </c>
      <c r="C76" s="40" t="s">
        <v>392</v>
      </c>
      <c r="D76" s="40" t="s">
        <v>365</v>
      </c>
      <c r="E76" s="246" t="s">
        <v>393</v>
      </c>
      <c r="F76" s="246"/>
      <c r="G76" s="246"/>
      <c r="H76" s="246"/>
      <c r="I76" s="246"/>
      <c r="J76" s="246"/>
    </row>
    <row r="77" spans="2:10" x14ac:dyDescent="0.25">
      <c r="B77" s="279" t="s">
        <v>554</v>
      </c>
      <c r="C77" s="15">
        <f>C72*C74</f>
        <v>1702.8538023070744</v>
      </c>
      <c r="D77" s="11" t="s">
        <v>353</v>
      </c>
      <c r="E77" s="288" t="s">
        <v>41</v>
      </c>
      <c r="F77" s="288"/>
      <c r="G77" s="288"/>
      <c r="H77" s="288"/>
      <c r="I77" s="288"/>
      <c r="J77" s="288"/>
    </row>
    <row r="78" spans="2:10" x14ac:dyDescent="0.25">
      <c r="B78" s="279"/>
      <c r="C78" s="146">
        <f>C77/C73</f>
        <v>170.28538023070743</v>
      </c>
      <c r="D78" s="11" t="s">
        <v>543</v>
      </c>
      <c r="E78" s="288" t="s">
        <v>544</v>
      </c>
      <c r="F78" s="288"/>
      <c r="G78" s="288"/>
      <c r="H78" s="288"/>
      <c r="I78" s="288"/>
      <c r="J78" s="288"/>
    </row>
    <row r="81" spans="2:20" ht="18" x14ac:dyDescent="0.35">
      <c r="B81" s="270" t="s">
        <v>601</v>
      </c>
      <c r="C81" s="270"/>
      <c r="D81" s="270"/>
      <c r="E81" s="270"/>
      <c r="F81" s="270"/>
      <c r="G81" s="270"/>
      <c r="H81" s="270"/>
      <c r="I81" s="1"/>
    </row>
    <row r="83" spans="2:20" ht="18" x14ac:dyDescent="0.35">
      <c r="B83" s="40" t="s">
        <v>394</v>
      </c>
      <c r="C83" s="40" t="s">
        <v>392</v>
      </c>
      <c r="D83" s="40" t="s">
        <v>365</v>
      </c>
      <c r="E83" s="246" t="s">
        <v>393</v>
      </c>
      <c r="F83" s="246"/>
      <c r="G83" s="246"/>
      <c r="H83" s="246"/>
      <c r="I83" s="246"/>
      <c r="J83" s="246"/>
      <c r="Q83" s="40" t="s">
        <v>616</v>
      </c>
      <c r="R83" s="40" t="s">
        <v>392</v>
      </c>
      <c r="S83" s="40" t="s">
        <v>365</v>
      </c>
    </row>
    <row r="84" spans="2:20" x14ac:dyDescent="0.25">
      <c r="B84" s="131" t="s">
        <v>32</v>
      </c>
      <c r="C84" s="122">
        <f>L101/C85</f>
        <v>1.0753826366559487</v>
      </c>
      <c r="D84" s="3" t="s">
        <v>125</v>
      </c>
      <c r="E84" s="231" t="s">
        <v>608</v>
      </c>
      <c r="F84" s="266"/>
      <c r="G84" s="266"/>
      <c r="H84" s="266"/>
      <c r="I84" s="266"/>
      <c r="J84" s="232"/>
      <c r="Q84" s="131" t="s">
        <v>572</v>
      </c>
      <c r="R84" s="150">
        <f>C86/$L$99</f>
        <v>0.10330578512396695</v>
      </c>
      <c r="S84" s="3" t="s">
        <v>187</v>
      </c>
    </row>
    <row r="85" spans="2:20" ht="18" x14ac:dyDescent="0.35">
      <c r="B85" s="149" t="s">
        <v>163</v>
      </c>
      <c r="C85" s="3">
        <v>93.3</v>
      </c>
      <c r="D85" s="3" t="s">
        <v>125</v>
      </c>
      <c r="E85" s="231" t="s">
        <v>605</v>
      </c>
      <c r="F85" s="266"/>
      <c r="G85" s="266"/>
      <c r="H85" s="266"/>
      <c r="I85" s="266"/>
      <c r="J85" s="232"/>
      <c r="Q85" s="131" t="s">
        <v>602</v>
      </c>
      <c r="R85" s="150">
        <f t="shared" ref="R85:R87" si="0">C87/$L$99</f>
        <v>4.2998575996365735</v>
      </c>
      <c r="S85" s="3" t="s">
        <v>187</v>
      </c>
    </row>
    <row r="86" spans="2:20" ht="18" x14ac:dyDescent="0.35">
      <c r="B86" s="131" t="s">
        <v>572</v>
      </c>
      <c r="C86" s="3">
        <v>9.4600000000000009</v>
      </c>
      <c r="D86" s="3" t="s">
        <v>187</v>
      </c>
      <c r="E86" s="231" t="s">
        <v>605</v>
      </c>
      <c r="F86" s="266"/>
      <c r="G86" s="266"/>
      <c r="H86" s="266"/>
      <c r="I86" s="266"/>
      <c r="J86" s="232"/>
      <c r="Q86" s="149" t="s">
        <v>528</v>
      </c>
      <c r="R86" s="150">
        <f t="shared" si="0"/>
        <v>7.4803871892090232E-3</v>
      </c>
      <c r="S86" s="3" t="s">
        <v>125</v>
      </c>
    </row>
    <row r="87" spans="2:20" x14ac:dyDescent="0.25">
      <c r="B87" s="131" t="s">
        <v>602</v>
      </c>
      <c r="C87" s="3">
        <v>393.75</v>
      </c>
      <c r="D87" s="3" t="s">
        <v>187</v>
      </c>
      <c r="E87" s="231" t="s">
        <v>605</v>
      </c>
      <c r="F87" s="266"/>
      <c r="G87" s="266"/>
      <c r="H87" s="266"/>
      <c r="I87" s="266"/>
      <c r="J87" s="232"/>
      <c r="Q87" s="131" t="s">
        <v>603</v>
      </c>
      <c r="R87" s="150">
        <f t="shared" si="0"/>
        <v>1.6380409903377422</v>
      </c>
      <c r="S87" s="3" t="s">
        <v>125</v>
      </c>
    </row>
    <row r="88" spans="2:20" ht="18" x14ac:dyDescent="0.35">
      <c r="B88" s="149" t="s">
        <v>604</v>
      </c>
      <c r="C88" s="3">
        <v>0.68500000000000005</v>
      </c>
      <c r="D88" s="3" t="s">
        <v>125</v>
      </c>
      <c r="E88" s="231" t="s">
        <v>605</v>
      </c>
      <c r="F88" s="266"/>
      <c r="G88" s="266"/>
      <c r="H88" s="266"/>
      <c r="I88" s="266"/>
      <c r="J88" s="232"/>
      <c r="Q88" s="149" t="s">
        <v>163</v>
      </c>
      <c r="R88" s="150">
        <f>L94/L99</f>
        <v>1.0337608085895102</v>
      </c>
      <c r="S88" s="3" t="s">
        <v>125</v>
      </c>
    </row>
    <row r="89" spans="2:20" ht="18" x14ac:dyDescent="0.35">
      <c r="B89" s="131" t="s">
        <v>603</v>
      </c>
      <c r="C89" s="3">
        <v>150</v>
      </c>
      <c r="D89" s="3" t="s">
        <v>125</v>
      </c>
      <c r="E89" s="231" t="s">
        <v>605</v>
      </c>
      <c r="F89" s="266"/>
      <c r="G89" s="266"/>
      <c r="H89" s="266"/>
      <c r="I89" s="266"/>
      <c r="J89" s="232"/>
      <c r="Q89" s="40" t="s">
        <v>617</v>
      </c>
      <c r="R89" s="40" t="s">
        <v>392</v>
      </c>
      <c r="S89" s="40" t="s">
        <v>365</v>
      </c>
      <c r="T89" s="40" t="s">
        <v>618</v>
      </c>
    </row>
    <row r="90" spans="2:20" ht="18" x14ac:dyDescent="0.35">
      <c r="Q90" s="149" t="s">
        <v>163</v>
      </c>
      <c r="R90" s="150">
        <f>L99/L99</f>
        <v>1</v>
      </c>
      <c r="S90" s="3" t="s">
        <v>125</v>
      </c>
      <c r="T90" s="65">
        <v>0</v>
      </c>
    </row>
    <row r="91" spans="2:20" x14ac:dyDescent="0.25">
      <c r="B91" s="40" t="s">
        <v>606</v>
      </c>
      <c r="C91" s="40" t="s">
        <v>392</v>
      </c>
      <c r="D91" s="40" t="s">
        <v>365</v>
      </c>
      <c r="E91" s="246" t="s">
        <v>393</v>
      </c>
      <c r="F91" s="246"/>
      <c r="G91" s="246"/>
      <c r="H91" s="246"/>
      <c r="I91" s="246"/>
      <c r="J91" s="246"/>
      <c r="Q91" s="149" t="s">
        <v>32</v>
      </c>
      <c r="R91" s="150">
        <f>L101/L99</f>
        <v>1.0956659619450317</v>
      </c>
      <c r="S91" s="3" t="s">
        <v>125</v>
      </c>
      <c r="T91" s="65">
        <v>1</v>
      </c>
    </row>
    <row r="92" spans="2:20" ht="18" x14ac:dyDescent="0.35">
      <c r="B92" s="131" t="s">
        <v>32</v>
      </c>
      <c r="C92" s="3">
        <v>500</v>
      </c>
      <c r="D92" s="3" t="s">
        <v>125</v>
      </c>
      <c r="E92" s="231" t="s">
        <v>608</v>
      </c>
      <c r="F92" s="266"/>
      <c r="G92" s="266"/>
      <c r="H92" s="266"/>
      <c r="I92" s="266"/>
      <c r="J92" s="232"/>
      <c r="K92" s="177" t="s">
        <v>615</v>
      </c>
      <c r="L92" s="177" t="s">
        <v>125</v>
      </c>
      <c r="M92" s="177" t="s">
        <v>609</v>
      </c>
    </row>
    <row r="93" spans="2:20" ht="18" x14ac:dyDescent="0.35">
      <c r="B93" s="149" t="s">
        <v>604</v>
      </c>
      <c r="C93" s="3">
        <v>9.5000000000000001E-2</v>
      </c>
      <c r="D93" s="3" t="s">
        <v>607</v>
      </c>
      <c r="E93" s="231" t="s">
        <v>614</v>
      </c>
      <c r="F93" s="266"/>
      <c r="G93" s="266"/>
      <c r="H93" s="266"/>
      <c r="I93" s="266"/>
      <c r="J93" s="232"/>
      <c r="K93" s="175">
        <f>(C93*18)/((C93*18)+(C94*44)+(C95*28))</f>
        <v>5.8864027538726334E-2</v>
      </c>
      <c r="L93" s="175">
        <f>K93*$C$92</f>
        <v>29.432013769363166</v>
      </c>
      <c r="M93" s="175">
        <f>L93/18</f>
        <v>1.6351118760757315</v>
      </c>
    </row>
    <row r="94" spans="2:20" ht="18" x14ac:dyDescent="0.35">
      <c r="B94" s="149" t="s">
        <v>163</v>
      </c>
      <c r="C94" s="3">
        <v>0.125</v>
      </c>
      <c r="D94" s="3" t="s">
        <v>607</v>
      </c>
      <c r="E94" s="231" t="s">
        <v>614</v>
      </c>
      <c r="F94" s="266"/>
      <c r="G94" s="266"/>
      <c r="H94" s="266"/>
      <c r="I94" s="266"/>
      <c r="J94" s="232"/>
      <c r="K94" s="175">
        <f>(C94*44)/((C93*18)+(C94*44)+(C95*28))</f>
        <v>0.18932874354561102</v>
      </c>
      <c r="L94" s="178">
        <f t="shared" ref="L94:L95" si="1">K94*$C$92</f>
        <v>94.664371772805509</v>
      </c>
      <c r="M94" s="175">
        <f>L94/44</f>
        <v>2.1514629948364887</v>
      </c>
    </row>
    <row r="95" spans="2:20" ht="18" x14ac:dyDescent="0.35">
      <c r="B95" s="149" t="s">
        <v>459</v>
      </c>
      <c r="C95" s="3">
        <v>0.78</v>
      </c>
      <c r="D95" s="3" t="s">
        <v>607</v>
      </c>
      <c r="E95" s="231" t="s">
        <v>614</v>
      </c>
      <c r="F95" s="266"/>
      <c r="G95" s="266"/>
      <c r="H95" s="266"/>
      <c r="I95" s="266"/>
      <c r="J95" s="232"/>
      <c r="K95" s="175">
        <f>(C95*28)/((C93*18)+(C94*44)+(C95*28))</f>
        <v>0.75180722891566265</v>
      </c>
      <c r="L95" s="175">
        <f t="shared" si="1"/>
        <v>375.90361445783134</v>
      </c>
      <c r="M95" s="175">
        <f>L95/28</f>
        <v>13.425129087779691</v>
      </c>
      <c r="O95" s="143"/>
    </row>
    <row r="96" spans="2:20" ht="18" x14ac:dyDescent="0.35">
      <c r="B96" s="40" t="s">
        <v>610</v>
      </c>
      <c r="C96" s="40" t="s">
        <v>392</v>
      </c>
      <c r="D96" s="40" t="s">
        <v>365</v>
      </c>
      <c r="E96" s="246" t="s">
        <v>393</v>
      </c>
      <c r="F96" s="246"/>
      <c r="G96" s="246"/>
      <c r="H96" s="246"/>
      <c r="I96" s="246"/>
      <c r="J96" s="246"/>
      <c r="M96" s="175">
        <f>M93+M94+M95</f>
        <v>17.211703958691913</v>
      </c>
    </row>
    <row r="97" spans="2:30" ht="18" x14ac:dyDescent="0.35">
      <c r="B97" s="131" t="s">
        <v>32</v>
      </c>
      <c r="C97" s="3">
        <v>2.42</v>
      </c>
      <c r="D97" s="3" t="s">
        <v>609</v>
      </c>
      <c r="E97" s="231" t="s">
        <v>608</v>
      </c>
      <c r="F97" s="266"/>
      <c r="G97" s="266"/>
      <c r="H97" s="266"/>
      <c r="I97" s="266"/>
      <c r="J97" s="232"/>
      <c r="K97" s="177" t="s">
        <v>615</v>
      </c>
      <c r="L97" s="177" t="s">
        <v>125</v>
      </c>
      <c r="M97" s="177" t="s">
        <v>609</v>
      </c>
    </row>
    <row r="98" spans="2:30" ht="18" x14ac:dyDescent="0.35">
      <c r="B98" s="149" t="s">
        <v>604</v>
      </c>
      <c r="C98" s="3">
        <v>0.17</v>
      </c>
      <c r="D98" s="3" t="s">
        <v>607</v>
      </c>
      <c r="E98" s="231" t="s">
        <v>608</v>
      </c>
      <c r="F98" s="266"/>
      <c r="G98" s="266"/>
      <c r="H98" s="266"/>
      <c r="I98" s="266"/>
      <c r="J98" s="232"/>
      <c r="K98" s="175">
        <f>L98/$L$101</f>
        <v>7.3806078147612156E-2</v>
      </c>
      <c r="L98" s="177">
        <f>M98*18</f>
        <v>7.4052000000000007</v>
      </c>
      <c r="M98" s="177">
        <f>$C$97*C98</f>
        <v>0.41140000000000004</v>
      </c>
    </row>
    <row r="99" spans="2:30" ht="18" x14ac:dyDescent="0.35">
      <c r="B99" s="149" t="s">
        <v>163</v>
      </c>
      <c r="C99" s="3">
        <v>0.86</v>
      </c>
      <c r="D99" s="3" t="s">
        <v>607</v>
      </c>
      <c r="E99" s="231" t="s">
        <v>608</v>
      </c>
      <c r="F99" s="266"/>
      <c r="G99" s="266"/>
      <c r="H99" s="266"/>
      <c r="I99" s="266"/>
      <c r="J99" s="232"/>
      <c r="K99" s="175">
        <f t="shared" ref="K99:K100" si="2">L99/$L$101</f>
        <v>0.91268692715870714</v>
      </c>
      <c r="L99" s="179">
        <f>M99*44</f>
        <v>91.572800000000001</v>
      </c>
      <c r="M99" s="177">
        <f>$C$97*C99</f>
        <v>2.0811999999999999</v>
      </c>
    </row>
    <row r="100" spans="2:30" ht="18" x14ac:dyDescent="0.35">
      <c r="B100" s="149" t="s">
        <v>459</v>
      </c>
      <c r="C100" s="3">
        <v>0.02</v>
      </c>
      <c r="D100" s="3" t="s">
        <v>607</v>
      </c>
      <c r="E100" s="231" t="s">
        <v>608</v>
      </c>
      <c r="F100" s="266"/>
      <c r="G100" s="266"/>
      <c r="H100" s="266"/>
      <c r="I100" s="266"/>
      <c r="J100" s="232"/>
      <c r="K100" s="175">
        <f t="shared" si="2"/>
        <v>1.3506994693680654E-2</v>
      </c>
      <c r="L100" s="177">
        <f>M100*28</f>
        <v>1.3552</v>
      </c>
      <c r="M100" s="177">
        <f>$C$97*C100</f>
        <v>4.8399999999999999E-2</v>
      </c>
    </row>
    <row r="101" spans="2:30" x14ac:dyDescent="0.25">
      <c r="K101" s="177"/>
      <c r="L101" s="177">
        <f>L98+L99+L100</f>
        <v>100.33320000000001</v>
      </c>
    </row>
    <row r="103" spans="2:30" ht="18" x14ac:dyDescent="0.35">
      <c r="B103" s="270" t="s">
        <v>691</v>
      </c>
      <c r="C103" s="270"/>
      <c r="D103" s="270"/>
      <c r="E103" s="270"/>
      <c r="F103" s="270"/>
      <c r="G103" s="270"/>
      <c r="H103" s="270"/>
      <c r="I103" s="151" t="s">
        <v>694</v>
      </c>
      <c r="L103" s="270" t="s">
        <v>666</v>
      </c>
      <c r="M103" s="270"/>
      <c r="N103" s="270"/>
      <c r="O103" s="270"/>
      <c r="P103" s="270"/>
      <c r="Q103" s="270"/>
      <c r="R103" s="270"/>
      <c r="S103" t="s">
        <v>695</v>
      </c>
    </row>
    <row r="104" spans="2:30" x14ac:dyDescent="0.25">
      <c r="V104" s="270" t="s">
        <v>663</v>
      </c>
      <c r="W104" s="270"/>
      <c r="X104" s="270"/>
      <c r="Y104" s="270"/>
      <c r="Z104" s="270"/>
      <c r="AA104" s="270"/>
      <c r="AB104" s="270"/>
      <c r="AC104" s="222" t="s">
        <v>696</v>
      </c>
    </row>
    <row r="105" spans="2:30" x14ac:dyDescent="0.25">
      <c r="B105" s="40" t="s">
        <v>394</v>
      </c>
      <c r="C105" s="40" t="s">
        <v>392</v>
      </c>
      <c r="D105" s="40" t="s">
        <v>365</v>
      </c>
      <c r="E105" s="246" t="s">
        <v>393</v>
      </c>
      <c r="F105" s="246"/>
      <c r="G105" s="246"/>
      <c r="H105" s="246"/>
      <c r="I105" s="246"/>
      <c r="J105" s="246"/>
      <c r="L105" s="40" t="s">
        <v>394</v>
      </c>
      <c r="M105" s="40" t="s">
        <v>392</v>
      </c>
      <c r="N105" s="40" t="s">
        <v>365</v>
      </c>
      <c r="O105" s="246" t="s">
        <v>393</v>
      </c>
      <c r="P105" s="246"/>
      <c r="Q105" s="246"/>
      <c r="R105" s="246"/>
      <c r="S105" s="246"/>
      <c r="T105" s="246"/>
    </row>
    <row r="106" spans="2:30" ht="18" x14ac:dyDescent="0.35">
      <c r="B106" s="149" t="s">
        <v>163</v>
      </c>
      <c r="C106" s="3">
        <v>1</v>
      </c>
      <c r="D106" s="3" t="s">
        <v>353</v>
      </c>
      <c r="E106" s="231" t="s">
        <v>626</v>
      </c>
      <c r="F106" s="266"/>
      <c r="G106" s="266"/>
      <c r="H106" s="266"/>
      <c r="I106" s="266"/>
      <c r="J106" s="232"/>
      <c r="L106" s="144" t="s">
        <v>163</v>
      </c>
      <c r="M106" s="11">
        <f>1360/1360</f>
        <v>1</v>
      </c>
      <c r="N106" s="11" t="s">
        <v>353</v>
      </c>
      <c r="O106" s="267" t="s">
        <v>664</v>
      </c>
      <c r="P106" s="268"/>
      <c r="Q106" s="268"/>
      <c r="R106" s="268"/>
      <c r="S106" s="268"/>
      <c r="T106" s="269"/>
      <c r="V106" s="40" t="s">
        <v>394</v>
      </c>
      <c r="W106" s="40" t="s">
        <v>392</v>
      </c>
      <c r="X106" s="40" t="s">
        <v>365</v>
      </c>
      <c r="Y106" s="246" t="s">
        <v>393</v>
      </c>
      <c r="Z106" s="246"/>
      <c r="AA106" s="246"/>
      <c r="AB106" s="246"/>
      <c r="AC106" s="246"/>
      <c r="AD106" s="246"/>
    </row>
    <row r="107" spans="2:30" ht="18" x14ac:dyDescent="0.25">
      <c r="B107" s="131" t="s">
        <v>623</v>
      </c>
      <c r="C107" s="220">
        <v>4.6899999999999998E-7</v>
      </c>
      <c r="D107" s="3" t="s">
        <v>353</v>
      </c>
      <c r="E107" s="231" t="s">
        <v>626</v>
      </c>
      <c r="F107" s="266"/>
      <c r="G107" s="266"/>
      <c r="H107" s="266"/>
      <c r="I107" s="266"/>
      <c r="J107" s="232"/>
      <c r="L107" s="205" t="s">
        <v>451</v>
      </c>
      <c r="M107" s="217">
        <f>16/(1360*1000)</f>
        <v>1.1764705882352942E-5</v>
      </c>
      <c r="N107" s="206" t="s">
        <v>353</v>
      </c>
      <c r="O107" s="267" t="s">
        <v>664</v>
      </c>
      <c r="P107" s="268"/>
      <c r="Q107" s="268"/>
      <c r="R107" s="268"/>
      <c r="S107" s="268"/>
      <c r="T107" s="269"/>
      <c r="V107" s="144" t="s">
        <v>163</v>
      </c>
      <c r="W107" s="11">
        <f>0.58/0.58</f>
        <v>1</v>
      </c>
      <c r="X107" s="11" t="s">
        <v>353</v>
      </c>
      <c r="Y107" s="267" t="s">
        <v>685</v>
      </c>
      <c r="Z107" s="268"/>
      <c r="AA107" s="268"/>
      <c r="AB107" s="268"/>
      <c r="AC107" s="268"/>
      <c r="AD107" s="269"/>
    </row>
    <row r="108" spans="2:30" x14ac:dyDescent="0.25">
      <c r="B108" s="131" t="s">
        <v>624</v>
      </c>
      <c r="C108" s="220">
        <v>0.31874999999999998</v>
      </c>
      <c r="D108" s="3" t="s">
        <v>353</v>
      </c>
      <c r="E108" s="231" t="s">
        <v>626</v>
      </c>
      <c r="F108" s="266"/>
      <c r="G108" s="266"/>
      <c r="H108" s="266"/>
      <c r="I108" s="266"/>
      <c r="J108" s="232"/>
      <c r="L108" s="144" t="s">
        <v>665</v>
      </c>
      <c r="M108" s="218">
        <f>421/1360</f>
        <v>0.30955882352941178</v>
      </c>
      <c r="N108" s="11" t="s">
        <v>196</v>
      </c>
      <c r="O108" s="267" t="s">
        <v>664</v>
      </c>
      <c r="P108" s="268"/>
      <c r="Q108" s="268"/>
      <c r="R108" s="268"/>
      <c r="S108" s="268"/>
      <c r="T108" s="269"/>
      <c r="V108" s="205" t="s">
        <v>572</v>
      </c>
      <c r="W108" s="219">
        <f>0.34/0.58</f>
        <v>0.5862068965517242</v>
      </c>
      <c r="X108" s="11" t="s">
        <v>187</v>
      </c>
      <c r="Y108" s="267" t="s">
        <v>685</v>
      </c>
      <c r="Z108" s="268"/>
      <c r="AA108" s="268"/>
      <c r="AB108" s="268"/>
      <c r="AC108" s="268"/>
      <c r="AD108" s="269"/>
    </row>
    <row r="109" spans="2:30" x14ac:dyDescent="0.25">
      <c r="B109" s="149" t="s">
        <v>572</v>
      </c>
      <c r="C109" s="220">
        <v>0.4</v>
      </c>
      <c r="D109" s="3" t="s">
        <v>187</v>
      </c>
      <c r="E109" s="231" t="s">
        <v>626</v>
      </c>
      <c r="F109" s="266"/>
      <c r="G109" s="266"/>
      <c r="H109" s="266"/>
      <c r="I109" s="266"/>
      <c r="J109" s="232"/>
      <c r="L109" s="144" t="s">
        <v>572</v>
      </c>
      <c r="M109" s="218">
        <f>94.3/1360</f>
        <v>6.9338235294117645E-2</v>
      </c>
      <c r="N109" s="11" t="s">
        <v>196</v>
      </c>
      <c r="O109" s="267" t="s">
        <v>664</v>
      </c>
      <c r="P109" s="268"/>
      <c r="Q109" s="268"/>
      <c r="R109" s="268"/>
      <c r="S109" s="268"/>
      <c r="T109" s="269"/>
      <c r="V109" s="144" t="s">
        <v>217</v>
      </c>
      <c r="W109" s="218">
        <f>4/0.58</f>
        <v>6.8965517241379315</v>
      </c>
      <c r="X109" s="11" t="s">
        <v>353</v>
      </c>
      <c r="Y109" s="267" t="s">
        <v>685</v>
      </c>
      <c r="Z109" s="268"/>
      <c r="AA109" s="268"/>
      <c r="AB109" s="268"/>
      <c r="AC109" s="268"/>
      <c r="AD109" s="269"/>
    </row>
    <row r="110" spans="2:30" x14ac:dyDescent="0.25">
      <c r="B110" s="131" t="s">
        <v>603</v>
      </c>
      <c r="C110" s="220">
        <v>1.2999999999999999E-2</v>
      </c>
      <c r="D110" s="3" t="s">
        <v>353</v>
      </c>
      <c r="E110" s="231" t="s">
        <v>626</v>
      </c>
      <c r="F110" s="266"/>
      <c r="G110" s="266"/>
      <c r="H110" s="266"/>
      <c r="I110" s="266"/>
      <c r="J110" s="232"/>
      <c r="L110" s="144" t="s">
        <v>603</v>
      </c>
      <c r="M110" s="218">
        <f>11.5/(1360*1000)</f>
        <v>8.4558823529411757E-6</v>
      </c>
      <c r="N110" s="206" t="s">
        <v>353</v>
      </c>
      <c r="O110" s="267" t="s">
        <v>664</v>
      </c>
      <c r="P110" s="268"/>
      <c r="Q110" s="268"/>
      <c r="R110" s="268"/>
      <c r="S110" s="268"/>
      <c r="T110" s="269"/>
      <c r="V110" s="144" t="s">
        <v>686</v>
      </c>
      <c r="W110" s="218">
        <f>0.00000233/0.58</f>
        <v>4.0172413793103449E-6</v>
      </c>
      <c r="X110" s="11" t="s">
        <v>353</v>
      </c>
      <c r="Y110" s="267" t="s">
        <v>688</v>
      </c>
      <c r="Z110" s="268"/>
      <c r="AA110" s="268"/>
      <c r="AB110" s="268"/>
      <c r="AC110" s="268"/>
      <c r="AD110" s="269"/>
    </row>
    <row r="111" spans="2:30" x14ac:dyDescent="0.25">
      <c r="B111" s="131" t="s">
        <v>625</v>
      </c>
      <c r="C111" s="220">
        <v>2.5999999999999999E-2</v>
      </c>
      <c r="D111" s="3" t="s">
        <v>353</v>
      </c>
      <c r="E111" s="231" t="s">
        <v>626</v>
      </c>
      <c r="F111" s="266"/>
      <c r="G111" s="266"/>
      <c r="H111" s="266"/>
      <c r="I111" s="266"/>
      <c r="J111" s="232"/>
      <c r="L111" s="144" t="s">
        <v>625</v>
      </c>
      <c r="M111" s="218">
        <f>126/1360</f>
        <v>9.2647058823529416E-2</v>
      </c>
      <c r="N111" s="11" t="s">
        <v>353</v>
      </c>
      <c r="O111" s="267" t="s">
        <v>664</v>
      </c>
      <c r="P111" s="268"/>
      <c r="Q111" s="268"/>
      <c r="R111" s="268"/>
      <c r="S111" s="268"/>
      <c r="T111" s="269"/>
    </row>
    <row r="112" spans="2:30" x14ac:dyDescent="0.25">
      <c r="C112" s="6"/>
      <c r="D112" s="6"/>
      <c r="E112" s="6"/>
      <c r="F112" s="6"/>
      <c r="G112" s="6"/>
      <c r="H112" s="6"/>
      <c r="I112" s="6"/>
      <c r="J112" s="6"/>
      <c r="L112" s="144" t="s">
        <v>686</v>
      </c>
      <c r="M112" s="218">
        <f>423/(1360*1000)</f>
        <v>3.1102941176470588E-4</v>
      </c>
      <c r="N112" s="11" t="s">
        <v>353</v>
      </c>
      <c r="O112" s="267" t="s">
        <v>687</v>
      </c>
      <c r="P112" s="268"/>
      <c r="Q112" s="268"/>
      <c r="R112" s="268"/>
      <c r="S112" s="268"/>
      <c r="T112" s="269"/>
    </row>
    <row r="113" spans="2:30" ht="18" x14ac:dyDescent="0.35">
      <c r="B113" s="270" t="s">
        <v>692</v>
      </c>
      <c r="C113" s="270"/>
      <c r="D113" s="270"/>
      <c r="E113" s="270"/>
      <c r="F113" s="270"/>
      <c r="G113" s="270"/>
      <c r="H113" s="270"/>
      <c r="I113" s="151" t="s">
        <v>704</v>
      </c>
    </row>
    <row r="114" spans="2:30" x14ac:dyDescent="0.25">
      <c r="L114" s="270" t="s">
        <v>666</v>
      </c>
      <c r="M114" s="270"/>
      <c r="N114" s="270"/>
      <c r="O114" s="270"/>
      <c r="P114" s="270"/>
      <c r="Q114" s="270"/>
      <c r="R114" s="270"/>
      <c r="S114" s="151" t="s">
        <v>707</v>
      </c>
    </row>
    <row r="115" spans="2:30" x14ac:dyDescent="0.25">
      <c r="B115" s="40" t="s">
        <v>394</v>
      </c>
      <c r="C115" s="40" t="s">
        <v>392</v>
      </c>
      <c r="D115" s="40" t="s">
        <v>365</v>
      </c>
      <c r="E115" s="246" t="s">
        <v>393</v>
      </c>
      <c r="F115" s="246"/>
      <c r="G115" s="246"/>
      <c r="H115" s="246"/>
      <c r="I115" s="246"/>
      <c r="J115" s="246"/>
      <c r="V115" s="270" t="s">
        <v>693</v>
      </c>
      <c r="W115" s="270"/>
      <c r="X115" s="270"/>
      <c r="Y115" s="270"/>
      <c r="Z115" s="270"/>
      <c r="AA115" s="270"/>
      <c r="AB115" s="270"/>
      <c r="AC115" s="151" t="s">
        <v>697</v>
      </c>
    </row>
    <row r="116" spans="2:30" ht="18" x14ac:dyDescent="0.35">
      <c r="B116" s="149" t="s">
        <v>163</v>
      </c>
      <c r="C116" s="3">
        <f>68.985/68.985</f>
        <v>1</v>
      </c>
      <c r="D116" s="3" t="s">
        <v>353</v>
      </c>
      <c r="E116" s="231" t="s">
        <v>703</v>
      </c>
      <c r="F116" s="266"/>
      <c r="G116" s="266"/>
      <c r="H116" s="266"/>
      <c r="I116" s="266"/>
      <c r="J116" s="232"/>
      <c r="L116" s="40" t="s">
        <v>394</v>
      </c>
      <c r="M116" s="40" t="s">
        <v>392</v>
      </c>
      <c r="N116" s="40" t="s">
        <v>365</v>
      </c>
      <c r="O116" s="246" t="s">
        <v>393</v>
      </c>
      <c r="P116" s="246"/>
      <c r="Q116" s="246"/>
      <c r="R116" s="246"/>
      <c r="S116" s="246"/>
      <c r="T116" s="246"/>
    </row>
    <row r="117" spans="2:30" ht="18" x14ac:dyDescent="0.25">
      <c r="B117" s="131" t="s">
        <v>572</v>
      </c>
      <c r="C117" s="220">
        <f>23.951/68.985</f>
        <v>0.34719141842429513</v>
      </c>
      <c r="D117" s="3" t="s">
        <v>187</v>
      </c>
      <c r="E117" s="231" t="s">
        <v>703</v>
      </c>
      <c r="F117" s="266"/>
      <c r="G117" s="266"/>
      <c r="H117" s="266"/>
      <c r="I117" s="266"/>
      <c r="J117" s="232"/>
      <c r="L117" s="144" t="s">
        <v>163</v>
      </c>
      <c r="M117" s="11">
        <f>0.58/0.58</f>
        <v>1</v>
      </c>
      <c r="N117" s="11" t="s">
        <v>353</v>
      </c>
      <c r="O117" s="267" t="s">
        <v>685</v>
      </c>
      <c r="P117" s="268"/>
      <c r="Q117" s="268"/>
      <c r="R117" s="268"/>
      <c r="S117" s="268"/>
      <c r="T117" s="269"/>
      <c r="V117" s="40" t="s">
        <v>394</v>
      </c>
      <c r="W117" s="40" t="s">
        <v>392</v>
      </c>
      <c r="X117" s="40" t="s">
        <v>365</v>
      </c>
      <c r="Y117" s="246" t="s">
        <v>393</v>
      </c>
      <c r="Z117" s="246"/>
      <c r="AA117" s="246"/>
      <c r="AB117" s="246"/>
      <c r="AC117" s="246"/>
      <c r="AD117" s="246"/>
    </row>
    <row r="118" spans="2:30" ht="18" x14ac:dyDescent="0.25">
      <c r="B118" s="131" t="s">
        <v>361</v>
      </c>
      <c r="C118" s="220">
        <f>110/68.985</f>
        <v>1.5945495397550191</v>
      </c>
      <c r="D118" s="3" t="s">
        <v>702</v>
      </c>
      <c r="E118" s="231" t="s">
        <v>703</v>
      </c>
      <c r="F118" s="266"/>
      <c r="G118" s="266"/>
      <c r="H118" s="266"/>
      <c r="I118" s="266"/>
      <c r="J118" s="232"/>
      <c r="L118" s="205" t="s">
        <v>451</v>
      </c>
      <c r="M118" s="221">
        <f>0.007/0.58</f>
        <v>1.2068965517241381E-2</v>
      </c>
      <c r="N118" s="11" t="s">
        <v>353</v>
      </c>
      <c r="O118" s="267" t="s">
        <v>685</v>
      </c>
      <c r="P118" s="268"/>
      <c r="Q118" s="268"/>
      <c r="R118" s="268"/>
      <c r="S118" s="268"/>
      <c r="T118" s="269"/>
      <c r="V118" s="144" t="s">
        <v>163</v>
      </c>
      <c r="W118" s="11">
        <f>0.58/0.58</f>
        <v>1</v>
      </c>
      <c r="X118" s="11" t="s">
        <v>353</v>
      </c>
      <c r="Y118" s="267" t="s">
        <v>685</v>
      </c>
      <c r="Z118" s="268"/>
      <c r="AA118" s="268"/>
      <c r="AB118" s="268"/>
      <c r="AC118" s="268"/>
      <c r="AD118" s="269"/>
    </row>
    <row r="119" spans="2:30" x14ac:dyDescent="0.25">
      <c r="L119" s="144" t="s">
        <v>665</v>
      </c>
      <c r="M119" s="218">
        <f>1.83/0.58</f>
        <v>3.1551724137931036</v>
      </c>
      <c r="N119" s="11" t="s">
        <v>196</v>
      </c>
      <c r="O119" s="267" t="s">
        <v>685</v>
      </c>
      <c r="P119" s="268"/>
      <c r="Q119" s="268"/>
      <c r="R119" s="268"/>
      <c r="S119" s="268"/>
      <c r="T119" s="269"/>
      <c r="V119" s="205" t="s">
        <v>572</v>
      </c>
      <c r="W119" s="219">
        <f>0.22/0.58</f>
        <v>0.37931034482758624</v>
      </c>
      <c r="X119" s="11" t="s">
        <v>187</v>
      </c>
      <c r="Y119" s="267" t="s">
        <v>685</v>
      </c>
      <c r="Z119" s="268"/>
      <c r="AA119" s="268"/>
      <c r="AB119" s="268"/>
      <c r="AC119" s="268"/>
      <c r="AD119" s="269"/>
    </row>
    <row r="120" spans="2:30" x14ac:dyDescent="0.25">
      <c r="L120" s="144" t="s">
        <v>572</v>
      </c>
      <c r="M120" s="218">
        <f>0.114/0.58</f>
        <v>0.19655172413793107</v>
      </c>
      <c r="N120" s="11" t="s">
        <v>187</v>
      </c>
      <c r="O120" s="267" t="s">
        <v>685</v>
      </c>
      <c r="P120" s="268"/>
      <c r="Q120" s="268"/>
      <c r="R120" s="268"/>
      <c r="S120" s="268"/>
      <c r="T120" s="269"/>
      <c r="V120" s="144" t="s">
        <v>217</v>
      </c>
      <c r="W120" s="218">
        <v>0</v>
      </c>
      <c r="X120" s="11" t="s">
        <v>353</v>
      </c>
      <c r="Y120" s="267" t="s">
        <v>685</v>
      </c>
      <c r="Z120" s="268"/>
      <c r="AA120" s="268"/>
      <c r="AB120" s="268"/>
      <c r="AC120" s="268"/>
      <c r="AD120" s="269"/>
    </row>
    <row r="121" spans="2:30" x14ac:dyDescent="0.25">
      <c r="L121" s="144" t="s">
        <v>603</v>
      </c>
      <c r="M121" s="218">
        <f>0.05/0.58</f>
        <v>8.6206896551724144E-2</v>
      </c>
      <c r="N121" s="206" t="s">
        <v>353</v>
      </c>
      <c r="O121" s="267" t="s">
        <v>685</v>
      </c>
      <c r="P121" s="268"/>
      <c r="Q121" s="268"/>
      <c r="R121" s="268"/>
      <c r="S121" s="268"/>
      <c r="T121" s="269"/>
      <c r="V121" s="144" t="s">
        <v>686</v>
      </c>
      <c r="W121" s="218">
        <f>0.00000233/0.58</f>
        <v>4.0172413793103449E-6</v>
      </c>
      <c r="X121" s="11" t="s">
        <v>353</v>
      </c>
      <c r="Y121" s="267" t="s">
        <v>688</v>
      </c>
      <c r="Z121" s="268"/>
      <c r="AA121" s="268"/>
      <c r="AB121" s="268"/>
      <c r="AC121" s="268"/>
      <c r="AD121" s="269"/>
    </row>
    <row r="122" spans="2:30" x14ac:dyDescent="0.25">
      <c r="B122" s="90"/>
      <c r="L122" s="144" t="s">
        <v>625</v>
      </c>
      <c r="M122" s="218">
        <f>0.55/0.58</f>
        <v>0.94827586206896564</v>
      </c>
      <c r="N122" s="11" t="s">
        <v>353</v>
      </c>
      <c r="O122" s="267" t="s">
        <v>685</v>
      </c>
      <c r="P122" s="268"/>
      <c r="Q122" s="268"/>
      <c r="R122" s="268"/>
      <c r="S122" s="268"/>
      <c r="T122" s="269"/>
    </row>
    <row r="123" spans="2:30" x14ac:dyDescent="0.25">
      <c r="B123" s="90"/>
      <c r="L123" s="144" t="s">
        <v>686</v>
      </c>
      <c r="M123" s="218">
        <f>0.184/0.58</f>
        <v>0.31724137931034485</v>
      </c>
      <c r="N123" s="11" t="s">
        <v>353</v>
      </c>
      <c r="O123" s="267" t="s">
        <v>688</v>
      </c>
      <c r="P123" s="268"/>
      <c r="Q123" s="268"/>
      <c r="R123" s="268"/>
      <c r="S123" s="268"/>
      <c r="T123" s="269"/>
    </row>
    <row r="124" spans="2:30" x14ac:dyDescent="0.25">
      <c r="B124" s="90"/>
    </row>
  </sheetData>
  <mergeCells count="155">
    <mergeCell ref="E115:J115"/>
    <mergeCell ref="L103:R103"/>
    <mergeCell ref="O105:T105"/>
    <mergeCell ref="O106:T106"/>
    <mergeCell ref="O107:T107"/>
    <mergeCell ref="O108:T108"/>
    <mergeCell ref="O109:T109"/>
    <mergeCell ref="O110:T110"/>
    <mergeCell ref="O111:T111"/>
    <mergeCell ref="B103:H103"/>
    <mergeCell ref="E105:J105"/>
    <mergeCell ref="E106:J106"/>
    <mergeCell ref="E107:J107"/>
    <mergeCell ref="E108:J108"/>
    <mergeCell ref="E109:J109"/>
    <mergeCell ref="E110:J110"/>
    <mergeCell ref="E111:J111"/>
    <mergeCell ref="O112:T112"/>
    <mergeCell ref="B113:H113"/>
    <mergeCell ref="E99:J99"/>
    <mergeCell ref="E100:J100"/>
    <mergeCell ref="E94:J94"/>
    <mergeCell ref="E95:J95"/>
    <mergeCell ref="E96:J96"/>
    <mergeCell ref="E97:J97"/>
    <mergeCell ref="E98:J98"/>
    <mergeCell ref="E88:J88"/>
    <mergeCell ref="E89:J89"/>
    <mergeCell ref="E91:J91"/>
    <mergeCell ref="E92:J92"/>
    <mergeCell ref="E93:J93"/>
    <mergeCell ref="E85:J85"/>
    <mergeCell ref="E86:J86"/>
    <mergeCell ref="E87:J87"/>
    <mergeCell ref="M30:S30"/>
    <mergeCell ref="P32:U32"/>
    <mergeCell ref="P33:U33"/>
    <mergeCell ref="B20:B21"/>
    <mergeCell ref="E21:J21"/>
    <mergeCell ref="B23:H23"/>
    <mergeCell ref="E27:J27"/>
    <mergeCell ref="E28:J28"/>
    <mergeCell ref="P25:U25"/>
    <mergeCell ref="P26:U26"/>
    <mergeCell ref="P27:U27"/>
    <mergeCell ref="P28:U28"/>
    <mergeCell ref="B30:H30"/>
    <mergeCell ref="E32:J32"/>
    <mergeCell ref="E25:J25"/>
    <mergeCell ref="E26:J26"/>
    <mergeCell ref="E50:J50"/>
    <mergeCell ref="M36:S36"/>
    <mergeCell ref="E55:J55"/>
    <mergeCell ref="P46:U46"/>
    <mergeCell ref="P47:U47"/>
    <mergeCell ref="B77:B78"/>
    <mergeCell ref="E77:J77"/>
    <mergeCell ref="E78:J78"/>
    <mergeCell ref="E68:J68"/>
    <mergeCell ref="E54:J54"/>
    <mergeCell ref="B52:H52"/>
    <mergeCell ref="B66:H66"/>
    <mergeCell ref="E60:J60"/>
    <mergeCell ref="E62:J62"/>
    <mergeCell ref="B63:B64"/>
    <mergeCell ref="E63:J63"/>
    <mergeCell ref="E64:J64"/>
    <mergeCell ref="E59:J59"/>
    <mergeCell ref="E56:J56"/>
    <mergeCell ref="E57:J57"/>
    <mergeCell ref="E58:J58"/>
    <mergeCell ref="E73:J73"/>
    <mergeCell ref="E74:J74"/>
    <mergeCell ref="E76:J76"/>
    <mergeCell ref="P50:U50"/>
    <mergeCell ref="M44:S44"/>
    <mergeCell ref="M2:S2"/>
    <mergeCell ref="M8:M9"/>
    <mergeCell ref="E9:J9"/>
    <mergeCell ref="E20:J20"/>
    <mergeCell ref="E13:J13"/>
    <mergeCell ref="E14:J14"/>
    <mergeCell ref="E11:J11"/>
    <mergeCell ref="E10:J10"/>
    <mergeCell ref="E12:J12"/>
    <mergeCell ref="Q8:Q9"/>
    <mergeCell ref="B2:H2"/>
    <mergeCell ref="E6:J6"/>
    <mergeCell ref="E19:J19"/>
    <mergeCell ref="E4:J4"/>
    <mergeCell ref="B18:B19"/>
    <mergeCell ref="E5:J5"/>
    <mergeCell ref="M48:M49"/>
    <mergeCell ref="B48:B49"/>
    <mergeCell ref="B41:B42"/>
    <mergeCell ref="E41:J42"/>
    <mergeCell ref="P48:U49"/>
    <mergeCell ref="E38:J38"/>
    <mergeCell ref="B36:H36"/>
    <mergeCell ref="M40:M41"/>
    <mergeCell ref="B43:B44"/>
    <mergeCell ref="E43:J44"/>
    <mergeCell ref="E46:J46"/>
    <mergeCell ref="E47:J47"/>
    <mergeCell ref="E48:J49"/>
    <mergeCell ref="P40:U41"/>
    <mergeCell ref="P42:U42"/>
    <mergeCell ref="E84:J84"/>
    <mergeCell ref="E69:J69"/>
    <mergeCell ref="E70:J70"/>
    <mergeCell ref="E71:J71"/>
    <mergeCell ref="E72:J72"/>
    <mergeCell ref="X2:AD2"/>
    <mergeCell ref="AA10:AF10"/>
    <mergeCell ref="AA11:AF11"/>
    <mergeCell ref="AA12:AF12"/>
    <mergeCell ref="E33:J33"/>
    <mergeCell ref="E34:J34"/>
    <mergeCell ref="P38:U38"/>
    <mergeCell ref="P34:U34"/>
    <mergeCell ref="P39:U39"/>
    <mergeCell ref="E39:J39"/>
    <mergeCell ref="E8:J8"/>
    <mergeCell ref="M11:S11"/>
    <mergeCell ref="Q18:S18"/>
    <mergeCell ref="E17:J17"/>
    <mergeCell ref="E18:J18"/>
    <mergeCell ref="E15:J15"/>
    <mergeCell ref="B81:H81"/>
    <mergeCell ref="E83:J83"/>
    <mergeCell ref="E40:J40"/>
    <mergeCell ref="E116:J116"/>
    <mergeCell ref="O123:T123"/>
    <mergeCell ref="V104:AB104"/>
    <mergeCell ref="Y106:AD106"/>
    <mergeCell ref="Y107:AD107"/>
    <mergeCell ref="Y108:AD108"/>
    <mergeCell ref="Y109:AD109"/>
    <mergeCell ref="Y110:AD110"/>
    <mergeCell ref="V115:AB115"/>
    <mergeCell ref="Y117:AD117"/>
    <mergeCell ref="Y118:AD118"/>
    <mergeCell ref="Y119:AD119"/>
    <mergeCell ref="Y120:AD120"/>
    <mergeCell ref="Y121:AD121"/>
    <mergeCell ref="O119:T119"/>
    <mergeCell ref="O120:T120"/>
    <mergeCell ref="O121:T121"/>
    <mergeCell ref="L114:R114"/>
    <mergeCell ref="O116:T116"/>
    <mergeCell ref="E117:J117"/>
    <mergeCell ref="E118:J118"/>
    <mergeCell ref="O117:T117"/>
    <mergeCell ref="O118:T118"/>
    <mergeCell ref="O122:T122"/>
  </mergeCells>
  <hyperlinks>
    <hyperlink ref="E14" r:id="rId1" xr:uid="{00000000-0004-0000-0100-000000000000}"/>
    <hyperlink ref="E6" r:id="rId2" xr:uid="{00000000-0004-0000-0100-000001000000}"/>
    <hyperlink ref="E33" r:id="rId3" xr:uid="{00000000-0004-0000-0100-000002000000}"/>
    <hyperlink ref="E34" r:id="rId4" xr:uid="{00000000-0004-0000-0100-000003000000}"/>
    <hyperlink ref="E26" r:id="rId5" xr:uid="{00000000-0004-0000-0100-000004000000}"/>
    <hyperlink ref="E27" r:id="rId6" xr:uid="{00000000-0004-0000-0100-000005000000}"/>
    <hyperlink ref="E28" r:id="rId7" xr:uid="{00000000-0004-0000-0100-000006000000}"/>
    <hyperlink ref="P26" r:id="rId8" xr:uid="{00000000-0004-0000-0100-000007000000}"/>
    <hyperlink ref="P27" r:id="rId9" xr:uid="{00000000-0004-0000-0100-000008000000}"/>
    <hyperlink ref="P28" r:id="rId10" xr:uid="{00000000-0004-0000-0100-000009000000}"/>
    <hyperlink ref="E40" r:id="rId11" xr:uid="{00000000-0004-0000-0100-00000A000000}"/>
    <hyperlink ref="E41" r:id="rId12" location="b21" xr:uid="{00000000-0004-0000-0100-00000B000000}"/>
    <hyperlink ref="E43" r:id="rId13" xr:uid="{00000000-0004-0000-0100-00000C000000}"/>
    <hyperlink ref="AA11" r:id="rId14" xr:uid="{00000000-0004-0000-0100-00000D000000}"/>
    <hyperlink ref="AA12" r:id="rId15" xr:uid="{00000000-0004-0000-0100-00000E000000}"/>
  </hyperlinks>
  <pageMargins left="0.7" right="0.7" top="0.75" bottom="0.75" header="0.3" footer="0.3"/>
  <pageSetup paperSize="9" orientation="portrait" r:id="rId16"/>
  <drawing r:id="rId17"/>
  <legacy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7"/>
  <sheetViews>
    <sheetView tabSelected="1" topLeftCell="A77" zoomScale="90" zoomScaleNormal="90" workbookViewId="0">
      <selection activeCell="C99" sqref="C99"/>
    </sheetView>
  </sheetViews>
  <sheetFormatPr defaultColWidth="11.42578125" defaultRowHeight="15" x14ac:dyDescent="0.25"/>
  <cols>
    <col min="2" max="2" width="29.85546875" customWidth="1"/>
    <col min="3" max="3" width="11.140625" bestFit="1" customWidth="1"/>
    <col min="4" max="4" width="21" bestFit="1" customWidth="1"/>
    <col min="5" max="6" width="11.85546875" bestFit="1" customWidth="1"/>
    <col min="8" max="8" width="18.7109375" bestFit="1" customWidth="1"/>
    <col min="10" max="10" width="14" bestFit="1" customWidth="1"/>
    <col min="11" max="11" width="12.42578125" bestFit="1" customWidth="1"/>
    <col min="12" max="12" width="18.7109375" bestFit="1" customWidth="1"/>
    <col min="13" max="13" width="11.42578125" bestFit="1" customWidth="1"/>
    <col min="14" max="14" width="12.140625" bestFit="1" customWidth="1"/>
  </cols>
  <sheetData>
    <row r="2" spans="2:13" x14ac:dyDescent="0.25">
      <c r="B2" s="270" t="s">
        <v>351</v>
      </c>
      <c r="C2" s="270"/>
      <c r="D2" s="270"/>
      <c r="E2" s="270"/>
      <c r="F2" s="270"/>
      <c r="G2" s="270"/>
      <c r="H2" s="270"/>
      <c r="J2" s="308" t="s">
        <v>375</v>
      </c>
      <c r="K2" s="309"/>
      <c r="L2" s="310"/>
    </row>
    <row r="4" spans="2:13" x14ac:dyDescent="0.25">
      <c r="B4" s="132" t="s">
        <v>203</v>
      </c>
      <c r="C4" s="132" t="s">
        <v>355</v>
      </c>
      <c r="D4" s="132" t="s">
        <v>356</v>
      </c>
      <c r="E4" s="139"/>
      <c r="F4" s="132" t="s">
        <v>352</v>
      </c>
      <c r="G4" s="132" t="s">
        <v>355</v>
      </c>
      <c r="H4" s="132" t="s">
        <v>356</v>
      </c>
      <c r="I4" s="139"/>
      <c r="J4" s="132" t="s">
        <v>357</v>
      </c>
      <c r="K4" s="132" t="s">
        <v>355</v>
      </c>
      <c r="L4" s="132" t="s">
        <v>356</v>
      </c>
    </row>
    <row r="5" spans="2:13" ht="17.25" x14ac:dyDescent="0.25">
      <c r="B5" s="11" t="s">
        <v>358</v>
      </c>
      <c r="C5" s="15">
        <f>'Scenario 1'!D20/'LCA inventary (SimaPro)'!K5</f>
        <v>1.676338066968809</v>
      </c>
      <c r="D5" s="11" t="s">
        <v>469</v>
      </c>
      <c r="E5" s="139"/>
      <c r="F5" s="11" t="s">
        <v>359</v>
      </c>
      <c r="G5" s="15">
        <f>'Scenario 1'!C140/P</f>
        <v>9.071652201331773E-2</v>
      </c>
      <c r="H5" s="11" t="s">
        <v>470</v>
      </c>
      <c r="I5" s="139"/>
      <c r="J5" s="11" t="s">
        <v>362</v>
      </c>
      <c r="K5" s="141">
        <f>'Scenario 1'!N20</f>
        <v>22.530846141785943</v>
      </c>
      <c r="L5" s="11" t="s">
        <v>33</v>
      </c>
    </row>
    <row r="6" spans="2:13" ht="17.25" x14ac:dyDescent="0.25">
      <c r="B6" s="11" t="s">
        <v>217</v>
      </c>
      <c r="C6" s="15">
        <f>'Scenario 1'!E21/'LCA inventary (SimaPro)'!K5</f>
        <v>9848.4861434417508</v>
      </c>
      <c r="D6" s="11" t="s">
        <v>471</v>
      </c>
      <c r="E6" s="139"/>
      <c r="F6" s="11" t="s">
        <v>361</v>
      </c>
      <c r="G6" s="15">
        <f>'Scenario 1'!C119/P</f>
        <v>2.0954225837110112</v>
      </c>
      <c r="H6" s="11" t="s">
        <v>470</v>
      </c>
      <c r="I6" s="139"/>
      <c r="J6" s="11" t="s">
        <v>363</v>
      </c>
      <c r="K6" s="141">
        <f>'Scenario 1'!K20/'LCA inventary (SimaPro)'!K5</f>
        <v>4.2432307320147968</v>
      </c>
      <c r="L6" s="11" t="s">
        <v>469</v>
      </c>
    </row>
    <row r="7" spans="2:13" ht="18" x14ac:dyDescent="0.25">
      <c r="B7" s="11" t="s">
        <v>163</v>
      </c>
      <c r="C7" s="15">
        <f>('Scenario 1'!C126*'Scenario 1'!I24)/'LCA inventary (SimaPro)'!K5</f>
        <v>31.431338755665173</v>
      </c>
      <c r="D7" s="11" t="s">
        <v>471</v>
      </c>
      <c r="E7" s="139"/>
      <c r="F7" s="11" t="s">
        <v>360</v>
      </c>
      <c r="G7" s="15">
        <f>'Scenario 1'!C107/P</f>
        <v>26.913607665184234</v>
      </c>
      <c r="H7" s="11" t="s">
        <v>470</v>
      </c>
      <c r="I7" s="139"/>
      <c r="J7" s="11" t="s">
        <v>416</v>
      </c>
      <c r="K7" s="141">
        <f>'Scenario 1'!W57/'LCA inventary (SimaPro)'!K5</f>
        <v>5.0619321785199661E-3</v>
      </c>
      <c r="L7" s="11" t="s">
        <v>470</v>
      </c>
    </row>
    <row r="8" spans="2:13" ht="17.25" x14ac:dyDescent="0.25">
      <c r="B8" s="11" t="s">
        <v>226</v>
      </c>
      <c r="C8" s="15">
        <f>'Scenario 1'!O58/'LCA inventary (SimaPro)'!K5</f>
        <v>0.39813029090509217</v>
      </c>
      <c r="D8" s="11" t="s">
        <v>471</v>
      </c>
      <c r="E8" s="139"/>
      <c r="F8" s="288" t="s">
        <v>354</v>
      </c>
      <c r="G8" s="15">
        <f>'Scenario 1'!C113/P</f>
        <v>37.810347071006611</v>
      </c>
      <c r="H8" s="11" t="s">
        <v>471</v>
      </c>
      <c r="I8" s="139"/>
      <c r="J8" s="139"/>
      <c r="K8" s="139"/>
      <c r="L8" s="139"/>
    </row>
    <row r="9" spans="2:13" ht="17.25" x14ac:dyDescent="0.25">
      <c r="B9" s="11" t="s">
        <v>230</v>
      </c>
      <c r="C9" s="15">
        <f>'Scenario 1'!O63/'LCA inventary (SimaPro)'!K5</f>
        <v>4.6742727372697699</v>
      </c>
      <c r="D9" s="11" t="s">
        <v>471</v>
      </c>
      <c r="E9" s="139"/>
      <c r="F9" s="288"/>
      <c r="G9" s="15">
        <f>'Scenario 1'!T72/P</f>
        <v>30371.369241694949</v>
      </c>
      <c r="H9" s="11" t="s">
        <v>482</v>
      </c>
      <c r="I9" s="139"/>
      <c r="J9" s="139"/>
      <c r="K9" s="139"/>
      <c r="L9" s="139"/>
    </row>
    <row r="10" spans="2:13" ht="17.25" x14ac:dyDescent="0.25">
      <c r="B10" s="11" t="s">
        <v>377</v>
      </c>
      <c r="C10" s="15">
        <f>('Scenario 1'!C125*'Scenario 1'!V28*(60/24))/K5</f>
        <v>1.2572535502266067</v>
      </c>
      <c r="D10" s="11" t="s">
        <v>469</v>
      </c>
      <c r="E10" s="139"/>
      <c r="F10" s="288"/>
      <c r="G10" s="15">
        <f>'Scenario 1'!T73/P</f>
        <v>23.113675221990071</v>
      </c>
      <c r="H10" s="11" t="s">
        <v>470</v>
      </c>
      <c r="I10" s="139"/>
      <c r="J10" s="139"/>
      <c r="K10" s="139"/>
      <c r="L10" s="139"/>
    </row>
    <row r="12" spans="2:13" ht="17.25" x14ac:dyDescent="0.25">
      <c r="B12" s="291" t="s">
        <v>468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</row>
    <row r="14" spans="2:13" x14ac:dyDescent="0.25">
      <c r="B14" s="139"/>
      <c r="C14" s="140" t="s">
        <v>4</v>
      </c>
      <c r="D14" s="140" t="s">
        <v>5</v>
      </c>
      <c r="E14" s="140" t="s">
        <v>6</v>
      </c>
      <c r="F14" s="140" t="s">
        <v>7</v>
      </c>
      <c r="G14" s="140" t="s">
        <v>8</v>
      </c>
      <c r="H14" s="140" t="s">
        <v>9</v>
      </c>
      <c r="I14" s="140" t="s">
        <v>10</v>
      </c>
      <c r="J14" s="140" t="s">
        <v>11</v>
      </c>
      <c r="K14" s="140" t="s">
        <v>12</v>
      </c>
      <c r="L14" s="140" t="s">
        <v>13</v>
      </c>
      <c r="M14" s="140" t="s">
        <v>14</v>
      </c>
    </row>
    <row r="15" spans="2:13" x14ac:dyDescent="0.25">
      <c r="B15" s="139"/>
      <c r="C15" s="10" t="s">
        <v>381</v>
      </c>
      <c r="D15" s="10" t="s">
        <v>217</v>
      </c>
      <c r="E15" s="10" t="s">
        <v>382</v>
      </c>
      <c r="F15" s="10" t="s">
        <v>383</v>
      </c>
      <c r="G15" s="10" t="s">
        <v>384</v>
      </c>
      <c r="H15" s="10" t="s">
        <v>385</v>
      </c>
      <c r="I15" s="23" t="s">
        <v>386</v>
      </c>
      <c r="J15" s="10" t="s">
        <v>387</v>
      </c>
      <c r="K15" s="10" t="s">
        <v>388</v>
      </c>
      <c r="L15" s="10" t="s">
        <v>389</v>
      </c>
      <c r="M15" s="10" t="s">
        <v>362</v>
      </c>
    </row>
    <row r="16" spans="2:13" ht="17.25" x14ac:dyDescent="0.25">
      <c r="B16" s="11" t="s">
        <v>583</v>
      </c>
      <c r="C16" s="141">
        <f>'Scenario 1'!D20/'LCA inventary (SimaPro)'!$K$5</f>
        <v>1.676338066968809</v>
      </c>
      <c r="D16" s="141">
        <f>'Scenario 1'!E20/'LCA inventary (SimaPro)'!$K$5</f>
        <v>9.8484861434417521</v>
      </c>
      <c r="E16" s="141">
        <f>'Scenario 1'!F20/'LCA inventary (SimaPro)'!$K$5</f>
        <v>5.238556459277528</v>
      </c>
      <c r="F16" s="141">
        <f>'Scenario 1'!G20/'LCA inventary (SimaPro)'!$K$5</f>
        <v>16.76338066968809</v>
      </c>
      <c r="G16" s="141">
        <f>'Scenario 1'!H20/'LCA inventary (SimaPro)'!$K$5</f>
        <v>6.2862677511330336</v>
      </c>
      <c r="H16" s="141">
        <f>'Scenario 1'!I20/'LCA inventary (SimaPro)'!$K$5</f>
        <v>10.477112918555056</v>
      </c>
      <c r="I16" s="141">
        <f>'Scenario 1'!J20/'LCA inventary (SimaPro)'!$K$5</f>
        <v>9.4817871912923248</v>
      </c>
      <c r="J16" s="141">
        <f>'Scenario 1'!K20/'LCA inventary (SimaPro)'!$K$5</f>
        <v>4.2432307320147968</v>
      </c>
      <c r="K16" s="141">
        <f>'Scenario 1'!L20/'LCA inventary (SimaPro)'!$K$5</f>
        <v>0.99532572726273028</v>
      </c>
      <c r="L16" s="141">
        <f>'Scenario 1'!M20/'LCA inventary (SimaPro)'!$K$5</f>
        <v>0.99532572726273028</v>
      </c>
      <c r="M16" s="141">
        <f>'Scenario 1'!N20/'LCA inventary (SimaPro)'!$K$5</f>
        <v>1</v>
      </c>
    </row>
    <row r="17" spans="2:18" ht="17.25" x14ac:dyDescent="0.25">
      <c r="B17" s="11" t="s">
        <v>584</v>
      </c>
      <c r="C17" s="141">
        <f>'Scenario 1'!D22/'LCA inventary (SimaPro)'!$K$5</f>
        <v>1662.2568272062711</v>
      </c>
      <c r="D17" s="141">
        <f>'Scenario 1'!E22/'LCA inventary (SimaPro)'!$K$5</f>
        <v>9848.4861434417508</v>
      </c>
      <c r="E17" s="141">
        <f>'Scenario 1'!F22/'LCA inventary (SimaPro)'!$K$5</f>
        <v>5238.5564592775281</v>
      </c>
      <c r="F17" s="141">
        <f>'Scenario 1'!G22/'LCA inventary (SimaPro)'!$K$5</f>
        <v>16749.299429925552</v>
      </c>
      <c r="G17" s="141">
        <f>'Scenario 1'!H22/'LCA inventary (SimaPro)'!$K$5</f>
        <v>6286.2677511330348</v>
      </c>
      <c r="H17" s="141">
        <f>'Scenario 1'!I22/'LCA inventary (SimaPro)'!$K$5</f>
        <v>10456.158692717947</v>
      </c>
      <c r="I17" s="141">
        <f>'Scenario 1'!J22/'LCA inventary (SimaPro)'!$K$5</f>
        <v>9481.7871912923256</v>
      </c>
      <c r="J17" s="141">
        <f>'Scenario 1'!K22/'LCA inventary (SimaPro)'!$K$5</f>
        <v>4243.2307320147975</v>
      </c>
      <c r="K17" s="141">
        <f>'Scenario 1'!L22/'LCA inventary (SimaPro)'!$K$5</f>
        <v>975.41921271747572</v>
      </c>
      <c r="L17" s="141">
        <f>'Scenario 1'!M22/'LCA inventary (SimaPro)'!$K$5</f>
        <v>975.41921271747572</v>
      </c>
      <c r="M17" s="141">
        <f>'Scenario 1'!N22/'LCA inventary (SimaPro)'!$K$5</f>
        <v>975.41921271747572</v>
      </c>
    </row>
    <row r="18" spans="2:18" ht="17.25" x14ac:dyDescent="0.25">
      <c r="B18" s="11" t="s">
        <v>585</v>
      </c>
      <c r="C18" s="141">
        <f>'Scenario 1'!D24/'LCA inventary (SimaPro)'!$K$5</f>
        <v>0</v>
      </c>
      <c r="D18" s="141">
        <f>'Scenario 1'!E24/'LCA inventary (SimaPro)'!$K$5</f>
        <v>0</v>
      </c>
      <c r="E18" s="141">
        <f>'Scenario 1'!F24/'LCA inventary (SimaPro)'!$K$5</f>
        <v>0</v>
      </c>
      <c r="F18" s="141">
        <f>'Scenario 1'!G24/'LCA inventary (SimaPro)'!$K$5</f>
        <v>0</v>
      </c>
      <c r="G18" s="141">
        <f>'Scenario 1'!H24/'LCA inventary (SimaPro)'!$K$5</f>
        <v>0</v>
      </c>
      <c r="H18" s="141">
        <f>'Scenario 1'!I24/'LCA inventary (SimaPro)'!$K$5</f>
        <v>20.954225837110112</v>
      </c>
      <c r="I18" s="141">
        <f>'Scenario 1'!J24/'LCA inventary (SimaPro)'!$K$5</f>
        <v>0</v>
      </c>
      <c r="J18" s="141">
        <f>'Scenario 1'!K24/'LCA inventary (SimaPro)'!$K$5</f>
        <v>0</v>
      </c>
      <c r="K18" s="141">
        <f>'Scenario 1'!L24/'LCA inventary (SimaPro)'!$K$5</f>
        <v>19.906514545254609</v>
      </c>
      <c r="L18" s="141">
        <f>'Scenario 1'!M24/'LCA inventary (SimaPro)'!$K$5</f>
        <v>19.906514545254609</v>
      </c>
      <c r="M18" s="141">
        <f>'Scenario 1'!N24/'LCA inventary (SimaPro)'!$K$5</f>
        <v>19.906514545254609</v>
      </c>
    </row>
    <row r="19" spans="2:18" ht="17.25" x14ac:dyDescent="0.25">
      <c r="B19" s="11" t="s">
        <v>586</v>
      </c>
      <c r="C19" s="141">
        <f>'Scenario 1'!D26/'LCA inventary (SimaPro)'!$K$5</f>
        <v>14.081239762537997</v>
      </c>
      <c r="D19" s="141">
        <f>'Scenario 1'!E26/'LCA inventary (SimaPro)'!$K$5</f>
        <v>0</v>
      </c>
      <c r="E19" s="141">
        <f>'Scenario 1'!F26/'LCA inventary (SimaPro)'!$K$5</f>
        <v>0</v>
      </c>
      <c r="F19" s="141">
        <f>'Scenario 1'!G26/'LCA inventary (SimaPro)'!$K$5</f>
        <v>14.081239762537997</v>
      </c>
      <c r="G19" s="141">
        <f>'Scenario 1'!H26/'LCA inventary (SimaPro)'!$K$5</f>
        <v>0</v>
      </c>
      <c r="H19" s="141">
        <f>'Scenario 1'!I26/'LCA inventary (SimaPro)'!$K$5</f>
        <v>20.954225837110112</v>
      </c>
      <c r="I19" s="141">
        <f>'Scenario 1'!J26/'LCA inventary (SimaPro)'!$K$5</f>
        <v>0</v>
      </c>
      <c r="J19" s="141">
        <f>'Scenario 1'!K26/'LCA inventary (SimaPro)'!$K$5</f>
        <v>0</v>
      </c>
      <c r="K19" s="141">
        <f>'Scenario 1'!L26/'LCA inventary (SimaPro)'!$K$5</f>
        <v>19.906514545254609</v>
      </c>
      <c r="L19" s="141">
        <f>'Scenario 1'!M26/'LCA inventary (SimaPro)'!$K$5</f>
        <v>19.906514545254609</v>
      </c>
      <c r="M19" s="141">
        <f>'Scenario 1'!N26/'LCA inventary (SimaPro)'!$K$5</f>
        <v>19.906514545254609</v>
      </c>
    </row>
    <row r="20" spans="2:18" ht="17.25" x14ac:dyDescent="0.25">
      <c r="B20" s="11" t="s">
        <v>587</v>
      </c>
      <c r="C20" s="141">
        <f>'Scenario 1'!D28/'LCA inventary (SimaPro)'!$K$5</f>
        <v>23.904580834975217</v>
      </c>
      <c r="D20" s="141">
        <f>'Scenario 1'!E28/'LCA inventary (SimaPro)'!$K$5</f>
        <v>0</v>
      </c>
      <c r="E20" s="141">
        <f>'Scenario 1'!F28/'LCA inventary (SimaPro)'!$K$5</f>
        <v>2.3995764740990984</v>
      </c>
      <c r="F20" s="141">
        <f>'Scenario 1'!G28/'LCA inventary (SimaPro)'!$K$5</f>
        <v>26.304157309074316</v>
      </c>
      <c r="G20" s="141">
        <f>'Scenario 1'!H28/'LCA inventary (SimaPro)'!$K$5</f>
        <v>11.292127532489451</v>
      </c>
      <c r="H20" s="141">
        <f>'Scenario 1'!I28/'LCA inventary (SimaPro)'!$K$5</f>
        <v>15.012029776584864</v>
      </c>
      <c r="I20" s="141">
        <f>'Scenario 1'!J28/'LCA inventary (SimaPro)'!$K$5</f>
        <v>4.3432334181193681</v>
      </c>
      <c r="J20" s="141">
        <f>'Scenario 1'!K28/'LCA inventary (SimaPro)'!$K$5</f>
        <v>1.9436569440202693</v>
      </c>
      <c r="K20" s="141">
        <f>'Scenario 1'!L28/'LCA inventary (SimaPro)'!$K$5</f>
        <v>10.668796358465494</v>
      </c>
      <c r="L20" s="141">
        <f>'Scenario 1'!M28/'LCA inventary (SimaPro)'!$K$5</f>
        <v>10.668796358465494</v>
      </c>
      <c r="M20" s="141">
        <f>'Scenario 1'!N28/'LCA inventary (SimaPro)'!$K$5</f>
        <v>10.668796358465494</v>
      </c>
    </row>
    <row r="21" spans="2:18" ht="17.25" x14ac:dyDescent="0.25">
      <c r="B21" s="11" t="s">
        <v>588</v>
      </c>
      <c r="C21" s="141">
        <f>'Scenario 1'!D30/'LCA inventary (SimaPro)'!$K$5</f>
        <v>8.5828509028803026</v>
      </c>
      <c r="D21" s="141">
        <f>'Scenario 1'!E30/'LCA inventary (SimaPro)'!$K$5</f>
        <v>0</v>
      </c>
      <c r="E21" s="141">
        <f>'Scenario 1'!F30/'LCA inventary (SimaPro)'!$K$5</f>
        <v>3.4462360581731786</v>
      </c>
      <c r="F21" s="141">
        <f>'Scenario 1'!G30/'LCA inventary (SimaPro)'!$K$5</f>
        <v>12.029086961053482</v>
      </c>
      <c r="G21" s="141">
        <f>'Scenario 1'!H30/'LCA inventary (SimaPro)'!$K$5</f>
        <v>3.4200184375438734</v>
      </c>
      <c r="H21" s="141">
        <f>'Scenario 1'!I30/'LCA inventary (SimaPro)'!$K$5</f>
        <v>8.6090685235096078</v>
      </c>
      <c r="I21" s="141">
        <f>'Scenario 1'!J30/'LCA inventary (SimaPro)'!$K$5</f>
        <v>6.2376872652934532</v>
      </c>
      <c r="J21" s="141">
        <f>'Scenario 1'!K30/'LCA inventary (SimaPro)'!$K$5</f>
        <v>2.7914512071202751</v>
      </c>
      <c r="K21" s="141">
        <f>'Scenario 1'!L30/'LCA inventary (SimaPro)'!$K$5</f>
        <v>2.3713812582161542</v>
      </c>
      <c r="L21" s="141">
        <f>'Scenario 1'!M30/'LCA inventary (SimaPro)'!$K$5</f>
        <v>2.3713812582161542</v>
      </c>
      <c r="M21" s="141">
        <f>'Scenario 1'!N30/'LCA inventary (SimaPro)'!$K$5</f>
        <v>2.3713812582161542</v>
      </c>
      <c r="O21" s="26"/>
    </row>
    <row r="22" spans="2:18" ht="17.25" x14ac:dyDescent="0.25">
      <c r="B22" s="11" t="s">
        <v>589</v>
      </c>
      <c r="C22" s="141">
        <f>'Scenario 1'!D32/'LCA inventary (SimaPro)'!$K$5</f>
        <v>5.5788530868721971</v>
      </c>
      <c r="D22" s="141">
        <f>'Scenario 1'!E32/'LCA inventary (SimaPro)'!$K$5</f>
        <v>0</v>
      </c>
      <c r="E22" s="141">
        <f>'Scenario 1'!F32/'LCA inventary (SimaPro)'!$K$5</f>
        <v>9.9532572726273041E-2</v>
      </c>
      <c r="F22" s="141">
        <f>'Scenario 1'!G32/'LCA inventary (SimaPro)'!$K$5</f>
        <v>5.6783856595984696</v>
      </c>
      <c r="G22" s="141">
        <f>'Scenario 1'!H32/'LCA inventary (SimaPro)'!$K$5</f>
        <v>0.56783856595984705</v>
      </c>
      <c r="H22" s="141">
        <f>'Scenario 1'!I32/'LCA inventary (SimaPro)'!$K$5</f>
        <v>5.1105470936386226</v>
      </c>
      <c r="I22" s="141">
        <f>'Scenario 1'!J32/'LCA inventary (SimaPro)'!$K$5</f>
        <v>0.18015395663455416</v>
      </c>
      <c r="J22" s="141">
        <f>'Scenario 1'!K32/'LCA inventary (SimaPro)'!$K$5</f>
        <v>8.062138390828115E-2</v>
      </c>
      <c r="K22" s="141">
        <f>'Scenario 1'!L32/'LCA inventary (SimaPro)'!$K$5</f>
        <v>4.930393137004069</v>
      </c>
      <c r="L22" s="141">
        <f>'Scenario 1'!M32/'LCA inventary (SimaPro)'!$K$5</f>
        <v>4.930393137004069</v>
      </c>
      <c r="M22" s="141">
        <f>'Scenario 1'!N32/'LCA inventary (SimaPro)'!$K$5</f>
        <v>4.930393137004069</v>
      </c>
      <c r="O22" s="26"/>
    </row>
    <row r="23" spans="2:18" ht="17.25" x14ac:dyDescent="0.25">
      <c r="B23" s="11" t="s">
        <v>590</v>
      </c>
      <c r="C23" s="141">
        <f>'Scenario 1'!D34/'LCA inventary (SimaPro)'!$K$5</f>
        <v>0.12740169308962951</v>
      </c>
      <c r="D23" s="141">
        <f>'Scenario 1'!E34/'LCA inventary (SimaPro)'!$K$5</f>
        <v>0</v>
      </c>
      <c r="E23" s="141">
        <f>'Scenario 1'!F34/'LCA inventary (SimaPro)'!$K$5</f>
        <v>5.1155066488508143E-2</v>
      </c>
      <c r="F23" s="141">
        <f>'Scenario 1'!G34/'LCA inventary (SimaPro)'!$K$5</f>
        <v>0.17855675957813763</v>
      </c>
      <c r="G23" s="141">
        <f>'Scenario 1'!H34/'LCA inventary (SimaPro)'!$K$5</f>
        <v>1.6721472218013858E-2</v>
      </c>
      <c r="H23" s="141">
        <f>'Scenario 1'!I34/'LCA inventary (SimaPro)'!$K$5</f>
        <v>0.16183528736012379</v>
      </c>
      <c r="I23" s="141">
        <f>'Scenario 1'!J34/'LCA inventary (SimaPro)'!$K$5</f>
        <v>9.2590670344199738E-2</v>
      </c>
      <c r="J23" s="141">
        <f>'Scenario 1'!K34/'LCA inventary (SimaPro)'!$K$5</f>
        <v>4.1435603855691588E-2</v>
      </c>
      <c r="K23" s="141">
        <f>'Scenario 1'!L34/'LCA inventary (SimaPro)'!$K$5</f>
        <v>6.9244617015924048E-2</v>
      </c>
      <c r="L23" s="141">
        <f>'Scenario 1'!M34/'LCA inventary (SimaPro)'!$K$5</f>
        <v>6.9244617015924048E-2</v>
      </c>
      <c r="M23" s="141">
        <f>'Scenario 1'!N34/'LCA inventary (SimaPro)'!$K$5</f>
        <v>4.7435173542856939</v>
      </c>
      <c r="O23" s="26"/>
    </row>
    <row r="24" spans="2:18" ht="17.25" x14ac:dyDescent="0.25">
      <c r="B24" s="11" t="s">
        <v>591</v>
      </c>
      <c r="C24" s="141">
        <f>'Scenario 1'!D36/'LCA inventary (SimaPro)'!$K$5</f>
        <v>0</v>
      </c>
      <c r="D24" s="141">
        <f>'Scenario 1'!E36/'LCA inventary (SimaPro)'!$K$5</f>
        <v>0</v>
      </c>
      <c r="E24" s="141">
        <f>'Scenario 1'!F36/'LCA inventary (SimaPro)'!$K$5</f>
        <v>0</v>
      </c>
      <c r="F24" s="141">
        <f>'Scenario 1'!G36/'LCA inventary (SimaPro)'!$K$5</f>
        <v>0</v>
      </c>
      <c r="G24" s="141">
        <f>'Scenario 1'!H36/'LCA inventary (SimaPro)'!$K$5</f>
        <v>0</v>
      </c>
      <c r="H24" s="141">
        <f>'Scenario 1'!I36/'LCA inventary (SimaPro)'!$K$5</f>
        <v>10.291668019896633</v>
      </c>
      <c r="I24" s="141">
        <f>'Scenario 1'!J36/'LCA inventary (SimaPro)'!$K$5</f>
        <v>0</v>
      </c>
      <c r="J24" s="141">
        <f>'Scenario 1'!K36/'LCA inventary (SimaPro)'!$K$5</f>
        <v>0</v>
      </c>
      <c r="K24" s="141">
        <f>'Scenario 1'!L36/'LCA inventary (SimaPro)'!$K$5</f>
        <v>10.291668019896633</v>
      </c>
      <c r="L24" s="141">
        <f>'Scenario 1'!M36/'LCA inventary (SimaPro)'!$K$5</f>
        <v>10.291668019896633</v>
      </c>
      <c r="M24" s="141">
        <f>'Scenario 1'!N36/'LCA inventary (SimaPro)'!$K$5</f>
        <v>10.291668019896633</v>
      </c>
      <c r="O24" s="26"/>
    </row>
    <row r="25" spans="2:18" ht="17.25" x14ac:dyDescent="0.25">
      <c r="B25" s="11" t="s">
        <v>592</v>
      </c>
      <c r="C25" s="141">
        <f>'Scenario 1'!D38/'LCA inventary (SimaPro)'!$K$5</f>
        <v>0</v>
      </c>
      <c r="D25" s="141">
        <f>'Scenario 1'!E38/'LCA inventary (SimaPro)'!$K$5</f>
        <v>0</v>
      </c>
      <c r="E25" s="141">
        <f>'Scenario 1'!F38/'LCA inventary (SimaPro)'!$K$5</f>
        <v>0</v>
      </c>
      <c r="F25" s="141">
        <f>'Scenario 1'!G38/'LCA inventary (SimaPro)'!$K$5</f>
        <v>0</v>
      </c>
      <c r="G25" s="141">
        <f>'Scenario 1'!H38/'LCA inventary (SimaPro)'!$K$5</f>
        <v>0</v>
      </c>
      <c r="H25" s="141">
        <f>'Scenario 1'!I38/'LCA inventary (SimaPro)'!$K$5</f>
        <v>4.4391527435917775</v>
      </c>
      <c r="I25" s="141">
        <f>'Scenario 1'!J38/'LCA inventary (SimaPro)'!$K$5</f>
        <v>0</v>
      </c>
      <c r="J25" s="141">
        <f>'Scenario 1'!K38/'LCA inventary (SimaPro)'!$K$5</f>
        <v>0</v>
      </c>
      <c r="K25" s="141">
        <f>'Scenario 1'!L38/'LCA inventary (SimaPro)'!$K$5</f>
        <v>4.4391527435917775</v>
      </c>
      <c r="L25" s="141">
        <f>'Scenario 1'!M38/'LCA inventary (SimaPro)'!$K$5</f>
        <v>4.4391527435917775</v>
      </c>
      <c r="M25" s="141">
        <f>'Scenario 1'!N38/'LCA inventary (SimaPro)'!$K$5</f>
        <v>4.4391527435917775</v>
      </c>
      <c r="O25" s="26"/>
    </row>
    <row r="26" spans="2:18" ht="17.25" x14ac:dyDescent="0.25">
      <c r="B26" s="11" t="s">
        <v>593</v>
      </c>
      <c r="C26" s="141">
        <f>'Scenario 1'!D40/'LCA inventary (SimaPro)'!$K$5</f>
        <v>0</v>
      </c>
      <c r="D26" s="141">
        <f>'Scenario 1'!E40/'LCA inventary (SimaPro)'!$K$5</f>
        <v>0</v>
      </c>
      <c r="E26" s="141">
        <f>'Scenario 1'!F40/'LCA inventary (SimaPro)'!$K$5</f>
        <v>0</v>
      </c>
      <c r="F26" s="141">
        <f>'Scenario 1'!G40/'LCA inventary (SimaPro)'!$K$5</f>
        <v>0</v>
      </c>
      <c r="G26" s="141">
        <f>'Scenario 1'!H40/'LCA inventary (SimaPro)'!$K$5</f>
        <v>0</v>
      </c>
      <c r="H26" s="141">
        <f>'Scenario 1'!I40/'LCA inventary (SimaPro)'!$K$5</f>
        <v>2.6674729490641176</v>
      </c>
      <c r="I26" s="141">
        <f>'Scenario 1'!J40/'LCA inventary (SimaPro)'!$K$5</f>
        <v>0</v>
      </c>
      <c r="J26" s="141">
        <f>'Scenario 1'!K40/'LCA inventary (SimaPro)'!$K$5</f>
        <v>0</v>
      </c>
      <c r="K26" s="141">
        <f>'Scenario 1'!L40/'LCA inventary (SimaPro)'!$K$5</f>
        <v>2.6674729490641176</v>
      </c>
      <c r="L26" s="141">
        <f>'Scenario 1'!M40/'LCA inventary (SimaPro)'!$K$5</f>
        <v>2.6674729490641176</v>
      </c>
      <c r="M26" s="141">
        <f>'Scenario 1'!N40/'LCA inventary (SimaPro)'!$K$5</f>
        <v>2.6674729490641176</v>
      </c>
      <c r="O26" s="26"/>
    </row>
    <row r="27" spans="2:18" ht="15.75" thickBot="1" x14ac:dyDescent="0.3">
      <c r="B27" s="6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Q27" s="143"/>
      <c r="R27" s="5"/>
    </row>
    <row r="28" spans="2:18" s="154" customFormat="1" ht="15.75" thickBot="1" x14ac:dyDescent="0.3">
      <c r="B28" s="293" t="s">
        <v>419</v>
      </c>
      <c r="C28" s="294"/>
      <c r="D28" s="294"/>
      <c r="E28" s="294"/>
      <c r="F28" s="294"/>
      <c r="G28" s="294"/>
      <c r="H28" s="295"/>
      <c r="I28" s="169"/>
      <c r="J28" s="170"/>
      <c r="K28" s="169"/>
      <c r="L28" s="169"/>
      <c r="M28" s="169"/>
    </row>
    <row r="29" spans="2:18" x14ac:dyDescent="0.25">
      <c r="B29" s="6"/>
      <c r="C29" s="123"/>
      <c r="D29" s="123"/>
      <c r="E29" s="123"/>
      <c r="F29" s="123"/>
      <c r="G29" s="123"/>
      <c r="H29" s="123"/>
      <c r="I29" s="123"/>
      <c r="J29" s="26"/>
      <c r="K29" s="123"/>
      <c r="L29" s="123"/>
      <c r="M29" s="123"/>
    </row>
    <row r="30" spans="2:18" x14ac:dyDescent="0.25">
      <c r="B30" s="133" t="s">
        <v>364</v>
      </c>
      <c r="C30" s="133" t="s">
        <v>355</v>
      </c>
      <c r="D30" s="133" t="s">
        <v>365</v>
      </c>
      <c r="E30" s="292" t="s">
        <v>410</v>
      </c>
      <c r="F30" s="292"/>
      <c r="G30" s="292"/>
      <c r="H30" s="292"/>
      <c r="I30" s="292"/>
      <c r="J30" s="292"/>
      <c r="K30" s="292"/>
      <c r="L30" s="292"/>
      <c r="M30" s="292"/>
    </row>
    <row r="31" spans="2:18" ht="17.25" x14ac:dyDescent="0.25">
      <c r="B31" s="147" t="s">
        <v>456</v>
      </c>
      <c r="C31" s="146">
        <f>C16</f>
        <v>1.676338066968809</v>
      </c>
      <c r="D31" s="11" t="s">
        <v>469</v>
      </c>
      <c r="E31" s="288" t="s">
        <v>456</v>
      </c>
      <c r="F31" s="288"/>
      <c r="G31" s="288"/>
      <c r="H31" s="288"/>
      <c r="I31" s="288"/>
      <c r="J31" s="288"/>
      <c r="K31" s="288"/>
      <c r="L31" s="288"/>
      <c r="M31" s="288"/>
    </row>
    <row r="32" spans="2:18" ht="17.25" x14ac:dyDescent="0.25">
      <c r="B32" s="134" t="s">
        <v>217</v>
      </c>
      <c r="C32" s="146">
        <f>C6</f>
        <v>9848.4861434417508</v>
      </c>
      <c r="D32" s="11" t="s">
        <v>471</v>
      </c>
      <c r="E32" s="288" t="s">
        <v>472</v>
      </c>
      <c r="F32" s="288"/>
      <c r="G32" s="288"/>
      <c r="H32" s="288"/>
      <c r="I32" s="288"/>
      <c r="J32" s="288"/>
      <c r="K32" s="288"/>
      <c r="L32" s="288"/>
      <c r="M32" s="288"/>
    </row>
    <row r="33" spans="1:14" ht="17.25" x14ac:dyDescent="0.25">
      <c r="B33" s="135" t="s">
        <v>377</v>
      </c>
      <c r="C33" s="146">
        <f>C10</f>
        <v>1.2572535502266067</v>
      </c>
      <c r="D33" s="11" t="s">
        <v>471</v>
      </c>
      <c r="E33" s="267" t="s">
        <v>473</v>
      </c>
      <c r="F33" s="268"/>
      <c r="G33" s="268"/>
      <c r="H33" s="268"/>
      <c r="I33" s="268"/>
      <c r="J33" s="268"/>
      <c r="K33" s="268"/>
      <c r="L33" s="268"/>
      <c r="M33" s="269"/>
    </row>
    <row r="34" spans="1:14" ht="18" x14ac:dyDescent="0.25">
      <c r="B34" s="155" t="s">
        <v>487</v>
      </c>
      <c r="C34" s="153">
        <f>C7</f>
        <v>31.431338755665173</v>
      </c>
      <c r="D34" s="130" t="s">
        <v>488</v>
      </c>
      <c r="E34" s="305" t="s">
        <v>486</v>
      </c>
      <c r="F34" s="306"/>
      <c r="G34" s="306"/>
      <c r="H34" s="306"/>
      <c r="I34" s="306"/>
      <c r="J34" s="306"/>
      <c r="K34" s="306"/>
      <c r="L34" s="306"/>
      <c r="M34" s="307"/>
    </row>
    <row r="35" spans="1:14" ht="17.25" x14ac:dyDescent="0.25">
      <c r="A35" s="143">
        <f>C35+C36</f>
        <v>22.971209642105364</v>
      </c>
      <c r="B35" s="134" t="s">
        <v>378</v>
      </c>
      <c r="C35" s="153">
        <f>'Scenario 1'!C103/P</f>
        <v>22.932304756133313</v>
      </c>
      <c r="D35" s="11" t="s">
        <v>470</v>
      </c>
      <c r="E35" s="267" t="s">
        <v>485</v>
      </c>
      <c r="F35" s="268"/>
      <c r="G35" s="268"/>
      <c r="H35" s="268"/>
      <c r="I35" s="268"/>
      <c r="J35" s="268"/>
      <c r="K35" s="268"/>
      <c r="L35" s="268"/>
      <c r="M35" s="269"/>
    </row>
    <row r="36" spans="1:14" ht="17.25" x14ac:dyDescent="0.25">
      <c r="B36" s="134" t="s">
        <v>426</v>
      </c>
      <c r="C36" s="146">
        <f>((('Scenario 1'!C132+'Scenario 1'!C133+'Scenario 1'!C135)/1000)*8)/P</f>
        <v>3.8904885972050669E-2</v>
      </c>
      <c r="D36" s="11" t="s">
        <v>470</v>
      </c>
      <c r="E36" s="267" t="s">
        <v>485</v>
      </c>
      <c r="F36" s="268"/>
      <c r="G36" s="268"/>
      <c r="H36" s="268"/>
      <c r="I36" s="268"/>
      <c r="J36" s="268"/>
      <c r="K36" s="268"/>
      <c r="L36" s="268"/>
      <c r="M36" s="269"/>
    </row>
    <row r="37" spans="1:14" x14ac:dyDescent="0.25">
      <c r="B37" s="145" t="s">
        <v>366</v>
      </c>
      <c r="C37" s="145" t="s">
        <v>355</v>
      </c>
      <c r="D37" s="145" t="s">
        <v>365</v>
      </c>
      <c r="E37" s="299" t="s">
        <v>410</v>
      </c>
      <c r="F37" s="300"/>
      <c r="G37" s="300"/>
      <c r="H37" s="300"/>
      <c r="I37" s="300"/>
      <c r="J37" s="300"/>
      <c r="K37" s="300"/>
      <c r="L37" s="300"/>
      <c r="M37" s="301"/>
    </row>
    <row r="38" spans="1:14" ht="17.25" x14ac:dyDescent="0.25">
      <c r="B38" s="148" t="s">
        <v>453</v>
      </c>
      <c r="C38" s="146">
        <f>H16</f>
        <v>10.477112918555056</v>
      </c>
      <c r="D38" s="11" t="s">
        <v>469</v>
      </c>
      <c r="E38" s="267" t="s">
        <v>475</v>
      </c>
      <c r="F38" s="268"/>
      <c r="G38" s="268"/>
      <c r="H38" s="268"/>
      <c r="I38" s="268"/>
      <c r="J38" s="268"/>
      <c r="K38" s="268"/>
      <c r="L38" s="268"/>
      <c r="M38" s="269"/>
    </row>
    <row r="39" spans="1:14" ht="17.25" x14ac:dyDescent="0.25">
      <c r="B39" s="31" t="s">
        <v>379</v>
      </c>
      <c r="C39" s="146">
        <f>H18</f>
        <v>20.954225837110112</v>
      </c>
      <c r="D39" s="11" t="s">
        <v>471</v>
      </c>
      <c r="E39" s="267" t="s">
        <v>41</v>
      </c>
      <c r="F39" s="268"/>
      <c r="G39" s="268"/>
      <c r="H39" s="268"/>
      <c r="I39" s="268"/>
      <c r="J39" s="268"/>
      <c r="K39" s="268"/>
      <c r="L39" s="268"/>
      <c r="M39" s="269"/>
    </row>
    <row r="40" spans="1:14" x14ac:dyDescent="0.25">
      <c r="B40" s="136" t="s">
        <v>417</v>
      </c>
      <c r="C40" s="136" t="s">
        <v>355</v>
      </c>
      <c r="D40" s="136" t="s">
        <v>365</v>
      </c>
      <c r="E40" s="302" t="s">
        <v>410</v>
      </c>
      <c r="F40" s="303"/>
      <c r="G40" s="303"/>
      <c r="H40" s="303"/>
      <c r="I40" s="303"/>
      <c r="J40" s="303"/>
      <c r="K40" s="303"/>
      <c r="L40" s="303"/>
      <c r="M40" s="304"/>
    </row>
    <row r="41" spans="1:14" ht="17.25" x14ac:dyDescent="0.25">
      <c r="B41" s="16" t="s">
        <v>380</v>
      </c>
      <c r="C41" s="146">
        <f>G17</f>
        <v>6286.2677511330348</v>
      </c>
      <c r="D41" s="11" t="s">
        <v>471</v>
      </c>
      <c r="E41" s="267" t="s">
        <v>217</v>
      </c>
      <c r="F41" s="268"/>
      <c r="G41" s="268"/>
      <c r="H41" s="268"/>
      <c r="I41" s="268"/>
      <c r="J41" s="268"/>
      <c r="K41" s="268"/>
      <c r="L41" s="268"/>
      <c r="M41" s="269"/>
    </row>
    <row r="42" spans="1:14" ht="18" x14ac:dyDescent="0.25">
      <c r="B42" s="12" t="s">
        <v>163</v>
      </c>
      <c r="C42" s="146">
        <v>0</v>
      </c>
      <c r="D42" s="11" t="s">
        <v>471</v>
      </c>
      <c r="E42" s="267" t="s">
        <v>612</v>
      </c>
      <c r="F42" s="268"/>
      <c r="G42" s="268"/>
      <c r="H42" s="268"/>
      <c r="I42" s="268"/>
      <c r="J42" s="268"/>
      <c r="K42" s="268"/>
      <c r="L42" s="268"/>
      <c r="M42" s="269"/>
    </row>
    <row r="43" spans="1:14" ht="17.25" x14ac:dyDescent="0.25">
      <c r="B43" s="16" t="s">
        <v>451</v>
      </c>
      <c r="C43" s="146">
        <f>G22</f>
        <v>0.56783856595984705</v>
      </c>
      <c r="D43" s="11" t="s">
        <v>471</v>
      </c>
      <c r="E43" s="267" t="s">
        <v>474</v>
      </c>
      <c r="F43" s="268"/>
      <c r="G43" s="268"/>
      <c r="H43" s="268"/>
      <c r="I43" s="268"/>
      <c r="J43" s="268"/>
      <c r="K43" s="268"/>
      <c r="L43" s="268"/>
      <c r="M43" s="269"/>
      <c r="N43" s="26"/>
    </row>
    <row r="44" spans="1:14" x14ac:dyDescent="0.25">
      <c r="B44" s="32" t="s">
        <v>420</v>
      </c>
      <c r="C44" s="32" t="s">
        <v>355</v>
      </c>
      <c r="D44" s="32" t="s">
        <v>365</v>
      </c>
      <c r="E44" s="311" t="s">
        <v>410</v>
      </c>
      <c r="F44" s="312"/>
      <c r="G44" s="312"/>
      <c r="H44" s="312"/>
      <c r="I44" s="312"/>
      <c r="J44" s="312"/>
      <c r="K44" s="312"/>
      <c r="L44" s="312"/>
      <c r="M44" s="313"/>
      <c r="N44" s="26"/>
    </row>
    <row r="45" spans="1:14" ht="17.25" hidden="1" x14ac:dyDescent="0.25">
      <c r="B45" s="157" t="s">
        <v>37</v>
      </c>
      <c r="C45" s="146">
        <f>C21</f>
        <v>8.5828509028803026</v>
      </c>
      <c r="D45" s="11" t="s">
        <v>471</v>
      </c>
      <c r="E45" s="267" t="s">
        <v>490</v>
      </c>
      <c r="F45" s="268"/>
      <c r="G45" s="268"/>
      <c r="H45" s="268"/>
      <c r="I45" s="268"/>
      <c r="J45" s="268"/>
      <c r="K45" s="268"/>
      <c r="L45" s="268"/>
      <c r="M45" s="269"/>
      <c r="N45" s="26"/>
    </row>
    <row r="46" spans="1:14" ht="17.25" hidden="1" x14ac:dyDescent="0.25">
      <c r="B46" s="157" t="s">
        <v>42</v>
      </c>
      <c r="C46" s="146">
        <f>C23</f>
        <v>0.12740169308962951</v>
      </c>
      <c r="D46" s="11" t="s">
        <v>471</v>
      </c>
      <c r="E46" s="267" t="s">
        <v>491</v>
      </c>
      <c r="F46" s="268"/>
      <c r="G46" s="268"/>
      <c r="H46" s="268"/>
      <c r="I46" s="268"/>
      <c r="J46" s="268"/>
      <c r="K46" s="268"/>
      <c r="L46" s="268"/>
      <c r="M46" s="269"/>
      <c r="N46" s="26"/>
    </row>
    <row r="47" spans="1:14" ht="17.25" x14ac:dyDescent="0.25">
      <c r="A47" s="152"/>
      <c r="B47" s="157" t="s">
        <v>436</v>
      </c>
      <c r="C47" s="146">
        <f>($C$16*Calculations!C26)/1000</f>
        <v>9.3874931750253295E-3</v>
      </c>
      <c r="D47" s="11" t="s">
        <v>471</v>
      </c>
      <c r="E47" s="288" t="s">
        <v>41</v>
      </c>
      <c r="F47" s="288"/>
      <c r="G47" s="288"/>
      <c r="H47" s="288"/>
      <c r="I47" s="288"/>
      <c r="J47" s="288"/>
      <c r="K47" s="288"/>
      <c r="L47" s="288"/>
      <c r="M47" s="288"/>
      <c r="N47" s="26"/>
    </row>
    <row r="48" spans="1:14" ht="17.25" x14ac:dyDescent="0.25">
      <c r="A48" s="152"/>
      <c r="B48" s="157" t="s">
        <v>437</v>
      </c>
      <c r="C48" s="146">
        <f>($C$16*Calculations!C27)/1000</f>
        <v>3.2856226112588656E-2</v>
      </c>
      <c r="D48" s="11" t="s">
        <v>471</v>
      </c>
      <c r="E48" s="267" t="s">
        <v>41</v>
      </c>
      <c r="F48" s="268"/>
      <c r="G48" s="268"/>
      <c r="H48" s="268"/>
      <c r="I48" s="268"/>
      <c r="J48" s="268"/>
      <c r="K48" s="268"/>
      <c r="L48" s="268"/>
      <c r="M48" s="269"/>
      <c r="N48" s="26"/>
    </row>
    <row r="49" spans="1:18" ht="17.25" x14ac:dyDescent="0.25">
      <c r="A49" s="152"/>
      <c r="B49" s="157" t="s">
        <v>438</v>
      </c>
      <c r="C49" s="146">
        <f>($C$16*Calculations!C28)/1000</f>
        <v>6.8729860745721171E-5</v>
      </c>
      <c r="D49" s="11" t="s">
        <v>471</v>
      </c>
      <c r="E49" s="267" t="s">
        <v>41</v>
      </c>
      <c r="F49" s="268"/>
      <c r="G49" s="268"/>
      <c r="H49" s="268"/>
      <c r="I49" s="268"/>
      <c r="J49" s="268"/>
      <c r="K49" s="268"/>
      <c r="L49" s="268"/>
      <c r="M49" s="269"/>
      <c r="N49" s="26"/>
    </row>
    <row r="50" spans="1:18" x14ac:dyDescent="0.25">
      <c r="B50" s="6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</row>
    <row r="51" spans="1:18" x14ac:dyDescent="0.25">
      <c r="B51" s="291" t="s">
        <v>390</v>
      </c>
      <c r="C51" s="291"/>
      <c r="D51" s="291"/>
      <c r="E51" s="291"/>
      <c r="F51" s="291"/>
      <c r="G51" s="291"/>
      <c r="H51" s="291"/>
      <c r="I51" s="142"/>
      <c r="J51" s="142"/>
      <c r="K51" s="142"/>
      <c r="L51" s="142"/>
      <c r="M51" s="142"/>
    </row>
    <row r="52" spans="1:18" x14ac:dyDescent="0.25">
      <c r="B52" s="87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</row>
    <row r="53" spans="1:18" x14ac:dyDescent="0.25">
      <c r="B53" s="133" t="s">
        <v>364</v>
      </c>
      <c r="C53" s="133" t="s">
        <v>355</v>
      </c>
      <c r="D53" s="133" t="s">
        <v>365</v>
      </c>
      <c r="E53" s="292" t="s">
        <v>410</v>
      </c>
      <c r="F53" s="292"/>
      <c r="G53" s="292"/>
      <c r="H53" s="292"/>
      <c r="I53" s="292"/>
      <c r="J53" s="292"/>
      <c r="K53" s="292"/>
      <c r="L53" s="292"/>
      <c r="M53" s="292"/>
    </row>
    <row r="54" spans="1:18" ht="17.25" x14ac:dyDescent="0.25">
      <c r="B54" s="134" t="s">
        <v>452</v>
      </c>
      <c r="C54" s="146">
        <f>C38</f>
        <v>10.477112918555056</v>
      </c>
      <c r="D54" s="11" t="s">
        <v>545</v>
      </c>
      <c r="E54" s="288" t="s">
        <v>542</v>
      </c>
      <c r="F54" s="288"/>
      <c r="G54" s="288"/>
      <c r="H54" s="288"/>
      <c r="I54" s="288"/>
      <c r="J54" s="288"/>
      <c r="K54" s="288"/>
      <c r="L54" s="288"/>
      <c r="M54" s="288"/>
    </row>
    <row r="55" spans="1:18" ht="15.75" thickBot="1" x14ac:dyDescent="0.3">
      <c r="B55" s="87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</row>
    <row r="56" spans="1:18" s="154" customFormat="1" ht="15.75" thickBot="1" x14ac:dyDescent="0.3">
      <c r="B56" s="293" t="s">
        <v>412</v>
      </c>
      <c r="C56" s="294"/>
      <c r="D56" s="294"/>
      <c r="E56" s="294"/>
      <c r="F56" s="294"/>
      <c r="G56" s="294"/>
      <c r="H56" s="295"/>
      <c r="I56" s="171"/>
      <c r="J56" s="170"/>
      <c r="K56" s="171"/>
      <c r="L56" s="171"/>
      <c r="M56" s="171"/>
    </row>
    <row r="57" spans="1:18" x14ac:dyDescent="0.25">
      <c r="B57" s="87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</row>
    <row r="58" spans="1:18" x14ac:dyDescent="0.25">
      <c r="B58" s="133" t="s">
        <v>364</v>
      </c>
      <c r="C58" s="133" t="s">
        <v>355</v>
      </c>
      <c r="D58" s="133" t="s">
        <v>365</v>
      </c>
      <c r="E58" s="292" t="s">
        <v>410</v>
      </c>
      <c r="F58" s="292"/>
      <c r="G58" s="292"/>
      <c r="H58" s="292"/>
      <c r="I58" s="292"/>
      <c r="J58" s="292"/>
      <c r="K58" s="292"/>
      <c r="L58" s="292"/>
      <c r="M58" s="292"/>
    </row>
    <row r="59" spans="1:18" ht="17.25" x14ac:dyDescent="0.25">
      <c r="B59" s="147" t="s">
        <v>453</v>
      </c>
      <c r="C59" s="146">
        <f>C38</f>
        <v>10.477112918555056</v>
      </c>
      <c r="D59" s="11" t="s">
        <v>469</v>
      </c>
      <c r="E59" s="267" t="s">
        <v>475</v>
      </c>
      <c r="F59" s="268"/>
      <c r="G59" s="268"/>
      <c r="H59" s="268"/>
      <c r="I59" s="268"/>
      <c r="J59" s="268"/>
      <c r="K59" s="268"/>
      <c r="L59" s="268"/>
      <c r="M59" s="269"/>
    </row>
    <row r="60" spans="1:18" ht="17.25" x14ac:dyDescent="0.25">
      <c r="B60" s="134" t="s">
        <v>413</v>
      </c>
      <c r="C60" s="146">
        <f>'Scenario 1'!C119/P</f>
        <v>2.0954225837110112</v>
      </c>
      <c r="D60" s="11" t="s">
        <v>470</v>
      </c>
      <c r="E60" s="267" t="s">
        <v>485</v>
      </c>
      <c r="F60" s="268"/>
      <c r="G60" s="268"/>
      <c r="H60" s="268"/>
      <c r="I60" s="268"/>
      <c r="J60" s="268"/>
      <c r="K60" s="268"/>
      <c r="L60" s="268"/>
      <c r="M60" s="269"/>
    </row>
    <row r="61" spans="1:18" ht="17.25" x14ac:dyDescent="0.25">
      <c r="A61" s="143">
        <f>C60+C61</f>
        <v>2.1213710099849683</v>
      </c>
      <c r="B61" s="134" t="s">
        <v>427</v>
      </c>
      <c r="C61" s="146">
        <f>((('Scenario 1'!C134+'Scenario 1'!C136)/1000)*8)/P</f>
        <v>2.5948426273956951E-2</v>
      </c>
      <c r="D61" s="11" t="s">
        <v>470</v>
      </c>
      <c r="E61" s="267" t="s">
        <v>485</v>
      </c>
      <c r="F61" s="268"/>
      <c r="G61" s="268"/>
      <c r="H61" s="268"/>
      <c r="I61" s="268"/>
      <c r="J61" s="268"/>
      <c r="K61" s="268"/>
      <c r="L61" s="268"/>
      <c r="M61" s="269"/>
    </row>
    <row r="62" spans="1:18" x14ac:dyDescent="0.25">
      <c r="B62" s="145" t="s">
        <v>421</v>
      </c>
      <c r="C62" s="145" t="s">
        <v>355</v>
      </c>
      <c r="D62" s="145" t="s">
        <v>365</v>
      </c>
      <c r="E62" s="299" t="s">
        <v>410</v>
      </c>
      <c r="F62" s="300"/>
      <c r="G62" s="300"/>
      <c r="H62" s="300"/>
      <c r="I62" s="300"/>
      <c r="J62" s="300"/>
      <c r="K62" s="300"/>
      <c r="L62" s="300"/>
      <c r="M62" s="301"/>
    </row>
    <row r="63" spans="1:18" ht="17.25" x14ac:dyDescent="0.25">
      <c r="B63" s="148" t="s">
        <v>454</v>
      </c>
      <c r="C63" s="146">
        <f>K6</f>
        <v>4.2432307320147968</v>
      </c>
      <c r="D63" s="11" t="s">
        <v>469</v>
      </c>
      <c r="E63" s="267" t="s">
        <v>477</v>
      </c>
      <c r="F63" s="268"/>
      <c r="G63" s="268"/>
      <c r="H63" s="268"/>
      <c r="I63" s="268"/>
      <c r="J63" s="268"/>
      <c r="K63" s="268"/>
      <c r="L63" s="268"/>
      <c r="M63" s="269"/>
    </row>
    <row r="64" spans="1:18" ht="17.25" x14ac:dyDescent="0.25">
      <c r="B64" s="148" t="s">
        <v>455</v>
      </c>
      <c r="C64" s="146">
        <f>K16</f>
        <v>0.99532572726273028</v>
      </c>
      <c r="D64" s="11" t="s">
        <v>469</v>
      </c>
      <c r="E64" s="267" t="s">
        <v>476</v>
      </c>
      <c r="F64" s="268"/>
      <c r="G64" s="268"/>
      <c r="H64" s="268"/>
      <c r="I64" s="268"/>
      <c r="J64" s="268"/>
      <c r="K64" s="268"/>
      <c r="L64" s="268"/>
      <c r="M64" s="269"/>
      <c r="R64" s="26"/>
    </row>
    <row r="65" spans="1:18" ht="15.75" thickBot="1" x14ac:dyDescent="0.3">
      <c r="B65" s="87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</row>
    <row r="66" spans="1:18" s="154" customFormat="1" ht="15.75" thickBot="1" x14ac:dyDescent="0.3">
      <c r="B66" s="293" t="s">
        <v>414</v>
      </c>
      <c r="C66" s="294"/>
      <c r="D66" s="294"/>
      <c r="E66" s="294"/>
      <c r="F66" s="294"/>
      <c r="G66" s="294"/>
      <c r="H66" s="295"/>
      <c r="I66" s="171"/>
      <c r="J66" s="170"/>
      <c r="K66" s="171"/>
      <c r="L66" s="171"/>
      <c r="M66" s="171"/>
    </row>
    <row r="67" spans="1:18" x14ac:dyDescent="0.25">
      <c r="B67" s="139"/>
      <c r="C67" s="139"/>
      <c r="D67" s="139"/>
      <c r="E67" s="139"/>
      <c r="F67" s="139"/>
      <c r="G67" s="139"/>
      <c r="H67" s="139"/>
      <c r="I67" s="142"/>
      <c r="J67" s="142"/>
      <c r="K67" s="142"/>
      <c r="L67" s="142"/>
      <c r="M67" s="142"/>
      <c r="R67" s="151"/>
    </row>
    <row r="68" spans="1:18" x14ac:dyDescent="0.25">
      <c r="B68" s="133" t="s">
        <v>364</v>
      </c>
      <c r="C68" s="133" t="s">
        <v>355</v>
      </c>
      <c r="D68" s="133" t="s">
        <v>365</v>
      </c>
      <c r="E68" s="292" t="s">
        <v>410</v>
      </c>
      <c r="F68" s="292"/>
      <c r="G68" s="292"/>
      <c r="H68" s="292"/>
      <c r="I68" s="292"/>
      <c r="J68" s="292"/>
      <c r="K68" s="292"/>
      <c r="L68" s="292"/>
      <c r="M68" s="292"/>
    </row>
    <row r="69" spans="1:18" ht="17.25" x14ac:dyDescent="0.25">
      <c r="B69" s="147" t="s">
        <v>458</v>
      </c>
      <c r="C69" s="146">
        <f>C64</f>
        <v>0.99532572726273028</v>
      </c>
      <c r="D69" s="11" t="s">
        <v>469</v>
      </c>
      <c r="E69" s="267" t="s">
        <v>476</v>
      </c>
      <c r="F69" s="268"/>
      <c r="G69" s="268"/>
      <c r="H69" s="268"/>
      <c r="I69" s="268"/>
      <c r="J69" s="268"/>
      <c r="K69" s="268"/>
      <c r="L69" s="268"/>
      <c r="M69" s="269"/>
      <c r="R69" s="26"/>
    </row>
    <row r="70" spans="1:18" ht="17.25" x14ac:dyDescent="0.25">
      <c r="B70" s="134" t="s">
        <v>415</v>
      </c>
      <c r="C70" s="146">
        <f>'Scenario 1'!C110/P</f>
        <v>2.2118349494727343</v>
      </c>
      <c r="D70" s="11" t="s">
        <v>470</v>
      </c>
      <c r="E70" s="267" t="s">
        <v>485</v>
      </c>
      <c r="F70" s="268"/>
      <c r="G70" s="268"/>
      <c r="H70" s="268"/>
      <c r="I70" s="268"/>
      <c r="J70" s="268"/>
      <c r="K70" s="268"/>
      <c r="L70" s="268"/>
      <c r="M70" s="269"/>
      <c r="R70" s="26"/>
    </row>
    <row r="71" spans="1:18" ht="17.25" x14ac:dyDescent="0.25">
      <c r="A71" s="143">
        <f>C70+C71</f>
        <v>2.2247985105463819</v>
      </c>
      <c r="B71" s="134" t="s">
        <v>428</v>
      </c>
      <c r="C71" s="146">
        <f>(('Scenario 1'!C137/1000)*8)/P</f>
        <v>1.2963561073647625E-2</v>
      </c>
      <c r="D71" s="11" t="s">
        <v>470</v>
      </c>
      <c r="E71" s="267" t="s">
        <v>485</v>
      </c>
      <c r="F71" s="268"/>
      <c r="G71" s="268"/>
      <c r="H71" s="268"/>
      <c r="I71" s="268"/>
      <c r="J71" s="268"/>
      <c r="K71" s="268"/>
      <c r="L71" s="268"/>
      <c r="M71" s="269"/>
      <c r="R71" s="26"/>
    </row>
    <row r="72" spans="1:18" x14ac:dyDescent="0.25">
      <c r="B72" s="145" t="s">
        <v>421</v>
      </c>
      <c r="C72" s="145" t="s">
        <v>355</v>
      </c>
      <c r="D72" s="145" t="s">
        <v>365</v>
      </c>
      <c r="E72" s="299" t="s">
        <v>410</v>
      </c>
      <c r="F72" s="300"/>
      <c r="G72" s="300"/>
      <c r="H72" s="300"/>
      <c r="I72" s="300"/>
      <c r="J72" s="300"/>
      <c r="K72" s="300"/>
      <c r="L72" s="300"/>
      <c r="M72" s="301"/>
      <c r="R72" s="26"/>
    </row>
    <row r="73" spans="1:18" ht="17.25" x14ac:dyDescent="0.25">
      <c r="B73" s="148" t="s">
        <v>457</v>
      </c>
      <c r="C73" s="146">
        <f>L16</f>
        <v>0.99532572726273028</v>
      </c>
      <c r="D73" s="11" t="s">
        <v>469</v>
      </c>
      <c r="E73" s="267" t="s">
        <v>478</v>
      </c>
      <c r="F73" s="268"/>
      <c r="G73" s="268"/>
      <c r="H73" s="268"/>
      <c r="I73" s="268"/>
      <c r="J73" s="268"/>
      <c r="K73" s="268"/>
      <c r="L73" s="268"/>
      <c r="M73" s="269"/>
      <c r="R73" s="26"/>
    </row>
    <row r="74" spans="1:18" ht="15.75" thickBot="1" x14ac:dyDescent="0.3">
      <c r="B74" s="87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R74" s="26"/>
    </row>
    <row r="75" spans="1:18" s="154" customFormat="1" ht="15.75" thickBot="1" x14ac:dyDescent="0.3">
      <c r="B75" s="293" t="s">
        <v>483</v>
      </c>
      <c r="C75" s="294"/>
      <c r="D75" s="294"/>
      <c r="E75" s="294"/>
      <c r="F75" s="294"/>
      <c r="G75" s="294"/>
      <c r="H75" s="295"/>
      <c r="I75" s="171"/>
      <c r="J75" s="170"/>
      <c r="K75" s="171"/>
      <c r="L75" s="171"/>
      <c r="M75" s="171"/>
    </row>
    <row r="76" spans="1:18" x14ac:dyDescent="0.25">
      <c r="B76" s="87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</row>
    <row r="77" spans="1:18" x14ac:dyDescent="0.25">
      <c r="B77" s="133" t="s">
        <v>364</v>
      </c>
      <c r="C77" s="133" t="s">
        <v>355</v>
      </c>
      <c r="D77" s="133" t="s">
        <v>365</v>
      </c>
      <c r="E77" s="292" t="s">
        <v>410</v>
      </c>
      <c r="F77" s="292"/>
      <c r="G77" s="292"/>
      <c r="H77" s="292"/>
      <c r="I77" s="292"/>
      <c r="J77" s="292"/>
      <c r="K77" s="292"/>
      <c r="L77" s="292"/>
      <c r="M77" s="292"/>
    </row>
    <row r="78" spans="1:18" ht="17.25" x14ac:dyDescent="0.25">
      <c r="B78" s="147" t="s">
        <v>457</v>
      </c>
      <c r="C78" s="146">
        <f>C73</f>
        <v>0.99532572726273028</v>
      </c>
      <c r="D78" s="11" t="s">
        <v>469</v>
      </c>
      <c r="E78" s="267" t="s">
        <v>478</v>
      </c>
      <c r="F78" s="268"/>
      <c r="G78" s="268"/>
      <c r="H78" s="268"/>
      <c r="I78" s="268"/>
      <c r="J78" s="268"/>
      <c r="K78" s="268"/>
      <c r="L78" s="268"/>
      <c r="M78" s="269"/>
    </row>
    <row r="79" spans="1:18" ht="17.25" x14ac:dyDescent="0.25">
      <c r="A79" s="143">
        <f>C79+C80</f>
        <v>3.9942025577445834</v>
      </c>
      <c r="B79" s="134" t="s">
        <v>378</v>
      </c>
      <c r="C79" s="146">
        <f>'Scenario 1'!C106/P</f>
        <v>3.9813029090509211</v>
      </c>
      <c r="D79" s="11" t="s">
        <v>470</v>
      </c>
      <c r="E79" s="267" t="s">
        <v>485</v>
      </c>
      <c r="F79" s="268"/>
      <c r="G79" s="268"/>
      <c r="H79" s="268"/>
      <c r="I79" s="268"/>
      <c r="J79" s="268"/>
      <c r="K79" s="268"/>
      <c r="L79" s="268"/>
      <c r="M79" s="269"/>
    </row>
    <row r="80" spans="1:18" ht="17.25" x14ac:dyDescent="0.25">
      <c r="B80" s="134" t="s">
        <v>429</v>
      </c>
      <c r="C80" s="146">
        <f>(('Scenario 1'!C138/1000)*8)/P</f>
        <v>1.2899648693662509E-2</v>
      </c>
      <c r="D80" s="11" t="s">
        <v>470</v>
      </c>
      <c r="E80" s="267" t="s">
        <v>485</v>
      </c>
      <c r="F80" s="268"/>
      <c r="G80" s="268"/>
      <c r="H80" s="268"/>
      <c r="I80" s="268"/>
      <c r="J80" s="268"/>
      <c r="K80" s="268"/>
      <c r="L80" s="268"/>
      <c r="M80" s="269"/>
    </row>
    <row r="81" spans="1:14" ht="17.25" x14ac:dyDescent="0.25">
      <c r="B81" s="134" t="s">
        <v>354</v>
      </c>
      <c r="C81" s="146">
        <f>G10</f>
        <v>23.113675221990071</v>
      </c>
      <c r="D81" s="11" t="s">
        <v>470</v>
      </c>
      <c r="E81" s="288" t="s">
        <v>479</v>
      </c>
      <c r="F81" s="288"/>
      <c r="G81" s="288"/>
      <c r="H81" s="288"/>
      <c r="I81" s="288"/>
      <c r="J81" s="288"/>
      <c r="K81" s="288"/>
      <c r="L81" s="288"/>
      <c r="M81" s="288"/>
      <c r="N81" s="26"/>
    </row>
    <row r="82" spans="1:14" ht="17.25" x14ac:dyDescent="0.25">
      <c r="B82" s="134" t="s">
        <v>226</v>
      </c>
      <c r="C82" s="146">
        <f>C8</f>
        <v>0.39813029090509217</v>
      </c>
      <c r="D82" s="11" t="s">
        <v>471</v>
      </c>
      <c r="E82" s="288" t="s">
        <v>489</v>
      </c>
      <c r="F82" s="288"/>
      <c r="G82" s="288"/>
      <c r="H82" s="288"/>
      <c r="I82" s="288"/>
      <c r="J82" s="288"/>
      <c r="K82" s="288"/>
      <c r="L82" s="288"/>
      <c r="M82" s="288"/>
    </row>
    <row r="83" spans="1:14" ht="17.25" x14ac:dyDescent="0.25">
      <c r="B83" s="134" t="s">
        <v>230</v>
      </c>
      <c r="C83" s="146">
        <f>C9</f>
        <v>4.6742727372697699</v>
      </c>
      <c r="D83" s="11" t="s">
        <v>471</v>
      </c>
      <c r="E83" s="288" t="s">
        <v>484</v>
      </c>
      <c r="F83" s="288"/>
      <c r="G83" s="288"/>
      <c r="H83" s="288"/>
      <c r="I83" s="288"/>
      <c r="J83" s="288"/>
      <c r="K83" s="288"/>
      <c r="L83" s="288"/>
      <c r="M83" s="288"/>
    </row>
    <row r="84" spans="1:14" x14ac:dyDescent="0.25">
      <c r="B84" s="145" t="s">
        <v>421</v>
      </c>
      <c r="C84" s="145" t="s">
        <v>355</v>
      </c>
      <c r="D84" s="145" t="s">
        <v>365</v>
      </c>
      <c r="E84" s="299" t="s">
        <v>410</v>
      </c>
      <c r="F84" s="300"/>
      <c r="G84" s="300"/>
      <c r="H84" s="300"/>
      <c r="I84" s="300"/>
      <c r="J84" s="300"/>
      <c r="K84" s="300"/>
      <c r="L84" s="300"/>
      <c r="M84" s="301"/>
    </row>
    <row r="85" spans="1:14" ht="17.25" x14ac:dyDescent="0.25">
      <c r="B85" s="148" t="s">
        <v>362</v>
      </c>
      <c r="C85" s="146">
        <f>M16</f>
        <v>1</v>
      </c>
      <c r="D85" s="11" t="s">
        <v>469</v>
      </c>
      <c r="E85" s="267" t="s">
        <v>480</v>
      </c>
      <c r="F85" s="268"/>
      <c r="G85" s="268"/>
      <c r="H85" s="268"/>
      <c r="I85" s="268"/>
      <c r="J85" s="268"/>
      <c r="K85" s="268"/>
      <c r="L85" s="268"/>
      <c r="M85" s="269"/>
    </row>
    <row r="86" spans="1:14" ht="17.25" x14ac:dyDescent="0.25">
      <c r="B86" s="31" t="s">
        <v>416</v>
      </c>
      <c r="C86" s="146">
        <f>K7</f>
        <v>5.0619321785199661E-3</v>
      </c>
      <c r="D86" s="11" t="s">
        <v>470</v>
      </c>
      <c r="E86" s="267" t="s">
        <v>481</v>
      </c>
      <c r="F86" s="268"/>
      <c r="G86" s="268"/>
      <c r="H86" s="268"/>
      <c r="I86" s="268"/>
      <c r="J86" s="268"/>
      <c r="K86" s="268"/>
      <c r="L86" s="268"/>
      <c r="M86" s="269"/>
    </row>
    <row r="87" spans="1:14" x14ac:dyDescent="0.25">
      <c r="A87" s="152"/>
      <c r="B87" s="137" t="s">
        <v>466</v>
      </c>
      <c r="C87" s="137" t="s">
        <v>355</v>
      </c>
      <c r="D87" s="137" t="s">
        <v>365</v>
      </c>
      <c r="E87" s="296" t="s">
        <v>410</v>
      </c>
      <c r="F87" s="297"/>
      <c r="G87" s="297"/>
      <c r="H87" s="297"/>
      <c r="I87" s="297"/>
      <c r="J87" s="297"/>
      <c r="K87" s="297"/>
      <c r="L87" s="297"/>
      <c r="M87" s="298"/>
      <c r="N87" s="26"/>
    </row>
    <row r="88" spans="1:14" ht="17.25" x14ac:dyDescent="0.25">
      <c r="B88" s="138" t="s">
        <v>37</v>
      </c>
      <c r="C88" s="156">
        <f>M21</f>
        <v>2.3713812582161542</v>
      </c>
      <c r="D88" s="11" t="s">
        <v>471</v>
      </c>
      <c r="E88" s="267" t="s">
        <v>490</v>
      </c>
      <c r="F88" s="268"/>
      <c r="G88" s="268"/>
      <c r="H88" s="268"/>
      <c r="I88" s="268"/>
      <c r="J88" s="268"/>
      <c r="K88" s="268"/>
      <c r="L88" s="268"/>
      <c r="M88" s="269"/>
    </row>
    <row r="89" spans="1:14" ht="17.25" x14ac:dyDescent="0.25">
      <c r="B89" s="138" t="s">
        <v>42</v>
      </c>
      <c r="C89" s="156">
        <f>M23</f>
        <v>4.7435173542856939</v>
      </c>
      <c r="D89" s="11" t="s">
        <v>471</v>
      </c>
      <c r="E89" s="267" t="s">
        <v>491</v>
      </c>
      <c r="F89" s="268"/>
      <c r="G89" s="268"/>
      <c r="H89" s="268"/>
      <c r="I89" s="268"/>
      <c r="J89" s="268"/>
      <c r="K89" s="268"/>
      <c r="L89" s="268"/>
      <c r="M89" s="269"/>
    </row>
    <row r="90" spans="1:14" x14ac:dyDescent="0.25">
      <c r="B90" s="87"/>
      <c r="C90" s="159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50"/>
    </row>
    <row r="91" spans="1:14" x14ac:dyDescent="0.25">
      <c r="B91" s="291" t="s">
        <v>555</v>
      </c>
      <c r="C91" s="291"/>
      <c r="D91" s="291"/>
      <c r="E91" s="291"/>
      <c r="F91" s="291"/>
      <c r="G91" s="291"/>
      <c r="H91" s="291"/>
      <c r="I91" s="142"/>
      <c r="J91" s="142"/>
      <c r="K91" s="142"/>
      <c r="L91" s="142"/>
      <c r="M91" s="142"/>
      <c r="N91" s="50"/>
    </row>
    <row r="92" spans="1:14" x14ac:dyDescent="0.25">
      <c r="B92" s="87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50"/>
    </row>
    <row r="93" spans="1:14" x14ac:dyDescent="0.25">
      <c r="B93" s="133" t="s">
        <v>364</v>
      </c>
      <c r="C93" s="133" t="s">
        <v>355</v>
      </c>
      <c r="D93" s="133" t="s">
        <v>365</v>
      </c>
      <c r="E93" s="292" t="s">
        <v>410</v>
      </c>
      <c r="F93" s="292"/>
      <c r="G93" s="292"/>
      <c r="H93" s="292"/>
      <c r="I93" s="292"/>
      <c r="J93" s="292"/>
      <c r="K93" s="292"/>
      <c r="L93" s="292"/>
      <c r="M93" s="292"/>
      <c r="N93" s="50"/>
    </row>
    <row r="94" spans="1:14" ht="17.25" x14ac:dyDescent="0.25">
      <c r="B94" s="134" t="s">
        <v>524</v>
      </c>
      <c r="C94" s="146">
        <f>C85</f>
        <v>1</v>
      </c>
      <c r="D94" s="11" t="s">
        <v>545</v>
      </c>
      <c r="E94" s="288" t="s">
        <v>556</v>
      </c>
      <c r="F94" s="288"/>
      <c r="G94" s="288"/>
      <c r="H94" s="288"/>
      <c r="I94" s="288"/>
      <c r="J94" s="288"/>
      <c r="K94" s="288"/>
      <c r="L94" s="288"/>
      <c r="M94" s="288"/>
      <c r="N94" s="50" t="s">
        <v>613</v>
      </c>
    </row>
    <row r="95" spans="1:14" ht="15.75" thickBot="1" x14ac:dyDescent="0.3">
      <c r="B95" s="87"/>
      <c r="C95" s="159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50"/>
    </row>
    <row r="96" spans="1:14" s="154" customFormat="1" ht="15.75" thickBot="1" x14ac:dyDescent="0.3">
      <c r="A96" s="172"/>
      <c r="B96" s="293" t="s">
        <v>652</v>
      </c>
      <c r="C96" s="294"/>
      <c r="D96" s="294"/>
      <c r="E96" s="294"/>
      <c r="F96" s="294"/>
      <c r="G96" s="294"/>
      <c r="H96" s="295"/>
      <c r="J96" s="173"/>
      <c r="N96" s="174"/>
    </row>
    <row r="97" spans="2:14" x14ac:dyDescent="0.25">
      <c r="N97" s="50"/>
    </row>
    <row r="98" spans="2:14" x14ac:dyDescent="0.25">
      <c r="B98" s="133" t="s">
        <v>364</v>
      </c>
      <c r="C98" s="133" t="s">
        <v>355</v>
      </c>
      <c r="D98" s="133" t="s">
        <v>365</v>
      </c>
      <c r="E98" s="292" t="s">
        <v>410</v>
      </c>
      <c r="F98" s="292"/>
      <c r="G98" s="292"/>
      <c r="H98" s="292"/>
      <c r="I98" s="292"/>
      <c r="J98" s="292"/>
      <c r="K98" s="292"/>
      <c r="L98" s="292"/>
      <c r="M98" s="292"/>
      <c r="N98" s="50"/>
    </row>
    <row r="99" spans="2:14" ht="17.25" x14ac:dyDescent="0.25">
      <c r="B99" s="16" t="s">
        <v>381</v>
      </c>
      <c r="C99" s="153">
        <f>Calculations!N50/P</f>
        <v>25.145071004532134</v>
      </c>
      <c r="D99" s="11" t="s">
        <v>523</v>
      </c>
      <c r="E99" s="267" t="s">
        <v>708</v>
      </c>
      <c r="F99" s="268"/>
      <c r="G99" s="268"/>
      <c r="H99" s="268"/>
      <c r="I99" s="268"/>
      <c r="J99" s="268"/>
      <c r="K99" s="268"/>
      <c r="L99" s="268"/>
      <c r="M99" s="269"/>
      <c r="N99" s="50" t="s">
        <v>600</v>
      </c>
    </row>
    <row r="100" spans="2:14" x14ac:dyDescent="0.25">
      <c r="B100" s="16" t="s">
        <v>463</v>
      </c>
      <c r="C100" s="153">
        <f>Calculations!C50</f>
        <v>303.57220052360321</v>
      </c>
      <c r="D100" s="11" t="s">
        <v>654</v>
      </c>
      <c r="E100" s="267" t="s">
        <v>708</v>
      </c>
      <c r="F100" s="268"/>
      <c r="G100" s="268"/>
      <c r="H100" s="268"/>
      <c r="I100" s="268"/>
      <c r="J100" s="268"/>
      <c r="K100" s="268"/>
      <c r="L100" s="268"/>
      <c r="M100" s="269"/>
      <c r="N100" s="50" t="s">
        <v>653</v>
      </c>
    </row>
    <row r="101" spans="2:14" ht="17.25" x14ac:dyDescent="0.25">
      <c r="B101" s="16" t="s">
        <v>362</v>
      </c>
      <c r="C101" s="153">
        <f>Calculations!C47</f>
        <v>3.0357220052360319</v>
      </c>
      <c r="D101" s="11" t="s">
        <v>655</v>
      </c>
      <c r="E101" s="267" t="s">
        <v>480</v>
      </c>
      <c r="F101" s="268"/>
      <c r="G101" s="268"/>
      <c r="H101" s="268"/>
      <c r="I101" s="268"/>
      <c r="J101" s="268"/>
      <c r="K101" s="268"/>
      <c r="L101" s="268"/>
      <c r="M101" s="269"/>
      <c r="N101" s="50"/>
    </row>
    <row r="103" spans="2:14" x14ac:dyDescent="0.25">
      <c r="B103" s="291" t="s">
        <v>557</v>
      </c>
      <c r="C103" s="291"/>
      <c r="D103" s="291"/>
      <c r="E103" s="291"/>
      <c r="F103" s="291"/>
      <c r="G103" s="291"/>
      <c r="H103" s="291"/>
      <c r="I103" s="142"/>
      <c r="J103" s="142"/>
      <c r="K103" s="142"/>
      <c r="L103" s="142"/>
      <c r="M103" s="142"/>
    </row>
    <row r="104" spans="2:14" x14ac:dyDescent="0.25">
      <c r="B104" s="87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</row>
    <row r="105" spans="2:14" x14ac:dyDescent="0.25">
      <c r="B105" s="133" t="s">
        <v>364</v>
      </c>
      <c r="C105" s="133" t="s">
        <v>355</v>
      </c>
      <c r="D105" s="133" t="s">
        <v>365</v>
      </c>
      <c r="E105" s="292" t="s">
        <v>410</v>
      </c>
      <c r="F105" s="292"/>
      <c r="G105" s="292"/>
      <c r="H105" s="292"/>
      <c r="I105" s="292"/>
      <c r="J105" s="292"/>
      <c r="K105" s="292"/>
      <c r="L105" s="292"/>
      <c r="M105" s="292"/>
    </row>
    <row r="106" spans="2:14" ht="17.25" x14ac:dyDescent="0.25">
      <c r="B106" s="134" t="s">
        <v>524</v>
      </c>
      <c r="C106" s="146">
        <v>1</v>
      </c>
      <c r="D106" s="11" t="s">
        <v>545</v>
      </c>
      <c r="E106" s="288" t="s">
        <v>556</v>
      </c>
      <c r="F106" s="288"/>
      <c r="G106" s="288"/>
      <c r="H106" s="288"/>
      <c r="I106" s="288"/>
      <c r="J106" s="288"/>
      <c r="K106" s="288"/>
      <c r="L106" s="288"/>
      <c r="M106" s="288"/>
    </row>
    <row r="107" spans="2:14" s="154" customFormat="1" ht="15.75" thickBot="1" x14ac:dyDescent="0.3"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</row>
  </sheetData>
  <mergeCells count="68">
    <mergeCell ref="E43:M43"/>
    <mergeCell ref="E42:M42"/>
    <mergeCell ref="E59:M59"/>
    <mergeCell ref="E45:M45"/>
    <mergeCell ref="E46:M46"/>
    <mergeCell ref="E47:M47"/>
    <mergeCell ref="E48:M48"/>
    <mergeCell ref="E49:M49"/>
    <mergeCell ref="B51:H51"/>
    <mergeCell ref="E53:M53"/>
    <mergeCell ref="E54:M54"/>
    <mergeCell ref="B56:H56"/>
    <mergeCell ref="E58:M58"/>
    <mergeCell ref="E44:M44"/>
    <mergeCell ref="B2:H2"/>
    <mergeCell ref="J2:L2"/>
    <mergeCell ref="B12:M12"/>
    <mergeCell ref="B28:H28"/>
    <mergeCell ref="E30:M30"/>
    <mergeCell ref="F8:F10"/>
    <mergeCell ref="E38:M38"/>
    <mergeCell ref="E39:M39"/>
    <mergeCell ref="E40:M40"/>
    <mergeCell ref="E41:M41"/>
    <mergeCell ref="E31:M31"/>
    <mergeCell ref="E34:M34"/>
    <mergeCell ref="E35:M35"/>
    <mergeCell ref="E36:M36"/>
    <mergeCell ref="E32:M32"/>
    <mergeCell ref="E33:M33"/>
    <mergeCell ref="E37:M37"/>
    <mergeCell ref="E73:M73"/>
    <mergeCell ref="E60:M60"/>
    <mergeCell ref="E61:M61"/>
    <mergeCell ref="E62:M62"/>
    <mergeCell ref="E63:M63"/>
    <mergeCell ref="E64:M64"/>
    <mergeCell ref="B66:H66"/>
    <mergeCell ref="E68:M68"/>
    <mergeCell ref="E69:M69"/>
    <mergeCell ref="E70:M70"/>
    <mergeCell ref="E71:M71"/>
    <mergeCell ref="E72:M72"/>
    <mergeCell ref="E87:M87"/>
    <mergeCell ref="B75:H75"/>
    <mergeCell ref="E77:M77"/>
    <mergeCell ref="E78:M78"/>
    <mergeCell ref="E79:M79"/>
    <mergeCell ref="E80:M80"/>
    <mergeCell ref="E81:M81"/>
    <mergeCell ref="E82:M82"/>
    <mergeCell ref="E83:M83"/>
    <mergeCell ref="E84:M84"/>
    <mergeCell ref="E85:M85"/>
    <mergeCell ref="E86:M86"/>
    <mergeCell ref="E106:M106"/>
    <mergeCell ref="B103:H103"/>
    <mergeCell ref="E105:M105"/>
    <mergeCell ref="E88:M88"/>
    <mergeCell ref="E89:M89"/>
    <mergeCell ref="B91:H91"/>
    <mergeCell ref="E99:M99"/>
    <mergeCell ref="B96:H96"/>
    <mergeCell ref="E98:M98"/>
    <mergeCell ref="E100:M100"/>
    <mergeCell ref="E101:M101"/>
    <mergeCell ref="E93:M93"/>
    <mergeCell ref="E94:M9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62"/>
  <sheetViews>
    <sheetView topLeftCell="A118" zoomScaleNormal="100" workbookViewId="0">
      <selection activeCell="B146" sqref="B146:H163"/>
    </sheetView>
  </sheetViews>
  <sheetFormatPr defaultColWidth="10.85546875" defaultRowHeight="15" x14ac:dyDescent="0.25"/>
  <cols>
    <col min="1" max="1" width="10.85546875" style="139"/>
    <col min="2" max="2" width="20.7109375" style="139" bestFit="1" customWidth="1"/>
    <col min="3" max="3" width="12.140625" style="139" bestFit="1" customWidth="1"/>
    <col min="4" max="4" width="15" style="139" bestFit="1" customWidth="1"/>
    <col min="5" max="5" width="15" style="139" customWidth="1"/>
    <col min="6" max="6" width="14.28515625" style="139" customWidth="1"/>
    <col min="7" max="7" width="12.42578125" style="139" bestFit="1" customWidth="1"/>
    <col min="8" max="8" width="19.85546875" style="139" bestFit="1" customWidth="1"/>
    <col min="9" max="9" width="20.5703125" style="139" bestFit="1" customWidth="1"/>
    <col min="10" max="10" width="12.140625" style="139" customWidth="1"/>
    <col min="11" max="11" width="20.42578125" style="139" customWidth="1"/>
    <col min="12" max="12" width="22.140625" style="139" customWidth="1"/>
    <col min="13" max="13" width="10.85546875" style="139" customWidth="1"/>
    <col min="14" max="14" width="14.28515625" style="139" customWidth="1"/>
    <col min="15" max="15" width="19.85546875" style="139" customWidth="1"/>
    <col min="16" max="16" width="10.85546875" style="139" customWidth="1"/>
    <col min="17" max="17" width="13.140625" style="139" customWidth="1"/>
    <col min="18" max="18" width="13.5703125" style="139" customWidth="1"/>
    <col min="19" max="23" width="10.85546875" style="139" customWidth="1"/>
    <col min="24" max="24" width="13.28515625" style="139" customWidth="1"/>
    <col min="25" max="25" width="13.42578125" style="139" customWidth="1"/>
    <col min="26" max="26" width="10.85546875" style="139"/>
    <col min="27" max="27" width="15.5703125" style="139" bestFit="1" customWidth="1"/>
    <col min="28" max="28" width="10.85546875" style="139"/>
    <col min="29" max="29" width="10.85546875" style="188"/>
    <col min="30" max="30" width="10.85546875" style="139"/>
    <col min="31" max="31" width="16.42578125" style="139" customWidth="1"/>
    <col min="32" max="32" width="13.42578125" style="139" customWidth="1"/>
    <col min="33" max="33" width="14.140625" style="139" customWidth="1"/>
    <col min="34" max="34" width="13.140625" style="139" customWidth="1"/>
    <col min="35" max="38" width="10.85546875" style="139"/>
    <col min="39" max="39" width="15.5703125" style="139" bestFit="1" customWidth="1"/>
    <col min="40" max="40" width="11.85546875" style="139" customWidth="1"/>
    <col min="41" max="41" width="13.5703125" style="139" customWidth="1"/>
    <col min="42" max="16384" width="10.85546875" style="139"/>
  </cols>
  <sheetData>
    <row r="1" spans="1:44" ht="15.75" thickBot="1" x14ac:dyDescent="0.3">
      <c r="A1" s="187" t="s">
        <v>581</v>
      </c>
    </row>
    <row r="2" spans="1:44" ht="18" thickBot="1" x14ac:dyDescent="0.3">
      <c r="B2" s="319" t="s">
        <v>667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AF2" s="314" t="s">
        <v>658</v>
      </c>
      <c r="AG2" s="315"/>
      <c r="AH2" s="315"/>
      <c r="AI2" s="315"/>
      <c r="AJ2" s="316"/>
      <c r="AN2" s="314" t="s">
        <v>659</v>
      </c>
      <c r="AO2" s="315"/>
      <c r="AP2" s="315"/>
      <c r="AQ2" s="316"/>
    </row>
    <row r="4" spans="1:44" ht="30" customHeight="1" x14ac:dyDescent="0.25">
      <c r="B4" s="167" t="s">
        <v>569</v>
      </c>
      <c r="C4" s="167" t="s">
        <v>365</v>
      </c>
      <c r="D4" s="167" t="s">
        <v>596</v>
      </c>
      <c r="E4" s="167" t="s">
        <v>646</v>
      </c>
      <c r="F4" s="167" t="s">
        <v>492</v>
      </c>
      <c r="G4" s="167" t="s">
        <v>568</v>
      </c>
      <c r="H4" s="167" t="s">
        <v>573</v>
      </c>
      <c r="L4" s="167" t="s">
        <v>569</v>
      </c>
      <c r="M4" s="167" t="s">
        <v>365</v>
      </c>
      <c r="N4" s="167" t="s">
        <v>646</v>
      </c>
      <c r="O4" s="167" t="s">
        <v>492</v>
      </c>
      <c r="P4" s="167" t="s">
        <v>568</v>
      </c>
      <c r="Q4" s="167" t="s">
        <v>573</v>
      </c>
      <c r="AF4" s="167" t="s">
        <v>646</v>
      </c>
      <c r="AG4" s="167" t="s">
        <v>492</v>
      </c>
      <c r="AH4" s="167" t="s">
        <v>494</v>
      </c>
      <c r="AI4" s="167" t="s">
        <v>493</v>
      </c>
      <c r="AJ4" s="167" t="s">
        <v>597</v>
      </c>
      <c r="AM4" s="209" t="s">
        <v>611</v>
      </c>
      <c r="AN4" s="167" t="s">
        <v>492</v>
      </c>
      <c r="AO4" s="167" t="s">
        <v>494</v>
      </c>
      <c r="AP4" s="167" t="s">
        <v>493</v>
      </c>
      <c r="AQ4" s="167" t="s">
        <v>597</v>
      </c>
    </row>
    <row r="5" spans="1:44" ht="18" x14ac:dyDescent="0.25">
      <c r="B5" s="134" t="s">
        <v>495</v>
      </c>
      <c r="C5" s="11" t="s">
        <v>564</v>
      </c>
      <c r="D5" s="15">
        <f>SUM(E5:J5)</f>
        <v>3.4220000591000002</v>
      </c>
      <c r="E5" s="189">
        <v>0</v>
      </c>
      <c r="F5" s="189">
        <v>2.92</v>
      </c>
      <c r="G5" s="189">
        <v>5.91E-8</v>
      </c>
      <c r="H5" s="189">
        <v>0.502</v>
      </c>
      <c r="L5" s="134" t="s">
        <v>495</v>
      </c>
      <c r="M5" s="11" t="s">
        <v>31</v>
      </c>
      <c r="N5" s="185">
        <f>E5/$D5</f>
        <v>0</v>
      </c>
      <c r="O5" s="185">
        <f t="shared" ref="O5:Q19" si="0">F5/$D5</f>
        <v>0.85330214774104118</v>
      </c>
      <c r="P5" s="185">
        <f t="shared" si="0"/>
        <v>1.7270601688868333E-8</v>
      </c>
      <c r="Q5" s="185">
        <f t="shared" si="0"/>
        <v>0.14669783498835709</v>
      </c>
      <c r="T5" s="207"/>
      <c r="AE5" s="317" t="s">
        <v>505</v>
      </c>
      <c r="AF5" s="189">
        <f>D105</f>
        <v>251.90000001830001</v>
      </c>
      <c r="AG5" s="189">
        <f>AN5*Calculations!$C$47</f>
        <v>188.70170523130128</v>
      </c>
      <c r="AH5" s="189">
        <f>AO5*Calculations!$C$47</f>
        <v>119.19114205482281</v>
      </c>
      <c r="AI5" s="189">
        <f>AP5*Calculations!$C$47</f>
        <v>116.28023397233258</v>
      </c>
      <c r="AJ5" s="189">
        <f>AQ5*Calculations!$C$47</f>
        <v>117.58044490898938</v>
      </c>
      <c r="AM5" s="317" t="s">
        <v>505</v>
      </c>
      <c r="AN5" s="15">
        <f>D113</f>
        <v>62.160403655482099</v>
      </c>
      <c r="AO5" s="15">
        <f>D121</f>
        <v>39.2628646</v>
      </c>
      <c r="AP5" s="15">
        <f>D129</f>
        <v>38.303979669999997</v>
      </c>
      <c r="AQ5" s="15">
        <f>D137</f>
        <v>38.732283359999997</v>
      </c>
    </row>
    <row r="6" spans="1:44" ht="18" x14ac:dyDescent="0.25">
      <c r="B6" s="134" t="s">
        <v>496</v>
      </c>
      <c r="C6" s="11" t="s">
        <v>564</v>
      </c>
      <c r="D6" s="15">
        <f t="shared" ref="D6:D19" si="1">SUM(E6:J6)</f>
        <v>6.3800012600000002</v>
      </c>
      <c r="E6" s="189">
        <v>0</v>
      </c>
      <c r="F6" s="189">
        <v>5.25</v>
      </c>
      <c r="G6" s="189">
        <v>1.26E-6</v>
      </c>
      <c r="H6" s="189">
        <v>1.1299999999999999</v>
      </c>
      <c r="L6" s="134" t="s">
        <v>496</v>
      </c>
      <c r="M6" s="11" t="s">
        <v>31</v>
      </c>
      <c r="N6" s="185">
        <f t="shared" ref="N6:N19" si="2">E6/$D6</f>
        <v>0</v>
      </c>
      <c r="O6" s="185">
        <f t="shared" si="0"/>
        <v>0.82288385002607345</v>
      </c>
      <c r="P6" s="185">
        <f t="shared" si="0"/>
        <v>1.9749212400625765E-7</v>
      </c>
      <c r="Q6" s="185">
        <f t="shared" si="0"/>
        <v>0.17711595248180245</v>
      </c>
      <c r="T6" s="207"/>
      <c r="AE6" s="317"/>
      <c r="AF6" s="15">
        <f t="shared" ref="AF6:AI6" si="3">AF5-AG5</f>
        <v>63.19829478699873</v>
      </c>
      <c r="AG6" s="15">
        <f t="shared" si="3"/>
        <v>69.51056317647847</v>
      </c>
      <c r="AH6" s="15">
        <f t="shared" si="3"/>
        <v>2.9109080824902236</v>
      </c>
      <c r="AI6" s="15">
        <f t="shared" si="3"/>
        <v>-1.3002109366567964</v>
      </c>
      <c r="AJ6" s="15">
        <f>AJ5-AK5</f>
        <v>117.58044490898938</v>
      </c>
      <c r="AM6" s="317"/>
      <c r="AN6" s="15">
        <f>AN5-AO5</f>
        <v>22.897539055482099</v>
      </c>
      <c r="AO6" s="15">
        <f>AO5-AP5</f>
        <v>0.95888493000000352</v>
      </c>
      <c r="AP6" s="15">
        <f>AP5-AQ5</f>
        <v>-0.4283036899999999</v>
      </c>
      <c r="AQ6" s="15">
        <f>AQ5-AR5</f>
        <v>38.732283359999997</v>
      </c>
    </row>
    <row r="7" spans="1:44" x14ac:dyDescent="0.25">
      <c r="B7" s="134" t="s">
        <v>497</v>
      </c>
      <c r="C7" s="11" t="s">
        <v>512</v>
      </c>
      <c r="D7" s="15">
        <f t="shared" si="1"/>
        <v>0.21970001699999997</v>
      </c>
      <c r="E7" s="189">
        <v>0</v>
      </c>
      <c r="F7" s="189">
        <v>0.18</v>
      </c>
      <c r="G7" s="189">
        <v>1.7E-8</v>
      </c>
      <c r="H7" s="189">
        <v>3.9699999999999999E-2</v>
      </c>
      <c r="L7" s="134" t="s">
        <v>497</v>
      </c>
      <c r="M7" s="11" t="s">
        <v>31</v>
      </c>
      <c r="N7" s="185">
        <f t="shared" si="2"/>
        <v>0</v>
      </c>
      <c r="O7" s="185">
        <f t="shared" si="0"/>
        <v>0.81929898075519958</v>
      </c>
      <c r="P7" s="185">
        <f t="shared" si="0"/>
        <v>7.7378237071324402E-8</v>
      </c>
      <c r="Q7" s="185">
        <f t="shared" si="0"/>
        <v>0.18070094186656346</v>
      </c>
      <c r="T7" s="207"/>
      <c r="AE7" s="134" t="s">
        <v>598</v>
      </c>
      <c r="AF7" s="191">
        <f>AF6/$AF$5</f>
        <v>0.25088644216914452</v>
      </c>
      <c r="AG7" s="191">
        <f>AG6/$AF$5</f>
        <v>0.27594507015255526</v>
      </c>
      <c r="AH7" s="191">
        <f>AH6/$AF$5</f>
        <v>1.155580818689461E-2</v>
      </c>
      <c r="AI7" s="191">
        <f>AI6/$AF$5</f>
        <v>-5.1616154686873316E-3</v>
      </c>
      <c r="AJ7" s="191">
        <f>AJ6/$AF$5</f>
        <v>0.46677429496009293</v>
      </c>
      <c r="AK7" s="192">
        <f>SUM(AF7:AJ7)</f>
        <v>1</v>
      </c>
      <c r="AM7" s="134" t="s">
        <v>598</v>
      </c>
      <c r="AN7" s="193">
        <f>AN6/$AN$5</f>
        <v>0.36836213584437849</v>
      </c>
      <c r="AO7" s="193">
        <f>AO6/$AN$5</f>
        <v>1.5425976564028261E-2</v>
      </c>
      <c r="AP7" s="193">
        <f>AP6/$AN$5</f>
        <v>-6.8902977589050231E-3</v>
      </c>
      <c r="AQ7" s="193">
        <f>AQ6/$AN$5</f>
        <v>0.62310218535049822</v>
      </c>
      <c r="AR7" s="194">
        <f>SUM(AN7:AQ7)</f>
        <v>1</v>
      </c>
    </row>
    <row r="8" spans="1:44" x14ac:dyDescent="0.25">
      <c r="B8" s="134" t="s">
        <v>561</v>
      </c>
      <c r="C8" s="11" t="s">
        <v>513</v>
      </c>
      <c r="D8" s="15">
        <f t="shared" si="1"/>
        <v>4301.0115999999998</v>
      </c>
      <c r="E8" s="189">
        <v>0</v>
      </c>
      <c r="F8" s="189">
        <v>3770</v>
      </c>
      <c r="G8" s="189">
        <v>1.1599999999999999E-2</v>
      </c>
      <c r="H8" s="189">
        <v>531</v>
      </c>
      <c r="L8" s="134" t="s">
        <v>561</v>
      </c>
      <c r="M8" s="11" t="s">
        <v>31</v>
      </c>
      <c r="N8" s="185">
        <f t="shared" si="2"/>
        <v>0</v>
      </c>
      <c r="O8" s="185">
        <f t="shared" si="0"/>
        <v>0.87653797539164979</v>
      </c>
      <c r="P8" s="185">
        <f t="shared" si="0"/>
        <v>2.697039924281999E-6</v>
      </c>
      <c r="Q8" s="185">
        <f t="shared" si="0"/>
        <v>0.12345932756842599</v>
      </c>
      <c r="T8" s="207"/>
      <c r="AE8" s="317" t="s">
        <v>508</v>
      </c>
      <c r="AF8" s="189">
        <f>D103</f>
        <v>1.8250001869999998E-4</v>
      </c>
      <c r="AG8" s="189">
        <f>AN8*Calculations!$C$47</f>
        <v>1.5010422097726304E-4</v>
      </c>
      <c r="AH8" s="189">
        <f>AO8*Calculations!$C$47</f>
        <v>8.5286029373401887E-5</v>
      </c>
      <c r="AI8" s="189">
        <f>AP8*Calculations!$C$47</f>
        <v>8.2475375797634045E-5</v>
      </c>
      <c r="AJ8" s="189">
        <f>AQ8*Calculations!$C$47</f>
        <v>8.7375061471305052E-5</v>
      </c>
      <c r="AM8" s="317" t="s">
        <v>508</v>
      </c>
      <c r="AN8" s="189">
        <f>D111</f>
        <v>4.9445970585699998E-5</v>
      </c>
      <c r="AO8" s="189">
        <f>D119</f>
        <v>2.8094150000000006E-5</v>
      </c>
      <c r="AP8" s="189">
        <f>D127</f>
        <v>2.7168290000000005E-5</v>
      </c>
      <c r="AQ8" s="189">
        <f>D135</f>
        <v>2.8782300000000004E-5</v>
      </c>
    </row>
    <row r="9" spans="1:44" x14ac:dyDescent="0.25">
      <c r="B9" s="134" t="s">
        <v>498</v>
      </c>
      <c r="C9" s="11" t="s">
        <v>514</v>
      </c>
      <c r="D9" s="15">
        <f t="shared" si="1"/>
        <v>3.1300000000042001E-5</v>
      </c>
      <c r="E9" s="189">
        <v>0</v>
      </c>
      <c r="F9" s="189">
        <v>1.9599999999999999E-5</v>
      </c>
      <c r="G9" s="189">
        <v>4.1999999999999998E-17</v>
      </c>
      <c r="H9" s="189">
        <v>1.17E-5</v>
      </c>
      <c r="L9" s="134" t="s">
        <v>498</v>
      </c>
      <c r="M9" s="11" t="s">
        <v>31</v>
      </c>
      <c r="N9" s="185">
        <f t="shared" si="2"/>
        <v>0</v>
      </c>
      <c r="O9" s="185">
        <f t="shared" si="0"/>
        <v>0.62619808306625235</v>
      </c>
      <c r="P9" s="185">
        <f t="shared" si="0"/>
        <v>1.3418530351419693E-12</v>
      </c>
      <c r="Q9" s="185">
        <f t="shared" si="0"/>
        <v>0.37380191693240572</v>
      </c>
      <c r="T9" s="207"/>
      <c r="AE9" s="317"/>
      <c r="AF9" s="189">
        <f t="shared" ref="AF9" si="4">AF8-AG8</f>
        <v>3.2395797722736938E-5</v>
      </c>
      <c r="AG9" s="189">
        <f t="shared" ref="AG9" si="5">AG8-AH8</f>
        <v>6.4818191603861156E-5</v>
      </c>
      <c r="AH9" s="189">
        <f t="shared" ref="AH9" si="6">AH8-AI8</f>
        <v>2.810653575767842E-6</v>
      </c>
      <c r="AI9" s="189">
        <f t="shared" ref="AI9" si="7">AI8-AJ8</f>
        <v>-4.8996856736710075E-6</v>
      </c>
      <c r="AJ9" s="189">
        <f>AJ8-AK8</f>
        <v>8.7375061471305052E-5</v>
      </c>
      <c r="AM9" s="317"/>
      <c r="AN9" s="189">
        <f>AN8-AO8</f>
        <v>2.1351820585699992E-5</v>
      </c>
      <c r="AO9" s="189">
        <f>AO8-AP8</f>
        <v>9.2586000000000133E-7</v>
      </c>
      <c r="AP9" s="189">
        <f>AP8-AQ8</f>
        <v>-1.6140099999999991E-6</v>
      </c>
      <c r="AQ9" s="189">
        <f>AQ8-AR8</f>
        <v>2.8782300000000004E-5</v>
      </c>
    </row>
    <row r="10" spans="1:44" ht="18" x14ac:dyDescent="0.25">
      <c r="B10" s="134" t="s">
        <v>499</v>
      </c>
      <c r="C10" s="11" t="s">
        <v>565</v>
      </c>
      <c r="D10" s="15">
        <f t="shared" si="1"/>
        <v>7.4400299000000003E-2</v>
      </c>
      <c r="E10" s="189">
        <v>0</v>
      </c>
      <c r="F10" s="189">
        <v>4.5400000000000003E-2</v>
      </c>
      <c r="G10" s="189">
        <v>2.9900000000000002E-7</v>
      </c>
      <c r="H10" s="189">
        <v>2.9000000000000001E-2</v>
      </c>
      <c r="L10" s="134" t="s">
        <v>499</v>
      </c>
      <c r="M10" s="11" t="s">
        <v>31</v>
      </c>
      <c r="N10" s="185">
        <f t="shared" si="2"/>
        <v>0</v>
      </c>
      <c r="O10" s="185">
        <f t="shared" si="0"/>
        <v>0.61021260143054001</v>
      </c>
      <c r="P10" s="185">
        <f t="shared" si="0"/>
        <v>4.0188010534742612E-6</v>
      </c>
      <c r="Q10" s="185">
        <f t="shared" si="0"/>
        <v>0.3897833797684066</v>
      </c>
      <c r="T10" s="207"/>
      <c r="AE10" s="134" t="s">
        <v>598</v>
      </c>
      <c r="AF10" s="191">
        <f>AF9/$AF$8</f>
        <v>0.17751120220973951</v>
      </c>
      <c r="AG10" s="191">
        <f>AG9/$AF$8</f>
        <v>0.35516813677927128</v>
      </c>
      <c r="AH10" s="191">
        <f>AH9/$AF$8</f>
        <v>1.5400839932998003E-2</v>
      </c>
      <c r="AI10" s="191">
        <f>AI9/$AF$8</f>
        <v>-2.6847589981485346E-2</v>
      </c>
      <c r="AJ10" s="191">
        <f>AJ9/$AF$8</f>
        <v>0.47876741105947657</v>
      </c>
      <c r="AK10" s="192">
        <f>SUM(AF10:AJ10)</f>
        <v>1</v>
      </c>
      <c r="AM10" s="134" t="s">
        <v>598</v>
      </c>
      <c r="AN10" s="193">
        <f>AN9/$AN$8</f>
        <v>0.43182124514459497</v>
      </c>
      <c r="AO10" s="193">
        <f>AO9/$AN$8</f>
        <v>1.8724680475131865E-2</v>
      </c>
      <c r="AP10" s="193">
        <f>AP9/$AN$8</f>
        <v>-3.264189135902569E-2</v>
      </c>
      <c r="AQ10" s="193">
        <f>AQ9/$AN$8</f>
        <v>0.58209596573929878</v>
      </c>
      <c r="AR10" s="194">
        <f>SUM(AN10:AQ10)</f>
        <v>1</v>
      </c>
    </row>
    <row r="11" spans="1:44" x14ac:dyDescent="0.25">
      <c r="B11" s="134" t="s">
        <v>500</v>
      </c>
      <c r="C11" s="11" t="s">
        <v>515</v>
      </c>
      <c r="D11" s="15">
        <f t="shared" si="1"/>
        <v>17180.539000000001</v>
      </c>
      <c r="E11" s="189">
        <v>0</v>
      </c>
      <c r="F11" s="189">
        <v>11600</v>
      </c>
      <c r="G11" s="189">
        <v>0.53900000000000003</v>
      </c>
      <c r="H11" s="189">
        <v>5580</v>
      </c>
      <c r="L11" s="134" t="s">
        <v>500</v>
      </c>
      <c r="M11" s="11" t="s">
        <v>31</v>
      </c>
      <c r="N11" s="185">
        <f t="shared" si="2"/>
        <v>0</v>
      </c>
      <c r="O11" s="185">
        <f t="shared" si="0"/>
        <v>0.67518254229392916</v>
      </c>
      <c r="P11" s="185">
        <f t="shared" si="0"/>
        <v>3.1372706060036884E-5</v>
      </c>
      <c r="Q11" s="185">
        <f t="shared" si="0"/>
        <v>0.32478608500001077</v>
      </c>
      <c r="T11" s="207"/>
      <c r="AE11" s="318" t="s">
        <v>509</v>
      </c>
      <c r="AF11" s="189">
        <f>D104</f>
        <v>84.800028700000013</v>
      </c>
      <c r="AG11" s="189">
        <f>AN11*Calculations!$C$47</f>
        <v>48.718539453121352</v>
      </c>
      <c r="AH11" s="189">
        <f>AO11*Calculations!$C$47</f>
        <v>30.784607878448316</v>
      </c>
      <c r="AI11" s="189">
        <f>AP11*Calculations!$C$47</f>
        <v>30.379547818066047</v>
      </c>
      <c r="AJ11" s="189">
        <f>AQ11*Calculations!$C$47</f>
        <v>30.40896608930219</v>
      </c>
      <c r="AM11" s="318" t="s">
        <v>509</v>
      </c>
      <c r="AN11" s="15">
        <f>D112</f>
        <v>16.048419245599998</v>
      </c>
      <c r="AO11" s="15">
        <f>D120</f>
        <v>10.140786219999999</v>
      </c>
      <c r="AP11" s="15">
        <f>D128</f>
        <v>10.007355009999999</v>
      </c>
      <c r="AQ11" s="15">
        <f>D136</f>
        <v>10.01704571</v>
      </c>
    </row>
    <row r="12" spans="1:44" x14ac:dyDescent="0.25">
      <c r="B12" s="134" t="s">
        <v>562</v>
      </c>
      <c r="C12" s="11" t="s">
        <v>516</v>
      </c>
      <c r="D12" s="15">
        <f t="shared" si="1"/>
        <v>8660.0001140000004</v>
      </c>
      <c r="E12" s="189">
        <v>0</v>
      </c>
      <c r="F12" s="189">
        <v>4530</v>
      </c>
      <c r="G12" s="189">
        <v>1.1400000000000001E-4</v>
      </c>
      <c r="H12" s="189">
        <v>4130</v>
      </c>
      <c r="L12" s="134" t="s">
        <v>562</v>
      </c>
      <c r="M12" s="11" t="s">
        <v>31</v>
      </c>
      <c r="N12" s="185">
        <f t="shared" si="2"/>
        <v>0</v>
      </c>
      <c r="O12" s="185">
        <f t="shared" si="0"/>
        <v>0.52309468133570514</v>
      </c>
      <c r="P12" s="185">
        <f t="shared" si="0"/>
        <v>1.316397211308397E-8</v>
      </c>
      <c r="Q12" s="185">
        <f t="shared" si="0"/>
        <v>0.47690530550032273</v>
      </c>
      <c r="T12" s="207"/>
      <c r="AE12" s="318"/>
      <c r="AF12" s="15">
        <f t="shared" ref="AF12" si="8">AF11-AG11</f>
        <v>36.081489246878661</v>
      </c>
      <c r="AG12" s="15">
        <f t="shared" ref="AG12" si="9">AG11-AH11</f>
        <v>17.933931574673036</v>
      </c>
      <c r="AH12" s="15">
        <f t="shared" ref="AH12" si="10">AH11-AI11</f>
        <v>0.40506006038226872</v>
      </c>
      <c r="AI12" s="15">
        <f t="shared" ref="AI12" si="11">AI11-AJ11</f>
        <v>-2.9418271236142601E-2</v>
      </c>
      <c r="AJ12" s="15">
        <f>AJ11-AK11</f>
        <v>30.40896608930219</v>
      </c>
      <c r="AM12" s="318"/>
      <c r="AN12" s="15">
        <f>AN11-AO11</f>
        <v>5.9076330255999991</v>
      </c>
      <c r="AO12" s="15">
        <f>AO11-AP11</f>
        <v>0.13343120999999947</v>
      </c>
      <c r="AP12" s="15">
        <f>AP11-AQ11</f>
        <v>-9.6907000000001631E-3</v>
      </c>
      <c r="AQ12" s="15">
        <f>AQ11-AR11</f>
        <v>10.01704571</v>
      </c>
    </row>
    <row r="13" spans="1:44" ht="18" x14ac:dyDescent="0.25">
      <c r="B13" s="134" t="s">
        <v>501</v>
      </c>
      <c r="C13" s="11" t="s">
        <v>566</v>
      </c>
      <c r="D13" s="15">
        <f t="shared" si="1"/>
        <v>3.3470007329999998</v>
      </c>
      <c r="E13" s="189">
        <v>0</v>
      </c>
      <c r="F13" s="189">
        <v>2.79</v>
      </c>
      <c r="G13" s="189">
        <v>7.3300000000000001E-7</v>
      </c>
      <c r="H13" s="189">
        <v>0.55700000000000005</v>
      </c>
      <c r="L13" s="134" t="s">
        <v>501</v>
      </c>
      <c r="M13" s="11" t="s">
        <v>31</v>
      </c>
      <c r="N13" s="185">
        <f t="shared" si="2"/>
        <v>0</v>
      </c>
      <c r="O13" s="185">
        <f t="shared" si="0"/>
        <v>0.83358212996244363</v>
      </c>
      <c r="P13" s="185">
        <f t="shared" si="0"/>
        <v>2.1900204346325133E-7</v>
      </c>
      <c r="Q13" s="185">
        <f t="shared" si="0"/>
        <v>0.16641765103551295</v>
      </c>
      <c r="T13" s="207"/>
      <c r="AE13" s="134" t="s">
        <v>598</v>
      </c>
      <c r="AF13" s="191">
        <f>AF12/$AF$11</f>
        <v>0.42548911598279515</v>
      </c>
      <c r="AG13" s="191">
        <f>AG12/$AF$11</f>
        <v>0.21148497057847143</v>
      </c>
      <c r="AH13" s="191">
        <f>AH12/$AF$11</f>
        <v>4.7766500388256193E-3</v>
      </c>
      <c r="AI13" s="191">
        <f>AI12/$AF$11</f>
        <v>-3.4691345848733888E-4</v>
      </c>
      <c r="AJ13" s="191">
        <f>AJ12/$AF$11</f>
        <v>0.35859617685839518</v>
      </c>
      <c r="AK13" s="192">
        <f>SUM(AF13:AJ13)</f>
        <v>1</v>
      </c>
      <c r="AM13" s="134" t="s">
        <v>598</v>
      </c>
      <c r="AN13" s="193">
        <f>AN12/$AN$11</f>
        <v>0.36811307925045</v>
      </c>
      <c r="AO13" s="193">
        <f>AO12/$AN$11</f>
        <v>8.3142898972172821E-3</v>
      </c>
      <c r="AP13" s="193">
        <f>AP12/$AN$11</f>
        <v>-6.0384140342402046E-4</v>
      </c>
      <c r="AQ13" s="193">
        <f>AQ12/$AN$11</f>
        <v>0.62417647225575679</v>
      </c>
      <c r="AR13" s="194">
        <f>SUM(AN13:AQ13)</f>
        <v>1</v>
      </c>
    </row>
    <row r="14" spans="1:44" x14ac:dyDescent="0.25">
      <c r="B14" s="134" t="s">
        <v>502</v>
      </c>
      <c r="C14" s="11" t="s">
        <v>563</v>
      </c>
      <c r="D14" s="15">
        <f t="shared" si="1"/>
        <v>10.91</v>
      </c>
      <c r="E14" s="189">
        <v>0</v>
      </c>
      <c r="F14" s="189">
        <v>8.6</v>
      </c>
      <c r="G14" s="189">
        <v>0</v>
      </c>
      <c r="H14" s="189">
        <v>2.31</v>
      </c>
      <c r="L14" s="134" t="s">
        <v>502</v>
      </c>
      <c r="M14" s="11" t="s">
        <v>31</v>
      </c>
      <c r="N14" s="185">
        <f t="shared" si="2"/>
        <v>0</v>
      </c>
      <c r="O14" s="185">
        <f t="shared" si="0"/>
        <v>0.7882676443629697</v>
      </c>
      <c r="P14" s="185">
        <f t="shared" si="0"/>
        <v>0</v>
      </c>
      <c r="Q14" s="185">
        <f t="shared" si="0"/>
        <v>0.21173235563703025</v>
      </c>
      <c r="T14" s="207"/>
      <c r="AE14" s="317" t="s">
        <v>511</v>
      </c>
      <c r="AF14" s="189">
        <f>D106</f>
        <v>4041.66</v>
      </c>
      <c r="AG14" s="189">
        <f>AN14*Calculations!$C$47</f>
        <v>3014.23717003807</v>
      </c>
      <c r="AH14" s="189">
        <f>AO14*Calculations!$C$47</f>
        <v>2051.6856579404639</v>
      </c>
      <c r="AI14" s="189">
        <f>AP14*Calculations!$C$47</f>
        <v>1992.3725453634574</v>
      </c>
      <c r="AJ14" s="189">
        <f>AQ14*Calculations!$C$47</f>
        <v>1989.3336741002133</v>
      </c>
      <c r="AM14" s="317" t="s">
        <v>511</v>
      </c>
      <c r="AN14" s="15">
        <f>D114</f>
        <v>992.92266051999991</v>
      </c>
      <c r="AO14" s="15">
        <f>D122</f>
        <v>675.84767459</v>
      </c>
      <c r="AP14" s="15">
        <f>D130</f>
        <v>656.30928718999996</v>
      </c>
      <c r="AQ14" s="15">
        <f>D138</f>
        <v>655.30824978999999</v>
      </c>
    </row>
    <row r="15" spans="1:44" ht="18" x14ac:dyDescent="0.25">
      <c r="B15" s="134" t="s">
        <v>503</v>
      </c>
      <c r="C15" s="11" t="s">
        <v>566</v>
      </c>
      <c r="D15" s="15">
        <f t="shared" si="1"/>
        <v>1.12600262</v>
      </c>
      <c r="E15" s="189">
        <v>0</v>
      </c>
      <c r="F15" s="189">
        <v>0.97099999999999997</v>
      </c>
      <c r="G15" s="189">
        <v>2.6199999999999999E-6</v>
      </c>
      <c r="H15" s="189">
        <v>0.155</v>
      </c>
      <c r="L15" s="134" t="s">
        <v>503</v>
      </c>
      <c r="M15" s="11" t="s">
        <v>31</v>
      </c>
      <c r="N15" s="185">
        <f t="shared" si="2"/>
        <v>0</v>
      </c>
      <c r="O15" s="185">
        <f t="shared" si="0"/>
        <v>0.86234257607677678</v>
      </c>
      <c r="P15" s="185">
        <f t="shared" si="0"/>
        <v>2.3268151898261123E-6</v>
      </c>
      <c r="Q15" s="185">
        <f t="shared" si="0"/>
        <v>0.13765509710803336</v>
      </c>
      <c r="T15" s="207"/>
      <c r="AE15" s="317"/>
      <c r="AF15" s="15">
        <f t="shared" ref="AF15" si="12">AF14-AG14</f>
        <v>1027.4228299619299</v>
      </c>
      <c r="AG15" s="15">
        <f t="shared" ref="AG15" si="13">AG14-AH14</f>
        <v>962.55151209760606</v>
      </c>
      <c r="AH15" s="15">
        <f t="shared" ref="AH15" si="14">AH14-AI14</f>
        <v>59.31311257700645</v>
      </c>
      <c r="AI15" s="15">
        <f t="shared" ref="AI15" si="15">AI14-AJ14</f>
        <v>3.0388712632441184</v>
      </c>
      <c r="AJ15" s="15">
        <f>AJ14-AK14</f>
        <v>1989.3336741002133</v>
      </c>
      <c r="AM15" s="317"/>
      <c r="AN15" s="15">
        <f>AN14-AO14</f>
        <v>317.07498592999991</v>
      </c>
      <c r="AO15" s="15">
        <f>AO14-AP14</f>
        <v>19.538387400000033</v>
      </c>
      <c r="AP15" s="15">
        <f>AP14-AQ14</f>
        <v>1.0010373999999729</v>
      </c>
      <c r="AQ15" s="15">
        <f>AQ14-AR14</f>
        <v>655.30824978999999</v>
      </c>
    </row>
    <row r="16" spans="1:44" ht="18" x14ac:dyDescent="0.25">
      <c r="B16" s="134" t="s">
        <v>504</v>
      </c>
      <c r="C16" s="11" t="s">
        <v>567</v>
      </c>
      <c r="D16" s="15">
        <f t="shared" si="1"/>
        <v>0.10874</v>
      </c>
      <c r="E16" s="189">
        <v>0</v>
      </c>
      <c r="F16" s="189">
        <v>0.10100000000000001</v>
      </c>
      <c r="G16" s="189">
        <v>0</v>
      </c>
      <c r="H16" s="189">
        <v>7.7400000000000004E-3</v>
      </c>
      <c r="L16" s="134" t="s">
        <v>504</v>
      </c>
      <c r="M16" s="11" t="s">
        <v>31</v>
      </c>
      <c r="N16" s="185">
        <f t="shared" si="2"/>
        <v>0</v>
      </c>
      <c r="O16" s="185">
        <f t="shared" si="0"/>
        <v>0.92882104101526575</v>
      </c>
      <c r="P16" s="185">
        <f t="shared" si="0"/>
        <v>0</v>
      </c>
      <c r="Q16" s="185">
        <f t="shared" si="0"/>
        <v>7.1178958984734225E-2</v>
      </c>
      <c r="T16" s="207"/>
      <c r="AE16" s="134" t="s">
        <v>598</v>
      </c>
      <c r="AF16" s="191">
        <f>AF15/$AF$14</f>
        <v>0.25420812981842361</v>
      </c>
      <c r="AG16" s="191">
        <f>AG15/$AF$14</f>
        <v>0.23815746799523119</v>
      </c>
      <c r="AH16" s="191">
        <f>AH15/$AF$14</f>
        <v>1.4675433504304284E-2</v>
      </c>
      <c r="AI16" s="191">
        <f>AI15/$AF$14</f>
        <v>7.51886913605825E-4</v>
      </c>
      <c r="AJ16" s="191">
        <f>AJ15/$AF$14</f>
        <v>0.49220708176843508</v>
      </c>
      <c r="AK16" s="192">
        <f>SUM(AF16:AJ16)</f>
        <v>1</v>
      </c>
      <c r="AM16" s="134" t="s">
        <v>598</v>
      </c>
      <c r="AN16" s="193">
        <f>AN15/$AN$14</f>
        <v>0.31933502833337063</v>
      </c>
      <c r="AO16" s="193">
        <f>AO15/$AN$14</f>
        <v>1.9677652829242165E-2</v>
      </c>
      <c r="AP16" s="193">
        <f>AP15/$AN$14</f>
        <v>1.0081725796002312E-3</v>
      </c>
      <c r="AQ16" s="193">
        <f>AQ15/$AN$14</f>
        <v>0.65997914625778697</v>
      </c>
      <c r="AR16" s="194">
        <f>SUM(AN16:AQ16)</f>
        <v>1</v>
      </c>
    </row>
    <row r="17" spans="2:45" ht="18" x14ac:dyDescent="0.25">
      <c r="B17" s="176" t="s">
        <v>505</v>
      </c>
      <c r="C17" s="165" t="s">
        <v>578</v>
      </c>
      <c r="D17" s="195">
        <f>SUM(E17:J17)</f>
        <v>251.90000001830001</v>
      </c>
      <c r="E17" s="196">
        <v>0</v>
      </c>
      <c r="F17" s="196">
        <v>189</v>
      </c>
      <c r="G17" s="196">
        <v>1.8299999999999998E-8</v>
      </c>
      <c r="H17" s="196">
        <v>62.9</v>
      </c>
      <c r="L17" s="176" t="s">
        <v>505</v>
      </c>
      <c r="M17" s="165" t="s">
        <v>31</v>
      </c>
      <c r="N17" s="202">
        <f t="shared" si="2"/>
        <v>0</v>
      </c>
      <c r="O17" s="202">
        <f t="shared" si="0"/>
        <v>0.75029773714279291</v>
      </c>
      <c r="P17" s="202">
        <f t="shared" si="0"/>
        <v>7.2647876136048196E-11</v>
      </c>
      <c r="Q17" s="202">
        <f t="shared" si="0"/>
        <v>0.24970226278455912</v>
      </c>
      <c r="T17" s="207"/>
    </row>
    <row r="18" spans="2:45" x14ac:dyDescent="0.25">
      <c r="B18" s="134" t="s">
        <v>506</v>
      </c>
      <c r="C18" s="11" t="s">
        <v>517</v>
      </c>
      <c r="D18" s="15">
        <f t="shared" si="1"/>
        <v>4031.57</v>
      </c>
      <c r="E18" s="189">
        <v>0</v>
      </c>
      <c r="F18" s="189">
        <v>3000</v>
      </c>
      <c r="G18" s="189">
        <v>1.57</v>
      </c>
      <c r="H18" s="189">
        <v>1030</v>
      </c>
      <c r="L18" s="134" t="s">
        <v>506</v>
      </c>
      <c r="M18" s="11" t="s">
        <v>31</v>
      </c>
      <c r="N18" s="185">
        <f t="shared" si="2"/>
        <v>0</v>
      </c>
      <c r="O18" s="185">
        <f t="shared" si="0"/>
        <v>0.74412697782749648</v>
      </c>
      <c r="P18" s="185">
        <f t="shared" si="0"/>
        <v>3.8942645172972313E-4</v>
      </c>
      <c r="Q18" s="185">
        <f t="shared" si="0"/>
        <v>0.25548359572077378</v>
      </c>
      <c r="T18" s="207"/>
    </row>
    <row r="19" spans="2:45" x14ac:dyDescent="0.25">
      <c r="B19" s="134" t="s">
        <v>507</v>
      </c>
      <c r="C19" s="11" t="s">
        <v>518</v>
      </c>
      <c r="D19" s="15">
        <f t="shared" si="1"/>
        <v>12.972999999999999</v>
      </c>
      <c r="E19" s="189">
        <v>0</v>
      </c>
      <c r="F19" s="189">
        <v>11.6</v>
      </c>
      <c r="G19" s="189">
        <v>9.2999999999999999E-2</v>
      </c>
      <c r="H19" s="189">
        <v>1.28</v>
      </c>
      <c r="L19" s="134" t="s">
        <v>507</v>
      </c>
      <c r="M19" s="11" t="s">
        <v>31</v>
      </c>
      <c r="N19" s="185">
        <f t="shared" si="2"/>
        <v>0</v>
      </c>
      <c r="O19" s="185">
        <f t="shared" si="0"/>
        <v>0.89416480382332542</v>
      </c>
      <c r="P19" s="185">
        <f t="shared" si="0"/>
        <v>7.1687350651352816E-3</v>
      </c>
      <c r="Q19" s="185">
        <f t="shared" si="0"/>
        <v>9.8666461111539358E-2</v>
      </c>
      <c r="T19" s="207"/>
    </row>
    <row r="21" spans="2:45" ht="17.25" x14ac:dyDescent="0.25">
      <c r="B21" s="319" t="s">
        <v>668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3" spans="2:45" ht="30.95" customHeight="1" x14ac:dyDescent="0.25">
      <c r="B23" s="167" t="s">
        <v>569</v>
      </c>
      <c r="C23" s="167" t="s">
        <v>365</v>
      </c>
      <c r="D23" s="167" t="s">
        <v>223</v>
      </c>
      <c r="E23" s="167" t="s">
        <v>494</v>
      </c>
      <c r="F23" s="167" t="s">
        <v>230</v>
      </c>
      <c r="G23" s="167" t="s">
        <v>570</v>
      </c>
      <c r="H23" s="167" t="s">
        <v>341</v>
      </c>
      <c r="I23" s="167" t="s">
        <v>571</v>
      </c>
      <c r="J23" s="167" t="s">
        <v>572</v>
      </c>
      <c r="L23" s="133" t="s">
        <v>569</v>
      </c>
      <c r="M23" s="133" t="s">
        <v>365</v>
      </c>
      <c r="N23" s="167" t="s">
        <v>494</v>
      </c>
      <c r="O23" s="167" t="s">
        <v>230</v>
      </c>
      <c r="P23" s="167" t="s">
        <v>570</v>
      </c>
      <c r="Q23" s="167" t="s">
        <v>341</v>
      </c>
      <c r="R23" s="167" t="s">
        <v>571</v>
      </c>
      <c r="S23" s="167" t="s">
        <v>572</v>
      </c>
    </row>
    <row r="24" spans="2:45" ht="18" x14ac:dyDescent="0.25">
      <c r="B24" s="134" t="s">
        <v>495</v>
      </c>
      <c r="C24" s="11" t="s">
        <v>564</v>
      </c>
      <c r="D24" s="15">
        <f>SUM(E24:J24)</f>
        <v>0.9620827376579999</v>
      </c>
      <c r="E24" s="189">
        <f>D43</f>
        <v>0.68310784000000002</v>
      </c>
      <c r="F24" s="189">
        <v>0.25269651999999998</v>
      </c>
      <c r="G24" s="189">
        <v>0</v>
      </c>
      <c r="H24" s="189">
        <v>1.7657999999999998E-8</v>
      </c>
      <c r="I24" s="189">
        <v>1.3855000000000001E-4</v>
      </c>
      <c r="J24" s="189">
        <v>2.6139809999999999E-2</v>
      </c>
      <c r="L24" s="134" t="s">
        <v>495</v>
      </c>
      <c r="M24" s="11" t="s">
        <v>31</v>
      </c>
      <c r="N24" s="185">
        <f>E24/$D24</f>
        <v>0.71003024299437167</v>
      </c>
      <c r="O24" s="185">
        <f t="shared" ref="O24:S38" si="16">F24/$D24</f>
        <v>0.26265570528283216</v>
      </c>
      <c r="P24" s="185">
        <f t="shared" si="16"/>
        <v>0</v>
      </c>
      <c r="Q24" s="185">
        <f t="shared" si="16"/>
        <v>1.8353930809511152E-8</v>
      </c>
      <c r="R24" s="185">
        <f t="shared" si="16"/>
        <v>1.4401048327431024E-4</v>
      </c>
      <c r="S24" s="185">
        <f t="shared" si="16"/>
        <v>2.7170022885591102E-2</v>
      </c>
      <c r="T24" s="207"/>
    </row>
    <row r="25" spans="2:45" ht="18" x14ac:dyDescent="0.25">
      <c r="B25" s="134" t="s">
        <v>496</v>
      </c>
      <c r="C25" s="11" t="s">
        <v>564</v>
      </c>
      <c r="D25" s="15">
        <f t="shared" ref="D25:D38" si="17">SUM(E25:J25)</f>
        <v>1.7296119881699998</v>
      </c>
      <c r="E25" s="189">
        <f t="shared" ref="E25:E38" si="18">D44</f>
        <v>0.58995496999999997</v>
      </c>
      <c r="F25" s="189">
        <v>1.1292310299999999</v>
      </c>
      <c r="G25" s="189">
        <v>0</v>
      </c>
      <c r="H25" s="189">
        <v>3.7817E-7</v>
      </c>
      <c r="I25" s="189">
        <v>5.6085E-4</v>
      </c>
      <c r="J25" s="189">
        <v>9.8647600000000002E-3</v>
      </c>
      <c r="L25" s="134" t="s">
        <v>496</v>
      </c>
      <c r="M25" s="11" t="s">
        <v>31</v>
      </c>
      <c r="N25" s="185">
        <f t="shared" ref="N25:N38" si="19">E25/$D25</f>
        <v>0.34109093486579983</v>
      </c>
      <c r="O25" s="185">
        <f t="shared" si="16"/>
        <v>0.65288113040588514</v>
      </c>
      <c r="P25" s="185">
        <f t="shared" si="16"/>
        <v>0</v>
      </c>
      <c r="Q25" s="185">
        <f t="shared" si="16"/>
        <v>2.1864441423080057E-7</v>
      </c>
      <c r="R25" s="185">
        <f t="shared" si="16"/>
        <v>3.2426347865072456E-4</v>
      </c>
      <c r="S25" s="185">
        <f t="shared" si="16"/>
        <v>5.7034526052501056E-3</v>
      </c>
      <c r="T25" s="207"/>
      <c r="AS25" s="139" t="s">
        <v>505</v>
      </c>
    </row>
    <row r="26" spans="2:45" x14ac:dyDescent="0.25">
      <c r="B26" s="134" t="s">
        <v>497</v>
      </c>
      <c r="C26" s="11" t="s">
        <v>512</v>
      </c>
      <c r="D26" s="15">
        <f t="shared" si="17"/>
        <v>5.9438768083100002E-2</v>
      </c>
      <c r="E26" s="189">
        <f t="shared" si="18"/>
        <v>3.4687339999999997E-2</v>
      </c>
      <c r="F26" s="189">
        <v>2.145611E-2</v>
      </c>
      <c r="G26" s="189">
        <v>4.3473000000000002E-5</v>
      </c>
      <c r="H26" s="189">
        <v>5.0831000000000004E-9</v>
      </c>
      <c r="I26" s="189">
        <v>1.0458799999999999E-3</v>
      </c>
      <c r="J26" s="189">
        <v>2.2059599999999999E-3</v>
      </c>
      <c r="L26" s="134" t="s">
        <v>497</v>
      </c>
      <c r="M26" s="11" t="s">
        <v>31</v>
      </c>
      <c r="N26" s="185">
        <f t="shared" si="19"/>
        <v>0.583581072062335</v>
      </c>
      <c r="O26" s="185">
        <f t="shared" si="16"/>
        <v>0.36097837643611147</v>
      </c>
      <c r="P26" s="185">
        <f t="shared" si="16"/>
        <v>7.3139133602535941E-4</v>
      </c>
      <c r="Q26" s="185">
        <f t="shared" si="16"/>
        <v>8.5518259612874764E-8</v>
      </c>
      <c r="R26" s="185">
        <f t="shared" si="16"/>
        <v>1.759592322872134E-2</v>
      </c>
      <c r="S26" s="185">
        <f t="shared" si="16"/>
        <v>3.711315141854718E-2</v>
      </c>
      <c r="T26" s="207"/>
      <c r="AS26" s="139" t="s">
        <v>508</v>
      </c>
    </row>
    <row r="27" spans="2:45" x14ac:dyDescent="0.25">
      <c r="B27" s="134" t="s">
        <v>561</v>
      </c>
      <c r="C27" s="11" t="s">
        <v>513</v>
      </c>
      <c r="D27" s="15">
        <f t="shared" si="17"/>
        <v>1240.9024595199996</v>
      </c>
      <c r="E27" s="189">
        <f t="shared" si="18"/>
        <v>1052.1589023899999</v>
      </c>
      <c r="F27" s="189">
        <v>108.956751</v>
      </c>
      <c r="G27" s="189">
        <v>0</v>
      </c>
      <c r="H27" s="189">
        <v>3.4710700000000001E-3</v>
      </c>
      <c r="I27" s="189">
        <v>1.00467876</v>
      </c>
      <c r="J27" s="189">
        <v>78.778656299999994</v>
      </c>
      <c r="L27" s="134" t="s">
        <v>561</v>
      </c>
      <c r="M27" s="11" t="s">
        <v>31</v>
      </c>
      <c r="N27" s="185">
        <f t="shared" si="19"/>
        <v>0.84789815212147401</v>
      </c>
      <c r="O27" s="185">
        <f t="shared" si="16"/>
        <v>8.7804444389727593E-2</v>
      </c>
      <c r="P27" s="185">
        <f t="shared" si="16"/>
        <v>0</v>
      </c>
      <c r="Q27" s="185">
        <f t="shared" si="16"/>
        <v>2.7972142156464611E-6</v>
      </c>
      <c r="R27" s="185">
        <f t="shared" si="16"/>
        <v>8.0963556183829741E-4</v>
      </c>
      <c r="S27" s="185">
        <f t="shared" si="16"/>
        <v>6.3484970712744657E-2</v>
      </c>
      <c r="T27" s="207"/>
      <c r="AS27" s="139" t="s">
        <v>509</v>
      </c>
    </row>
    <row r="28" spans="2:45" x14ac:dyDescent="0.25">
      <c r="B28" s="134" t="s">
        <v>498</v>
      </c>
      <c r="C28" s="11" t="s">
        <v>514</v>
      </c>
      <c r="D28" s="15">
        <f t="shared" si="17"/>
        <v>6.464063900012556E-6</v>
      </c>
      <c r="E28" s="189">
        <f t="shared" si="18"/>
        <v>4.8813119999999997E-6</v>
      </c>
      <c r="F28" s="189">
        <v>1.3468E-6</v>
      </c>
      <c r="G28" s="189">
        <v>0</v>
      </c>
      <c r="H28" s="189">
        <v>1.2556E-17</v>
      </c>
      <c r="I28" s="189">
        <v>2.2918999999999999E-9</v>
      </c>
      <c r="J28" s="189">
        <v>2.3365999999999999E-7</v>
      </c>
      <c r="L28" s="134" t="s">
        <v>498</v>
      </c>
      <c r="M28" s="11" t="s">
        <v>31</v>
      </c>
      <c r="N28" s="185">
        <f t="shared" si="19"/>
        <v>0.7551460003343281</v>
      </c>
      <c r="O28" s="185">
        <f t="shared" si="16"/>
        <v>0.20835190072879445</v>
      </c>
      <c r="P28" s="185">
        <f t="shared" si="16"/>
        <v>0</v>
      </c>
      <c r="Q28" s="185">
        <f t="shared" si="16"/>
        <v>1.9424312931027198E-12</v>
      </c>
      <c r="R28" s="185">
        <f t="shared" si="16"/>
        <v>3.5456023261087318E-4</v>
      </c>
      <c r="S28" s="185">
        <f t="shared" si="16"/>
        <v>3.6147538702324108E-2</v>
      </c>
      <c r="T28" s="207"/>
      <c r="AS28" s="139" t="s">
        <v>511</v>
      </c>
    </row>
    <row r="29" spans="2:45" ht="18" x14ac:dyDescent="0.25">
      <c r="B29" s="134" t="s">
        <v>499</v>
      </c>
      <c r="C29" s="11" t="s">
        <v>565</v>
      </c>
      <c r="D29" s="15">
        <f t="shared" si="17"/>
        <v>1.4972449355999997E-2</v>
      </c>
      <c r="E29" s="189">
        <f t="shared" si="18"/>
        <v>9.3030299999999986E-3</v>
      </c>
      <c r="F29" s="189">
        <v>3.17205E-3</v>
      </c>
      <c r="G29" s="189">
        <v>1.9904999999999999E-4</v>
      </c>
      <c r="H29" s="189">
        <v>8.9355999999999996E-8</v>
      </c>
      <c r="I29" s="189">
        <v>2.09683E-3</v>
      </c>
      <c r="J29" s="189">
        <v>2.0139999999999999E-4</v>
      </c>
      <c r="L29" s="134" t="s">
        <v>499</v>
      </c>
      <c r="M29" s="11" t="s">
        <v>31</v>
      </c>
      <c r="N29" s="185">
        <f t="shared" si="19"/>
        <v>0.62134322707005452</v>
      </c>
      <c r="O29" s="185">
        <f t="shared" si="16"/>
        <v>0.21185912368632229</v>
      </c>
      <c r="P29" s="185">
        <f t="shared" si="16"/>
        <v>1.3294417985139721E-2</v>
      </c>
      <c r="Q29" s="185">
        <f t="shared" si="16"/>
        <v>5.9680282013571705E-6</v>
      </c>
      <c r="R29" s="185">
        <f t="shared" si="16"/>
        <v>0.14004589029781725</v>
      </c>
      <c r="S29" s="185">
        <f t="shared" si="16"/>
        <v>1.3451372932464907E-2</v>
      </c>
      <c r="T29" s="207"/>
    </row>
    <row r="30" spans="2:45" x14ac:dyDescent="0.25">
      <c r="B30" s="134" t="s">
        <v>500</v>
      </c>
      <c r="C30" s="11" t="s">
        <v>515</v>
      </c>
      <c r="D30" s="15">
        <f t="shared" si="17"/>
        <v>3826.3766751585199</v>
      </c>
      <c r="E30" s="189">
        <f t="shared" si="18"/>
        <v>2520.3907332999997</v>
      </c>
      <c r="F30" s="189">
        <v>1213.7295899999999</v>
      </c>
      <c r="G30" s="189">
        <v>3.6852000000000002E-7</v>
      </c>
      <c r="H30" s="189">
        <v>0.16112594</v>
      </c>
      <c r="I30" s="189">
        <v>0.57671265000000005</v>
      </c>
      <c r="J30" s="189">
        <v>91.518512900000005</v>
      </c>
      <c r="L30" s="134" t="s">
        <v>500</v>
      </c>
      <c r="M30" s="11" t="s">
        <v>31</v>
      </c>
      <c r="N30" s="185">
        <f t="shared" si="19"/>
        <v>0.6586886099486231</v>
      </c>
      <c r="O30" s="185">
        <f t="shared" si="16"/>
        <v>0.31720076015509302</v>
      </c>
      <c r="P30" s="185">
        <f t="shared" si="16"/>
        <v>9.6310434462057474E-11</v>
      </c>
      <c r="Q30" s="185">
        <f t="shared" si="16"/>
        <v>4.2109272996058295E-5</v>
      </c>
      <c r="R30" s="185">
        <f t="shared" si="16"/>
        <v>1.5072030251075787E-4</v>
      </c>
      <c r="S30" s="185">
        <f t="shared" si="16"/>
        <v>2.3917800224466546E-2</v>
      </c>
      <c r="T30" s="207"/>
    </row>
    <row r="31" spans="2:45" x14ac:dyDescent="0.25">
      <c r="B31" s="134" t="s">
        <v>562</v>
      </c>
      <c r="C31" s="11" t="s">
        <v>516</v>
      </c>
      <c r="D31" s="15">
        <f t="shared" si="17"/>
        <v>1492.9487812598998</v>
      </c>
      <c r="E31" s="189">
        <f t="shared" si="18"/>
        <v>1081.1557966999999</v>
      </c>
      <c r="F31" s="189">
        <v>389.18071099999997</v>
      </c>
      <c r="G31" s="189">
        <v>1.4599E-6</v>
      </c>
      <c r="H31" s="189">
        <v>3.4010000000000001E-5</v>
      </c>
      <c r="I31" s="189">
        <v>0.73776668999999995</v>
      </c>
      <c r="J31" s="189">
        <v>21.874471400000001</v>
      </c>
      <c r="L31" s="134" t="s">
        <v>562</v>
      </c>
      <c r="M31" s="11" t="s">
        <v>31</v>
      </c>
      <c r="N31" s="185">
        <f t="shared" si="19"/>
        <v>0.72417474080230149</v>
      </c>
      <c r="O31" s="185">
        <f t="shared" si="16"/>
        <v>0.26067921142717992</v>
      </c>
      <c r="P31" s="185">
        <f t="shared" si="16"/>
        <v>9.7786341924469115E-10</v>
      </c>
      <c r="Q31" s="185">
        <f t="shared" si="16"/>
        <v>2.2780419815406498E-8</v>
      </c>
      <c r="R31" s="185">
        <f t="shared" si="16"/>
        <v>4.9416744851581477E-4</v>
      </c>
      <c r="S31" s="185">
        <f t="shared" si="16"/>
        <v>1.4651856563719574E-2</v>
      </c>
      <c r="T31" s="207"/>
    </row>
    <row r="32" spans="2:45" ht="18.75" thickBot="1" x14ac:dyDescent="0.3">
      <c r="B32" s="134" t="s">
        <v>501</v>
      </c>
      <c r="C32" s="11" t="s">
        <v>566</v>
      </c>
      <c r="D32" s="15">
        <f t="shared" si="17"/>
        <v>0.92006229926999994</v>
      </c>
      <c r="E32" s="189">
        <f t="shared" si="18"/>
        <v>0.53387890999999998</v>
      </c>
      <c r="F32" s="189">
        <v>0.32369068000000001</v>
      </c>
      <c r="G32" s="189">
        <v>5.5734000000000003E-4</v>
      </c>
      <c r="H32" s="189">
        <v>2.1927E-7</v>
      </c>
      <c r="I32" s="189">
        <v>2.7543620000000001E-2</v>
      </c>
      <c r="J32" s="189">
        <v>3.4391529999999997E-2</v>
      </c>
      <c r="L32" s="134" t="s">
        <v>501</v>
      </c>
      <c r="M32" s="11" t="s">
        <v>31</v>
      </c>
      <c r="N32" s="185">
        <f t="shared" si="19"/>
        <v>0.58026386954839104</v>
      </c>
      <c r="O32" s="185">
        <f t="shared" si="16"/>
        <v>0.35181387201369313</v>
      </c>
      <c r="P32" s="185">
        <f t="shared" si="16"/>
        <v>6.0576332759445454E-4</v>
      </c>
      <c r="Q32" s="185">
        <f t="shared" si="16"/>
        <v>2.3832081824673637E-7</v>
      </c>
      <c r="R32" s="185">
        <f t="shared" si="16"/>
        <v>2.9936690180495155E-2</v>
      </c>
      <c r="S32" s="185">
        <f t="shared" si="16"/>
        <v>3.7379566609007979E-2</v>
      </c>
      <c r="T32" s="207"/>
    </row>
    <row r="33" spans="2:43" ht="18" thickBot="1" x14ac:dyDescent="0.3">
      <c r="B33" s="134" t="s">
        <v>502</v>
      </c>
      <c r="C33" s="11" t="s">
        <v>563</v>
      </c>
      <c r="D33" s="15">
        <f t="shared" si="17"/>
        <v>2.8337030000000003</v>
      </c>
      <c r="E33" s="189">
        <f t="shared" si="18"/>
        <v>0.83080456999999996</v>
      </c>
      <c r="F33" s="189">
        <v>1.9778363699999999</v>
      </c>
      <c r="G33" s="189">
        <v>0</v>
      </c>
      <c r="H33" s="189">
        <v>0</v>
      </c>
      <c r="I33" s="189">
        <v>1.0606299999999999E-3</v>
      </c>
      <c r="J33" s="189">
        <v>2.4001430000000001E-2</v>
      </c>
      <c r="L33" s="134" t="s">
        <v>502</v>
      </c>
      <c r="M33" s="11" t="s">
        <v>31</v>
      </c>
      <c r="N33" s="185">
        <f t="shared" si="19"/>
        <v>0.29318689008692861</v>
      </c>
      <c r="O33" s="185">
        <f t="shared" si="16"/>
        <v>0.69796883089018136</v>
      </c>
      <c r="P33" s="185">
        <f t="shared" si="16"/>
        <v>0</v>
      </c>
      <c r="Q33" s="185">
        <f t="shared" si="16"/>
        <v>0</v>
      </c>
      <c r="R33" s="185">
        <f t="shared" si="16"/>
        <v>3.7429116601139914E-4</v>
      </c>
      <c r="S33" s="185">
        <f t="shared" si="16"/>
        <v>8.469987856878438E-3</v>
      </c>
      <c r="T33" s="207"/>
      <c r="AF33" s="314" t="s">
        <v>658</v>
      </c>
      <c r="AG33" s="315"/>
      <c r="AH33" s="315"/>
      <c r="AI33" s="315"/>
      <c r="AJ33" s="316"/>
      <c r="AN33" s="314" t="s">
        <v>659</v>
      </c>
      <c r="AO33" s="315"/>
      <c r="AP33" s="315"/>
      <c r="AQ33" s="316"/>
    </row>
    <row r="34" spans="2:43" ht="18" x14ac:dyDescent="0.25">
      <c r="B34" s="134" t="s">
        <v>503</v>
      </c>
      <c r="C34" s="11" t="s">
        <v>566</v>
      </c>
      <c r="D34" s="15">
        <f t="shared" si="17"/>
        <v>215.29834345240002</v>
      </c>
      <c r="E34" s="189">
        <f t="shared" si="18"/>
        <v>215.15715998000002</v>
      </c>
      <c r="F34" s="189">
        <v>0.12098804000000001</v>
      </c>
      <c r="G34" s="189">
        <v>5.5734000000000003E-4</v>
      </c>
      <c r="H34" s="189">
        <v>7.8240000000000002E-7</v>
      </c>
      <c r="I34" s="189">
        <v>7.8460999999999999E-3</v>
      </c>
      <c r="J34" s="189">
        <v>1.179121E-2</v>
      </c>
      <c r="L34" s="134" t="s">
        <v>503</v>
      </c>
      <c r="M34" s="11" t="s">
        <v>31</v>
      </c>
      <c r="N34" s="185">
        <f t="shared" si="19"/>
        <v>0.99934424264424859</v>
      </c>
      <c r="O34" s="185">
        <f t="shared" si="16"/>
        <v>5.6195527592040702E-4</v>
      </c>
      <c r="P34" s="185">
        <f t="shared" si="16"/>
        <v>2.5886868940225798E-6</v>
      </c>
      <c r="Q34" s="185">
        <f t="shared" si="16"/>
        <v>3.6340270317638538E-9</v>
      </c>
      <c r="R34" s="185">
        <f t="shared" si="16"/>
        <v>3.6442918576076654E-5</v>
      </c>
      <c r="S34" s="185">
        <f t="shared" si="16"/>
        <v>5.4766840333850042E-5</v>
      </c>
      <c r="T34" s="207"/>
    </row>
    <row r="35" spans="2:43" ht="30" x14ac:dyDescent="0.25">
      <c r="B35" s="134" t="s">
        <v>504</v>
      </c>
      <c r="C35" s="11" t="s">
        <v>567</v>
      </c>
      <c r="D35" s="15">
        <f t="shared" si="17"/>
        <v>3.3278562800000001E-2</v>
      </c>
      <c r="E35" s="189">
        <f t="shared" si="18"/>
        <v>8.901868999999998E-3</v>
      </c>
      <c r="F35" s="189">
        <v>2.1524990000000001E-2</v>
      </c>
      <c r="G35" s="189">
        <v>2.6274599999999999E-3</v>
      </c>
      <c r="H35" s="189">
        <v>0</v>
      </c>
      <c r="I35" s="189">
        <v>1.8137999999999999E-6</v>
      </c>
      <c r="J35" s="189">
        <v>2.2243E-4</v>
      </c>
      <c r="L35" s="134" t="s">
        <v>504</v>
      </c>
      <c r="M35" s="11" t="s">
        <v>31</v>
      </c>
      <c r="N35" s="185">
        <f t="shared" si="19"/>
        <v>0.26749559629420044</v>
      </c>
      <c r="O35" s="185">
        <f t="shared" si="16"/>
        <v>0.6468124879479471</v>
      </c>
      <c r="P35" s="185">
        <f t="shared" si="16"/>
        <v>7.8953529808084136E-2</v>
      </c>
      <c r="Q35" s="185">
        <f t="shared" si="16"/>
        <v>0</v>
      </c>
      <c r="R35" s="185">
        <f t="shared" si="16"/>
        <v>5.4503555664369013E-5</v>
      </c>
      <c r="S35" s="185">
        <f t="shared" si="16"/>
        <v>6.6838823941038697E-3</v>
      </c>
      <c r="T35" s="207"/>
      <c r="AF35" s="167" t="s">
        <v>646</v>
      </c>
      <c r="AG35" s="167" t="s">
        <v>492</v>
      </c>
      <c r="AH35" s="167" t="s">
        <v>494</v>
      </c>
      <c r="AI35" s="167" t="s">
        <v>493</v>
      </c>
      <c r="AJ35" s="167" t="s">
        <v>597</v>
      </c>
      <c r="AN35" s="167" t="s">
        <v>492</v>
      </c>
      <c r="AO35" s="167" t="s">
        <v>494</v>
      </c>
      <c r="AP35" s="167" t="s">
        <v>493</v>
      </c>
      <c r="AQ35" s="167" t="s">
        <v>597</v>
      </c>
    </row>
    <row r="36" spans="2:43" ht="18" x14ac:dyDescent="0.25">
      <c r="B36" s="176" t="s">
        <v>505</v>
      </c>
      <c r="C36" s="165" t="s">
        <v>578</v>
      </c>
      <c r="D36" s="195">
        <f t="shared" si="17"/>
        <v>62.160403655482099</v>
      </c>
      <c r="E36" s="196">
        <f t="shared" si="18"/>
        <v>39.2628646</v>
      </c>
      <c r="F36" s="196">
        <v>13.9315973</v>
      </c>
      <c r="G36" s="196">
        <v>0.47771999999999998</v>
      </c>
      <c r="H36" s="196">
        <v>5.4821000000000003E-9</v>
      </c>
      <c r="I36" s="196">
        <v>6.7667284800000003</v>
      </c>
      <c r="J36" s="196">
        <v>1.7214932700000001</v>
      </c>
      <c r="L36" s="176" t="s">
        <v>505</v>
      </c>
      <c r="M36" s="165" t="s">
        <v>31</v>
      </c>
      <c r="N36" s="202">
        <f t="shared" si="19"/>
        <v>0.63163786415562151</v>
      </c>
      <c r="O36" s="202">
        <f t="shared" si="16"/>
        <v>0.22412334027324698</v>
      </c>
      <c r="P36" s="202">
        <f t="shared" si="16"/>
        <v>7.6852782785600286E-3</v>
      </c>
      <c r="Q36" s="202">
        <f t="shared" si="16"/>
        <v>8.8192799235732091E-11</v>
      </c>
      <c r="R36" s="202">
        <f t="shared" si="16"/>
        <v>0.1088591463707978</v>
      </c>
      <c r="S36" s="202">
        <f t="shared" si="16"/>
        <v>2.7694370833580916E-2</v>
      </c>
      <c r="T36" s="207"/>
      <c r="AE36" s="318" t="str">
        <f>$B$24</f>
        <v>Carcinogens</v>
      </c>
      <c r="AF36" s="15">
        <f>D5</f>
        <v>3.4220000591000002</v>
      </c>
      <c r="AG36" s="15">
        <f>AN36*Calculations!$C$47</f>
        <v>2.9206157375661146</v>
      </c>
      <c r="AH36" s="15">
        <f>AO36*Calculations!$C$47</f>
        <v>2.0737255018372545</v>
      </c>
      <c r="AI36" s="15">
        <f>AP36*Calculations!$C$47</f>
        <v>2.0295251769404774</v>
      </c>
      <c r="AJ36" s="15">
        <f>AQ36*Calculations!$C$47</f>
        <v>2.0727785387149411</v>
      </c>
      <c r="AM36" s="318" t="str">
        <f>$B$24</f>
        <v>Carcinogens</v>
      </c>
      <c r="AN36" s="15">
        <f>D24</f>
        <v>0.9620827376579999</v>
      </c>
      <c r="AO36" s="15">
        <f>D43</f>
        <v>0.68310784000000002</v>
      </c>
      <c r="AP36" s="15">
        <f>D62</f>
        <v>0.66854776999999999</v>
      </c>
      <c r="AQ36" s="15">
        <f>D81</f>
        <v>0.68279590000000001</v>
      </c>
    </row>
    <row r="37" spans="2:43" x14ac:dyDescent="0.25">
      <c r="B37" s="134" t="s">
        <v>506</v>
      </c>
      <c r="C37" s="11" t="s">
        <v>517</v>
      </c>
      <c r="D37" s="15">
        <f t="shared" si="17"/>
        <v>988.26467586999991</v>
      </c>
      <c r="E37" s="189">
        <f t="shared" si="18"/>
        <v>672.83788778000007</v>
      </c>
      <c r="F37" s="189">
        <v>160.09291899999999</v>
      </c>
      <c r="G37" s="189">
        <v>5.5734000000000004</v>
      </c>
      <c r="H37" s="189">
        <v>0.46913758999999999</v>
      </c>
      <c r="I37" s="189">
        <v>114.23347699999999</v>
      </c>
      <c r="J37" s="189">
        <v>35.057854499999998</v>
      </c>
      <c r="L37" s="134" t="s">
        <v>506</v>
      </c>
      <c r="M37" s="11" t="s">
        <v>31</v>
      </c>
      <c r="N37" s="185">
        <f t="shared" si="19"/>
        <v>0.68082762058421253</v>
      </c>
      <c r="O37" s="185">
        <f t="shared" si="16"/>
        <v>0.16199397075390279</v>
      </c>
      <c r="P37" s="185">
        <f t="shared" si="16"/>
        <v>5.6395823265600019E-3</v>
      </c>
      <c r="Q37" s="185">
        <f t="shared" si="16"/>
        <v>4.7470844749864573E-4</v>
      </c>
      <c r="R37" s="185">
        <f t="shared" si="16"/>
        <v>0.11558996267820332</v>
      </c>
      <c r="S37" s="185">
        <f t="shared" si="16"/>
        <v>3.5474155209622854E-2</v>
      </c>
      <c r="T37" s="207"/>
      <c r="AE37" s="318"/>
      <c r="AF37" s="15">
        <f>AF36-AG36</f>
        <v>0.50138432153388557</v>
      </c>
      <c r="AG37" s="15">
        <f>AG36-AH36</f>
        <v>0.84689023572886013</v>
      </c>
      <c r="AH37" s="15">
        <f t="shared" ref="AH37:AJ37" si="20">AH36-AI36</f>
        <v>4.4200324896777055E-2</v>
      </c>
      <c r="AI37" s="15">
        <f t="shared" si="20"/>
        <v>-4.3253361774463706E-2</v>
      </c>
      <c r="AJ37" s="15">
        <f t="shared" si="20"/>
        <v>2.0727785387149411</v>
      </c>
      <c r="AM37" s="318"/>
      <c r="AN37" s="15">
        <f>AN36-AO36</f>
        <v>0.27897489765799988</v>
      </c>
      <c r="AO37" s="15">
        <f t="shared" ref="AO37:AQ37" si="21">AO36-AP36</f>
        <v>1.4560070000000036E-2</v>
      </c>
      <c r="AP37" s="15">
        <f t="shared" si="21"/>
        <v>-1.4248130000000025E-2</v>
      </c>
      <c r="AQ37" s="15">
        <f t="shared" si="21"/>
        <v>0.68279590000000001</v>
      </c>
    </row>
    <row r="38" spans="2:43" ht="30" x14ac:dyDescent="0.25">
      <c r="B38" s="134" t="s">
        <v>507</v>
      </c>
      <c r="C38" s="11" t="s">
        <v>518</v>
      </c>
      <c r="D38" s="15">
        <f t="shared" si="17"/>
        <v>3.8349841599999999</v>
      </c>
      <c r="E38" s="189">
        <f t="shared" si="18"/>
        <v>2.1867869899999999</v>
      </c>
      <c r="F38" s="189">
        <v>1.6004039400000001</v>
      </c>
      <c r="G38" s="189">
        <v>0</v>
      </c>
      <c r="H38" s="189">
        <v>2.7814640000000002E-2</v>
      </c>
      <c r="I38" s="189">
        <v>4.2045E-4</v>
      </c>
      <c r="J38" s="189">
        <v>1.9558140000000002E-2</v>
      </c>
      <c r="L38" s="134" t="s">
        <v>507</v>
      </c>
      <c r="M38" s="11" t="s">
        <v>31</v>
      </c>
      <c r="N38" s="185">
        <f t="shared" si="19"/>
        <v>0.57022060555264453</v>
      </c>
      <c r="O38" s="185">
        <f t="shared" si="16"/>
        <v>0.41731696226875686</v>
      </c>
      <c r="P38" s="185">
        <f t="shared" si="16"/>
        <v>0</v>
      </c>
      <c r="Q38" s="185">
        <f t="shared" si="16"/>
        <v>7.2528695920350298E-3</v>
      </c>
      <c r="R38" s="185">
        <f t="shared" si="16"/>
        <v>1.0963539416548725E-4</v>
      </c>
      <c r="S38" s="185">
        <f t="shared" si="16"/>
        <v>5.0999271923981042E-3</v>
      </c>
      <c r="T38" s="207"/>
      <c r="AE38" s="134" t="s">
        <v>598</v>
      </c>
      <c r="AF38" s="193">
        <f>AF37/$AF36</f>
        <v>0.14651791726320182</v>
      </c>
      <c r="AG38" s="193">
        <f t="shared" ref="AG38:AJ38" si="22">AG37/$AF36</f>
        <v>0.24748399213984693</v>
      </c>
      <c r="AH38" s="193">
        <f t="shared" si="22"/>
        <v>1.2916517864819068E-2</v>
      </c>
      <c r="AI38" s="193">
        <f t="shared" si="22"/>
        <v>-1.2639789896976074E-2</v>
      </c>
      <c r="AJ38" s="193">
        <f t="shared" si="22"/>
        <v>0.60572136262910825</v>
      </c>
      <c r="AM38" s="186" t="s">
        <v>598</v>
      </c>
      <c r="AN38" s="193">
        <f>AN37/$AN$36</f>
        <v>0.28996975700562833</v>
      </c>
      <c r="AO38" s="193">
        <f t="shared" ref="AO38:AQ38" si="23">AO37/$AN$36</f>
        <v>1.5133906295256525E-2</v>
      </c>
      <c r="AP38" s="193">
        <f t="shared" si="23"/>
        <v>-1.4809672227031409E-2</v>
      </c>
      <c r="AQ38" s="193">
        <f t="shared" si="23"/>
        <v>0.70970600892614655</v>
      </c>
    </row>
    <row r="39" spans="2:43" x14ac:dyDescent="0.25">
      <c r="D39" s="210"/>
      <c r="AE39" s="318" t="str">
        <f>$B$25</f>
        <v>Non-carcinogens</v>
      </c>
      <c r="AF39" s="15">
        <f>D6</f>
        <v>6.3800012600000002</v>
      </c>
      <c r="AG39" s="15">
        <f>AN39*Calculations!$C$47</f>
        <v>5.2506211730077119</v>
      </c>
      <c r="AH39" s="15">
        <f>AO39*Calculations!$C$47</f>
        <v>1.7909392845273628</v>
      </c>
      <c r="AI39" s="15">
        <f>AP39*Calculations!$C$47</f>
        <v>1.7742587510390924</v>
      </c>
      <c r="AJ39" s="15">
        <f>AQ39*Calculations!$C$47</f>
        <v>1.7926418995712197</v>
      </c>
      <c r="AM39" s="318" t="str">
        <f>$B$25</f>
        <v>Non-carcinogens</v>
      </c>
      <c r="AN39" s="15">
        <f>D25</f>
        <v>1.7296119881699998</v>
      </c>
      <c r="AO39" s="15">
        <f>D44</f>
        <v>0.58995496999999997</v>
      </c>
      <c r="AP39" s="15">
        <f>D63</f>
        <v>0.58446021999999997</v>
      </c>
      <c r="AQ39" s="15">
        <f>D82</f>
        <v>0.59051582999999996</v>
      </c>
    </row>
    <row r="40" spans="2:43" x14ac:dyDescent="0.25">
      <c r="B40" s="320" t="s">
        <v>669</v>
      </c>
      <c r="C40" s="321"/>
      <c r="D40" s="321"/>
      <c r="E40" s="321"/>
      <c r="F40" s="321"/>
      <c r="G40" s="321"/>
      <c r="H40" s="321"/>
      <c r="I40" s="321"/>
      <c r="J40" s="321"/>
      <c r="K40" s="322"/>
      <c r="AE40" s="318"/>
      <c r="AF40" s="15">
        <f>AF39-AG39</f>
        <v>1.1293800869922883</v>
      </c>
      <c r="AG40" s="15">
        <f>AG39-AH39</f>
        <v>3.4596818884803491</v>
      </c>
      <c r="AH40" s="15">
        <f t="shared" ref="AH40:AJ40" si="24">AH39-AI39</f>
        <v>1.6680533488270477E-2</v>
      </c>
      <c r="AI40" s="15">
        <f t="shared" si="24"/>
        <v>-1.8383148532127302E-2</v>
      </c>
      <c r="AJ40" s="15">
        <f t="shared" si="24"/>
        <v>1.7926418995712197</v>
      </c>
      <c r="AM40" s="318"/>
      <c r="AN40" s="15">
        <f>AN39-AO39</f>
        <v>1.1396570181699999</v>
      </c>
      <c r="AO40" s="15">
        <f t="shared" ref="AO40:AQ40" si="25">AO39-AP39</f>
        <v>5.4947499999999927E-3</v>
      </c>
      <c r="AP40" s="15">
        <f t="shared" si="25"/>
        <v>-6.0556099999999891E-3</v>
      </c>
      <c r="AQ40" s="15">
        <f t="shared" si="25"/>
        <v>0.59051582999999996</v>
      </c>
    </row>
    <row r="41" spans="2:43" ht="30" x14ac:dyDescent="0.25">
      <c r="AE41" s="134" t="s">
        <v>598</v>
      </c>
      <c r="AF41" s="193">
        <f>AF40/$AF39</f>
        <v>0.17701878745276114</v>
      </c>
      <c r="AG41" s="193">
        <f t="shared" ref="AG41:AJ41" si="26">AG40/$AF39</f>
        <v>0.5422697813825117</v>
      </c>
      <c r="AH41" s="193">
        <f t="shared" si="26"/>
        <v>2.6145031652032111E-3</v>
      </c>
      <c r="AI41" s="193">
        <f t="shared" si="26"/>
        <v>-2.8813706742320143E-3</v>
      </c>
      <c r="AJ41" s="193">
        <f t="shared" si="26"/>
        <v>0.28097829867375601</v>
      </c>
      <c r="AM41" s="186" t="s">
        <v>598</v>
      </c>
      <c r="AN41" s="193">
        <f>AN40/$AN$39</f>
        <v>0.65890906513420011</v>
      </c>
      <c r="AO41" s="193">
        <f t="shared" ref="AO41:AQ41" si="27">AO40/$AN$39</f>
        <v>3.1768685910957767E-3</v>
      </c>
      <c r="AP41" s="193">
        <f t="shared" si="27"/>
        <v>-3.5011378513900519E-3</v>
      </c>
      <c r="AQ41" s="193">
        <f t="shared" si="27"/>
        <v>0.34141520412609411</v>
      </c>
    </row>
    <row r="42" spans="2:43" ht="30.95" customHeight="1" x14ac:dyDescent="0.25">
      <c r="B42" s="167" t="s">
        <v>569</v>
      </c>
      <c r="C42" s="167" t="s">
        <v>365</v>
      </c>
      <c r="D42" s="167" t="s">
        <v>223</v>
      </c>
      <c r="E42" s="167" t="s">
        <v>493</v>
      </c>
      <c r="F42" s="167" t="s">
        <v>572</v>
      </c>
      <c r="H42" s="133" t="s">
        <v>569</v>
      </c>
      <c r="I42" s="133" t="s">
        <v>365</v>
      </c>
      <c r="J42" s="167" t="s">
        <v>493</v>
      </c>
      <c r="K42" s="167" t="s">
        <v>572</v>
      </c>
      <c r="AE42" s="318" t="str">
        <f>$B$26</f>
        <v>Respiratory inorganics</v>
      </c>
      <c r="AF42" s="15">
        <f>D7</f>
        <v>0.21970001699999997</v>
      </c>
      <c r="AG42" s="15">
        <f>AN42*Calculations!$C$47</f>
        <v>0.18043957623398779</v>
      </c>
      <c r="AH42" s="15">
        <f>AO42*Calculations!$C$47</f>
        <v>0.105301121341104</v>
      </c>
      <c r="AI42" s="15">
        <f>AP42*Calculations!$C$47</f>
        <v>0.10157100828439029</v>
      </c>
      <c r="AJ42" s="15">
        <f>AQ42*Calculations!$C$47</f>
        <v>0.10834889516270085</v>
      </c>
      <c r="AM42" s="318" t="str">
        <f>$B$26</f>
        <v>Respiratory inorganics</v>
      </c>
      <c r="AN42" s="15">
        <f>D26</f>
        <v>5.9438768083100002E-2</v>
      </c>
      <c r="AO42" s="15">
        <f>D45</f>
        <v>3.4687339999999997E-2</v>
      </c>
      <c r="AP42" s="15">
        <f>D64</f>
        <v>3.3458599999999998E-2</v>
      </c>
      <c r="AQ42" s="15">
        <f>D83</f>
        <v>3.5691310000000004E-2</v>
      </c>
    </row>
    <row r="43" spans="2:43" ht="18" x14ac:dyDescent="0.25">
      <c r="B43" s="134" t="s">
        <v>495</v>
      </c>
      <c r="C43" s="11" t="s">
        <v>564</v>
      </c>
      <c r="D43" s="15">
        <f>SUM(E43:F43)</f>
        <v>0.68310784000000002</v>
      </c>
      <c r="E43" s="189">
        <f>D62</f>
        <v>0.66854776999999999</v>
      </c>
      <c r="F43" s="189">
        <v>1.456007E-2</v>
      </c>
      <c r="H43" s="134" t="s">
        <v>495</v>
      </c>
      <c r="I43" s="11" t="s">
        <v>31</v>
      </c>
      <c r="J43" s="185">
        <f>E43/$D43</f>
        <v>0.97868554692623633</v>
      </c>
      <c r="K43" s="185">
        <f>F43/$D43</f>
        <v>2.1314453073763579E-2</v>
      </c>
      <c r="AE43" s="318"/>
      <c r="AF43" s="15">
        <f>AF42-AG42</f>
        <v>3.9260440766012178E-2</v>
      </c>
      <c r="AG43" s="15">
        <f>AG42-AH42</f>
        <v>7.5138454892883788E-2</v>
      </c>
      <c r="AH43" s="15">
        <f t="shared" ref="AH43:AJ43" si="28">AH42-AI42</f>
        <v>3.7301130567137103E-3</v>
      </c>
      <c r="AI43" s="15">
        <f t="shared" si="28"/>
        <v>-6.77788687831056E-3</v>
      </c>
      <c r="AJ43" s="15">
        <f t="shared" si="28"/>
        <v>0.10834889516270085</v>
      </c>
      <c r="AM43" s="318"/>
      <c r="AN43" s="15">
        <f>AN42-AO42</f>
        <v>2.4751428083100005E-2</v>
      </c>
      <c r="AO43" s="15">
        <f t="shared" ref="AO43:AQ43" si="29">AO42-AP42</f>
        <v>1.228739999999999E-3</v>
      </c>
      <c r="AP43" s="15">
        <f t="shared" si="29"/>
        <v>-2.2327100000000058E-3</v>
      </c>
      <c r="AQ43" s="15">
        <f t="shared" si="29"/>
        <v>3.5691310000000004E-2</v>
      </c>
    </row>
    <row r="44" spans="2:43" ht="30" x14ac:dyDescent="0.25">
      <c r="B44" s="134" t="s">
        <v>496</v>
      </c>
      <c r="C44" s="11" t="s">
        <v>564</v>
      </c>
      <c r="D44" s="15">
        <f t="shared" ref="D44:D57" si="30">SUM(E44:F44)</f>
        <v>0.58995496999999997</v>
      </c>
      <c r="E44" s="189">
        <f t="shared" ref="E44:E57" si="31">D63</f>
        <v>0.58446021999999997</v>
      </c>
      <c r="F44" s="189">
        <v>5.4947499999999996E-3</v>
      </c>
      <c r="H44" s="134" t="s">
        <v>496</v>
      </c>
      <c r="I44" s="11" t="s">
        <v>31</v>
      </c>
      <c r="J44" s="185">
        <f t="shared" ref="J44:K57" si="32">E44/$D44</f>
        <v>0.99068615355507561</v>
      </c>
      <c r="K44" s="185">
        <f t="shared" si="32"/>
        <v>9.3138464449244313E-3</v>
      </c>
      <c r="AE44" s="134" t="s">
        <v>598</v>
      </c>
      <c r="AF44" s="193">
        <f>AF43/$AF42</f>
        <v>0.17870021724218701</v>
      </c>
      <c r="AG44" s="193">
        <f t="shared" ref="AG44:AJ44" si="33">AG43/$AF42</f>
        <v>0.34200477505144572</v>
      </c>
      <c r="AH44" s="193">
        <f t="shared" si="33"/>
        <v>1.697821014148447E-2</v>
      </c>
      <c r="AI44" s="193">
        <f t="shared" si="33"/>
        <v>-3.0850643394854906E-2</v>
      </c>
      <c r="AJ44" s="193">
        <f t="shared" si="33"/>
        <v>0.49316744095973769</v>
      </c>
      <c r="AM44" s="186" t="s">
        <v>598</v>
      </c>
      <c r="AN44" s="193">
        <f>AN43/$AN$42</f>
        <v>0.41641892793766505</v>
      </c>
      <c r="AO44" s="193">
        <f t="shared" ref="AO44:AQ44" si="34">AO43/$AN$42</f>
        <v>2.0672366531589707E-2</v>
      </c>
      <c r="AP44" s="193">
        <f t="shared" si="34"/>
        <v>-3.7563194393236819E-2</v>
      </c>
      <c r="AQ44" s="193">
        <f t="shared" si="34"/>
        <v>0.60047189992398209</v>
      </c>
    </row>
    <row r="45" spans="2:43" x14ac:dyDescent="0.25">
      <c r="B45" s="134" t="s">
        <v>497</v>
      </c>
      <c r="C45" s="11" t="s">
        <v>512</v>
      </c>
      <c r="D45" s="15">
        <f t="shared" si="30"/>
        <v>3.4687339999999997E-2</v>
      </c>
      <c r="E45" s="189">
        <f t="shared" si="31"/>
        <v>3.3458599999999998E-2</v>
      </c>
      <c r="F45" s="189">
        <v>1.2287400000000001E-3</v>
      </c>
      <c r="H45" s="134" t="s">
        <v>497</v>
      </c>
      <c r="I45" s="11" t="s">
        <v>31</v>
      </c>
      <c r="J45" s="185">
        <f t="shared" si="32"/>
        <v>0.96457670147091135</v>
      </c>
      <c r="K45" s="185">
        <f t="shared" si="32"/>
        <v>3.5423298529088716E-2</v>
      </c>
      <c r="AE45" s="318" t="str">
        <f>$B$27</f>
        <v>Ionizing radiation</v>
      </c>
      <c r="AF45" s="15">
        <f>D8</f>
        <v>4301.0115999999998</v>
      </c>
      <c r="AG45" s="15">
        <f>AN45*Calculations!$C$47</f>
        <v>3767.034902716377</v>
      </c>
      <c r="AH45" s="15">
        <f>AO45*Calculations!$C$47</f>
        <v>3194.0619329903129</v>
      </c>
      <c r="AI45" s="15">
        <f>AP45*Calculations!$C$47</f>
        <v>3060.8534951481238</v>
      </c>
      <c r="AJ45" s="15">
        <f>AQ45*Calculations!$C$47</f>
        <v>2977.9581472468312</v>
      </c>
      <c r="AM45" s="318" t="str">
        <f>$B$27</f>
        <v>Ionizing radiation</v>
      </c>
      <c r="AN45" s="15">
        <f>D27</f>
        <v>1240.9024595199996</v>
      </c>
      <c r="AO45" s="15">
        <f>D46</f>
        <v>1052.1589023899999</v>
      </c>
      <c r="AP45" s="15">
        <f>D65</f>
        <v>1008.2785873899999</v>
      </c>
      <c r="AQ45" s="15">
        <f>D84</f>
        <v>980.97195398999997</v>
      </c>
    </row>
    <row r="46" spans="2:43" x14ac:dyDescent="0.25">
      <c r="B46" s="134" t="s">
        <v>561</v>
      </c>
      <c r="C46" s="11" t="s">
        <v>513</v>
      </c>
      <c r="D46" s="15">
        <f t="shared" si="30"/>
        <v>1052.1589023899999</v>
      </c>
      <c r="E46" s="189">
        <f t="shared" si="31"/>
        <v>1008.2785873899999</v>
      </c>
      <c r="F46" s="189">
        <v>43.880315000000003</v>
      </c>
      <c r="H46" s="134" t="s">
        <v>561</v>
      </c>
      <c r="I46" s="11" t="s">
        <v>31</v>
      </c>
      <c r="J46" s="185">
        <f t="shared" si="32"/>
        <v>0.95829497341102665</v>
      </c>
      <c r="K46" s="185">
        <f t="shared" si="32"/>
        <v>4.170502658897339E-2</v>
      </c>
      <c r="AE46" s="318"/>
      <c r="AF46" s="15">
        <f>AF45-AG45</f>
        <v>533.9766972836228</v>
      </c>
      <c r="AG46" s="15">
        <f>AG45-AH45</f>
        <v>572.97296972606409</v>
      </c>
      <c r="AH46" s="15">
        <f t="shared" ref="AH46:AJ46" si="35">AH45-AI45</f>
        <v>133.20843784218914</v>
      </c>
      <c r="AI46" s="15">
        <f t="shared" si="35"/>
        <v>82.895347901292553</v>
      </c>
      <c r="AJ46" s="15">
        <f t="shared" si="35"/>
        <v>2977.9581472468312</v>
      </c>
      <c r="AM46" s="318"/>
      <c r="AN46" s="15">
        <f>AN45-AO45</f>
        <v>188.74355712999977</v>
      </c>
      <c r="AO46" s="15">
        <f t="shared" ref="AO46:AQ46" si="36">AO45-AP45</f>
        <v>43.880314999999996</v>
      </c>
      <c r="AP46" s="15">
        <f t="shared" si="36"/>
        <v>27.306633399999896</v>
      </c>
      <c r="AQ46" s="15">
        <f t="shared" si="36"/>
        <v>980.97195398999997</v>
      </c>
    </row>
    <row r="47" spans="2:43" ht="30" x14ac:dyDescent="0.25">
      <c r="B47" s="134" t="s">
        <v>498</v>
      </c>
      <c r="C47" s="11" t="s">
        <v>514</v>
      </c>
      <c r="D47" s="15">
        <f t="shared" si="30"/>
        <v>4.8813119999999997E-6</v>
      </c>
      <c r="E47" s="189">
        <f t="shared" si="31"/>
        <v>4.7511619999999997E-6</v>
      </c>
      <c r="F47" s="189">
        <v>1.3015000000000001E-7</v>
      </c>
      <c r="H47" s="134" t="s">
        <v>498</v>
      </c>
      <c r="I47" s="11" t="s">
        <v>31</v>
      </c>
      <c r="J47" s="185">
        <f t="shared" si="32"/>
        <v>0.9733370864226667</v>
      </c>
      <c r="K47" s="185">
        <f t="shared" si="32"/>
        <v>2.666291357733331E-2</v>
      </c>
      <c r="AE47" s="134" t="s">
        <v>598</v>
      </c>
      <c r="AF47" s="193">
        <f>AF46/$AF45</f>
        <v>0.12415141993191156</v>
      </c>
      <c r="AG47" s="193">
        <f t="shared" ref="AG47:AJ47" si="37">AG46/$AF45</f>
        <v>0.13321818749013933</v>
      </c>
      <c r="AH47" s="193">
        <f t="shared" si="37"/>
        <v>3.0971420268243208E-2</v>
      </c>
      <c r="AI47" s="193">
        <f t="shared" si="37"/>
        <v>1.927345369198552E-2</v>
      </c>
      <c r="AJ47" s="193">
        <f t="shared" si="37"/>
        <v>0.69238551861772035</v>
      </c>
      <c r="AM47" s="186" t="s">
        <v>598</v>
      </c>
      <c r="AN47" s="193">
        <f>AN46/$AN45</f>
        <v>0.15210184787852601</v>
      </c>
      <c r="AO47" s="193">
        <f t="shared" ref="AO47:AQ47" si="38">AO46/$AN45</f>
        <v>3.5361614978967469E-2</v>
      </c>
      <c r="AP47" s="193">
        <f t="shared" si="38"/>
        <v>2.2005463193748947E-2</v>
      </c>
      <c r="AQ47" s="193">
        <f t="shared" si="38"/>
        <v>0.79053107394875755</v>
      </c>
    </row>
    <row r="48" spans="2:43" ht="18" x14ac:dyDescent="0.25">
      <c r="B48" s="134" t="s">
        <v>499</v>
      </c>
      <c r="C48" s="11" t="s">
        <v>565</v>
      </c>
      <c r="D48" s="15">
        <f t="shared" si="30"/>
        <v>9.3030299999999986E-3</v>
      </c>
      <c r="E48" s="189">
        <f t="shared" si="31"/>
        <v>9.1908499999999987E-3</v>
      </c>
      <c r="F48" s="189">
        <v>1.1218E-4</v>
      </c>
      <c r="H48" s="134" t="s">
        <v>499</v>
      </c>
      <c r="I48" s="11" t="s">
        <v>31</v>
      </c>
      <c r="J48" s="185">
        <f t="shared" si="32"/>
        <v>0.98794156312513237</v>
      </c>
      <c r="K48" s="185">
        <f t="shared" si="32"/>
        <v>1.2058436874867653E-2</v>
      </c>
      <c r="AE48" s="318" t="str">
        <f>$B$27</f>
        <v>Ionizing radiation</v>
      </c>
      <c r="AF48" s="15">
        <f>D9</f>
        <v>3.1300000000042001E-5</v>
      </c>
      <c r="AG48" s="15">
        <f>AN48*Calculations!$C$47</f>
        <v>1.9623101024519962E-5</v>
      </c>
      <c r="AH48" s="15">
        <f>AO48*Calculations!$C$47</f>
        <v>1.4818306252822704E-5</v>
      </c>
      <c r="AI48" s="15">
        <f>AP48*Calculations!$C$47</f>
        <v>1.4423207033841235E-5</v>
      </c>
      <c r="AJ48" s="15">
        <f>AQ48*Calculations!$C$47</f>
        <v>1.423973406728878E-5</v>
      </c>
      <c r="AM48" s="318" t="str">
        <f>$B$28</f>
        <v>Ozone layer depletion</v>
      </c>
      <c r="AN48" s="15">
        <f>D28</f>
        <v>6.464063900012556E-6</v>
      </c>
      <c r="AO48" s="15">
        <f>D47</f>
        <v>4.8813119999999997E-6</v>
      </c>
      <c r="AP48" s="15">
        <f>D66</f>
        <v>4.7511619999999997E-6</v>
      </c>
      <c r="AQ48" s="15">
        <f>D85</f>
        <v>4.6907239999999996E-6</v>
      </c>
    </row>
    <row r="49" spans="2:43" x14ac:dyDescent="0.25">
      <c r="B49" s="134" t="s">
        <v>500</v>
      </c>
      <c r="C49" s="11" t="s">
        <v>515</v>
      </c>
      <c r="D49" s="15">
        <f t="shared" si="30"/>
        <v>2520.3907332999997</v>
      </c>
      <c r="E49" s="189">
        <f t="shared" si="31"/>
        <v>2469.4142210999998</v>
      </c>
      <c r="F49" s="189">
        <v>50.976512200000002</v>
      </c>
      <c r="H49" s="134" t="s">
        <v>500</v>
      </c>
      <c r="I49" s="11" t="s">
        <v>31</v>
      </c>
      <c r="J49" s="185">
        <f t="shared" si="32"/>
        <v>0.97977436136132146</v>
      </c>
      <c r="K49" s="185">
        <f t="shared" si="32"/>
        <v>2.0225638638678614E-2</v>
      </c>
      <c r="AE49" s="318"/>
      <c r="AF49" s="15">
        <f>AF48-AG48</f>
        <v>1.1676898975522039E-5</v>
      </c>
      <c r="AG49" s="15">
        <f>AG48-AH48</f>
        <v>4.804794771697258E-6</v>
      </c>
      <c r="AH49" s="15">
        <f t="shared" ref="AH49:AJ49" si="39">AH48-AI48</f>
        <v>3.950992189814691E-7</v>
      </c>
      <c r="AI49" s="15">
        <f t="shared" si="39"/>
        <v>1.8347296655245479E-7</v>
      </c>
      <c r="AJ49" s="15">
        <f t="shared" si="39"/>
        <v>1.423973406728878E-5</v>
      </c>
      <c r="AM49" s="318"/>
      <c r="AN49" s="15">
        <f>AN48-AO48</f>
        <v>1.5827519000125563E-6</v>
      </c>
      <c r="AO49" s="15">
        <f t="shared" ref="AO49:AQ49" si="40">AO48-AP48</f>
        <v>1.3014999999999993E-7</v>
      </c>
      <c r="AP49" s="15">
        <f t="shared" si="40"/>
        <v>6.0438000000000081E-8</v>
      </c>
      <c r="AQ49" s="15">
        <f t="shared" si="40"/>
        <v>4.6907239999999996E-6</v>
      </c>
    </row>
    <row r="50" spans="2:43" ht="30" x14ac:dyDescent="0.25">
      <c r="B50" s="134" t="s">
        <v>562</v>
      </c>
      <c r="C50" s="11" t="s">
        <v>516</v>
      </c>
      <c r="D50" s="15">
        <f t="shared" si="30"/>
        <v>1081.1557966999999</v>
      </c>
      <c r="E50" s="189">
        <f t="shared" si="31"/>
        <v>1068.9715486999999</v>
      </c>
      <c r="F50" s="189">
        <v>12.184248</v>
      </c>
      <c r="H50" s="134" t="s">
        <v>562</v>
      </c>
      <c r="I50" s="11" t="s">
        <v>31</v>
      </c>
      <c r="J50" s="185">
        <f t="shared" si="32"/>
        <v>0.98873034946749594</v>
      </c>
      <c r="K50" s="185">
        <f t="shared" si="32"/>
        <v>1.1269650532504056E-2</v>
      </c>
      <c r="AE50" s="134" t="s">
        <v>598</v>
      </c>
      <c r="AF50" s="193">
        <f>AF49/$AF48</f>
        <v>0.37306386503215239</v>
      </c>
      <c r="AG50" s="193">
        <f t="shared" ref="AG50:AJ50" si="41">AG49/$AF48</f>
        <v>0.15350782018181502</v>
      </c>
      <c r="AH50" s="193">
        <f t="shared" si="41"/>
        <v>1.2622978242202522E-2</v>
      </c>
      <c r="AI50" s="193">
        <f t="shared" si="41"/>
        <v>5.8617561198788691E-3</v>
      </c>
      <c r="AJ50" s="193">
        <f t="shared" si="41"/>
        <v>0.45494358042395117</v>
      </c>
      <c r="AM50" s="186" t="s">
        <v>598</v>
      </c>
      <c r="AN50" s="193">
        <f>AN49/$AN48</f>
        <v>0.24485399966567192</v>
      </c>
      <c r="AO50" s="193">
        <f t="shared" ref="AO50:AQ50" si="42">AO49/$AN48</f>
        <v>2.0134392545183091E-2</v>
      </c>
      <c r="AP50" s="193">
        <f t="shared" si="42"/>
        <v>9.3498456907090115E-3</v>
      </c>
      <c r="AQ50" s="193">
        <f t="shared" si="42"/>
        <v>0.72566176209843603</v>
      </c>
    </row>
    <row r="51" spans="2:43" ht="18" x14ac:dyDescent="0.25">
      <c r="B51" s="134" t="s">
        <v>501</v>
      </c>
      <c r="C51" s="11" t="s">
        <v>566</v>
      </c>
      <c r="D51" s="15">
        <f t="shared" si="30"/>
        <v>0.53387890999999998</v>
      </c>
      <c r="E51" s="189">
        <f t="shared" si="31"/>
        <v>0.51472256999999999</v>
      </c>
      <c r="F51" s="189">
        <v>1.9156340000000001E-2</v>
      </c>
      <c r="H51" s="134" t="s">
        <v>501</v>
      </c>
      <c r="I51" s="11" t="s">
        <v>31</v>
      </c>
      <c r="J51" s="185">
        <f t="shared" si="32"/>
        <v>0.96411856763549619</v>
      </c>
      <c r="K51" s="185">
        <f t="shared" si="32"/>
        <v>3.5881432364503779E-2</v>
      </c>
      <c r="AE51" s="318" t="str">
        <f>$B$29</f>
        <v>Respiratory organics</v>
      </c>
      <c r="AF51" s="15">
        <f>D10</f>
        <v>7.4400299000000003E-2</v>
      </c>
      <c r="AG51" s="15">
        <f>AN51*Calculations!$C$47</f>
        <v>4.5452193982291243E-2</v>
      </c>
      <c r="AH51" s="15">
        <f>AO51*Calculations!$C$47</f>
        <v>2.8241412886370956E-2</v>
      </c>
      <c r="AI51" s="15">
        <f>AP51*Calculations!$C$47</f>
        <v>2.790086559182358E-2</v>
      </c>
      <c r="AJ51" s="15">
        <f>AQ51*Calculations!$C$47</f>
        <v>2.8033010570711503E-2</v>
      </c>
      <c r="AM51" s="318" t="str">
        <f>$B$29</f>
        <v>Respiratory organics</v>
      </c>
      <c r="AN51" s="15">
        <f>D29</f>
        <v>1.4972449355999997E-2</v>
      </c>
      <c r="AO51" s="15">
        <f>D48</f>
        <v>9.3030299999999986E-3</v>
      </c>
      <c r="AP51" s="15">
        <f>D67</f>
        <v>9.1908499999999987E-3</v>
      </c>
      <c r="AQ51" s="15">
        <f>D86</f>
        <v>9.2343799999999986E-3</v>
      </c>
    </row>
    <row r="52" spans="2:43" x14ac:dyDescent="0.25">
      <c r="B52" s="134" t="s">
        <v>502</v>
      </c>
      <c r="C52" s="11" t="s">
        <v>563</v>
      </c>
      <c r="D52" s="15">
        <f t="shared" si="30"/>
        <v>0.83080456999999996</v>
      </c>
      <c r="E52" s="189">
        <f t="shared" si="31"/>
        <v>0.81743558999999999</v>
      </c>
      <c r="F52" s="189">
        <v>1.3368980000000001E-2</v>
      </c>
      <c r="H52" s="134" t="s">
        <v>502</v>
      </c>
      <c r="I52" s="11" t="s">
        <v>31</v>
      </c>
      <c r="J52" s="185">
        <f t="shared" si="32"/>
        <v>0.98390839376340944</v>
      </c>
      <c r="K52" s="185">
        <f t="shared" si="32"/>
        <v>1.6091606236590637E-2</v>
      </c>
      <c r="AE52" s="318"/>
      <c r="AF52" s="15">
        <f>AF51-AG51</f>
        <v>2.894810501770876E-2</v>
      </c>
      <c r="AG52" s="15">
        <f>AG51-AH51</f>
        <v>1.7210781095920287E-2</v>
      </c>
      <c r="AH52" s="15">
        <f t="shared" ref="AH52:AJ52" si="43">AH51-AI51</f>
        <v>3.4054729454737614E-4</v>
      </c>
      <c r="AI52" s="15">
        <f t="shared" si="43"/>
        <v>-1.3214497888792281E-4</v>
      </c>
      <c r="AJ52" s="15">
        <f t="shared" si="43"/>
        <v>2.8033010570711503E-2</v>
      </c>
      <c r="AM52" s="318"/>
      <c r="AN52" s="15">
        <f>AN51-AO51</f>
        <v>5.6694193559999988E-3</v>
      </c>
      <c r="AO52" s="15">
        <f t="shared" ref="AO52:AQ52" si="44">AO51-AP51</f>
        <v>1.1217999999999992E-4</v>
      </c>
      <c r="AP52" s="15">
        <f t="shared" si="44"/>
        <v>-4.3529999999999958E-5</v>
      </c>
      <c r="AQ52" s="15">
        <f t="shared" si="44"/>
        <v>9.2343799999999986E-3</v>
      </c>
    </row>
    <row r="53" spans="2:43" ht="30" x14ac:dyDescent="0.25">
      <c r="B53" s="134" t="s">
        <v>503</v>
      </c>
      <c r="C53" s="11" t="s">
        <v>566</v>
      </c>
      <c r="D53" s="15">
        <f t="shared" si="30"/>
        <v>215.15715998000002</v>
      </c>
      <c r="E53" s="189">
        <f t="shared" si="31"/>
        <v>215.15059218000002</v>
      </c>
      <c r="F53" s="189">
        <v>6.5678000000000004E-3</v>
      </c>
      <c r="H53" s="134" t="s">
        <v>503</v>
      </c>
      <c r="I53" s="11" t="s">
        <v>31</v>
      </c>
      <c r="J53" s="185">
        <f t="shared" si="32"/>
        <v>0.9999694744065194</v>
      </c>
      <c r="K53" s="185">
        <f t="shared" si="32"/>
        <v>3.0525593480646947E-5</v>
      </c>
      <c r="AE53" s="134" t="s">
        <v>598</v>
      </c>
      <c r="AF53" s="193">
        <f>AF52/$AF51</f>
        <v>0.38908586936873413</v>
      </c>
      <c r="AG53" s="193">
        <f t="shared" ref="AG53:AJ53" si="45">AG52/$AF51</f>
        <v>0.23132677324213827</v>
      </c>
      <c r="AH53" s="193">
        <f t="shared" si="45"/>
        <v>4.5772301875745972E-3</v>
      </c>
      <c r="AI53" s="193">
        <f t="shared" si="45"/>
        <v>-1.7761350513916996E-3</v>
      </c>
      <c r="AJ53" s="193">
        <f t="shared" si="45"/>
        <v>0.37678626225294476</v>
      </c>
      <c r="AM53" s="186" t="s">
        <v>598</v>
      </c>
      <c r="AN53" s="193">
        <f>AN52/$AN51</f>
        <v>0.37865677292994543</v>
      </c>
      <c r="AO53" s="193">
        <f t="shared" ref="AO53:AQ53" si="46">AO52/$AN51</f>
        <v>7.4924280812508053E-3</v>
      </c>
      <c r="AP53" s="193">
        <f t="shared" si="46"/>
        <v>-2.9073399391767469E-3</v>
      </c>
      <c r="AQ53" s="193">
        <f t="shared" si="46"/>
        <v>0.61675813892798048</v>
      </c>
    </row>
    <row r="54" spans="2:43" ht="18" x14ac:dyDescent="0.25">
      <c r="B54" s="134" t="s">
        <v>504</v>
      </c>
      <c r="C54" s="11" t="s">
        <v>567</v>
      </c>
      <c r="D54" s="15">
        <f t="shared" si="30"/>
        <v>8.901868999999998E-3</v>
      </c>
      <c r="E54" s="189">
        <f t="shared" si="31"/>
        <v>8.7779789999999983E-3</v>
      </c>
      <c r="F54" s="189">
        <v>1.2389000000000001E-4</v>
      </c>
      <c r="H54" s="134" t="s">
        <v>504</v>
      </c>
      <c r="I54" s="11" t="s">
        <v>31</v>
      </c>
      <c r="J54" s="185">
        <f t="shared" si="32"/>
        <v>0.98608269791433689</v>
      </c>
      <c r="K54" s="185">
        <f t="shared" si="32"/>
        <v>1.3917302085663137E-2</v>
      </c>
      <c r="AE54" s="318" t="str">
        <f>$B$30</f>
        <v>Aquatic ecotoxicity</v>
      </c>
      <c r="AF54" s="15">
        <f>D11</f>
        <v>17180.539000000001</v>
      </c>
      <c r="AG54" s="15">
        <f>AN54*Calculations!$C$47</f>
        <v>11615.815873100602</v>
      </c>
      <c r="AH54" s="15">
        <f>AO54*Calculations!$C$47</f>
        <v>7651.2056108717879</v>
      </c>
      <c r="AI54" s="15">
        <f>AP54*Calculations!$C$47</f>
        <v>7496.4550910360649</v>
      </c>
      <c r="AJ54" s="15">
        <f>AQ54*Calculations!$C$47</f>
        <v>7496.4557267162536</v>
      </c>
      <c r="AM54" s="318" t="str">
        <f>$B$30</f>
        <v>Aquatic ecotoxicity</v>
      </c>
      <c r="AN54" s="15">
        <f>D30</f>
        <v>3826.3766751585199</v>
      </c>
      <c r="AO54" s="15">
        <f>D49</f>
        <v>2520.3907332999997</v>
      </c>
      <c r="AP54" s="15">
        <f>D68</f>
        <v>2469.4142210999998</v>
      </c>
      <c r="AQ54" s="15">
        <f>D87</f>
        <v>2469.4144305</v>
      </c>
    </row>
    <row r="55" spans="2:43" ht="18" x14ac:dyDescent="0.25">
      <c r="B55" s="176" t="s">
        <v>505</v>
      </c>
      <c r="C55" s="165" t="s">
        <v>578</v>
      </c>
      <c r="D55" s="195">
        <f t="shared" si="30"/>
        <v>39.2628646</v>
      </c>
      <c r="E55" s="196">
        <f t="shared" si="31"/>
        <v>38.303979669999997</v>
      </c>
      <c r="F55" s="196">
        <v>0.95888492999999997</v>
      </c>
      <c r="H55" s="134" t="s">
        <v>505</v>
      </c>
      <c r="I55" s="11" t="s">
        <v>31</v>
      </c>
      <c r="J55" s="185">
        <f t="shared" si="32"/>
        <v>0.97557781532832921</v>
      </c>
      <c r="K55" s="185">
        <f t="shared" si="32"/>
        <v>2.4422184671670646E-2</v>
      </c>
      <c r="AE55" s="318"/>
      <c r="AF55" s="15">
        <f>AF54-AG54</f>
        <v>5564.7231268993983</v>
      </c>
      <c r="AG55" s="15">
        <f>AG54-AH54</f>
        <v>3964.6102622288145</v>
      </c>
      <c r="AH55" s="15">
        <f t="shared" ref="AH55:AJ55" si="47">AH54-AI54</f>
        <v>154.75051983572303</v>
      </c>
      <c r="AI55" s="15">
        <f t="shared" si="47"/>
        <v>-6.3568018867954379E-4</v>
      </c>
      <c r="AJ55" s="15">
        <f t="shared" si="47"/>
        <v>7496.4557267162536</v>
      </c>
      <c r="AM55" s="318"/>
      <c r="AN55" s="15">
        <f>AN54-AO54</f>
        <v>1305.9859418585202</v>
      </c>
      <c r="AO55" s="15">
        <f t="shared" ref="AO55:AQ55" si="48">AO54-AP54</f>
        <v>50.976512199999888</v>
      </c>
      <c r="AP55" s="15">
        <f t="shared" si="48"/>
        <v>-2.0940000013069948E-4</v>
      </c>
      <c r="AQ55" s="15">
        <f t="shared" si="48"/>
        <v>2469.4144305</v>
      </c>
    </row>
    <row r="56" spans="2:43" ht="30" x14ac:dyDescent="0.25">
      <c r="B56" s="134" t="s">
        <v>506</v>
      </c>
      <c r="C56" s="11" t="s">
        <v>517</v>
      </c>
      <c r="D56" s="15">
        <f t="shared" si="30"/>
        <v>672.83788778000007</v>
      </c>
      <c r="E56" s="189">
        <f t="shared" si="31"/>
        <v>653.31039438000005</v>
      </c>
      <c r="F56" s="189">
        <v>19.527493400000001</v>
      </c>
      <c r="H56" s="134" t="s">
        <v>506</v>
      </c>
      <c r="I56" s="11" t="s">
        <v>31</v>
      </c>
      <c r="J56" s="185">
        <f t="shared" si="32"/>
        <v>0.97097741706485918</v>
      </c>
      <c r="K56" s="185">
        <f t="shared" si="32"/>
        <v>2.9022582935140786E-2</v>
      </c>
      <c r="AE56" s="134" t="s">
        <v>598</v>
      </c>
      <c r="AF56" s="193">
        <f>AF55/$AF54</f>
        <v>0.32389688861911714</v>
      </c>
      <c r="AG56" s="193">
        <f t="shared" ref="AG56:AJ56" si="49">AG55/$AF54</f>
        <v>0.23076169276347</v>
      </c>
      <c r="AH56" s="193">
        <f t="shared" si="49"/>
        <v>9.0073146037922911E-3</v>
      </c>
      <c r="AI56" s="193">
        <f t="shared" si="49"/>
        <v>-3.7000014299874047E-8</v>
      </c>
      <c r="AJ56" s="193">
        <f t="shared" si="49"/>
        <v>0.43633414101363488</v>
      </c>
      <c r="AM56" s="186" t="s">
        <v>598</v>
      </c>
      <c r="AN56" s="193">
        <f>AN55/$AN54</f>
        <v>0.3413113900513769</v>
      </c>
      <c r="AO56" s="193">
        <f t="shared" ref="AO56:AQ56" si="50">AO55/$AN54</f>
        <v>1.3322397800234349E-2</v>
      </c>
      <c r="AP56" s="193">
        <f t="shared" si="50"/>
        <v>-5.4725401576420705E-8</v>
      </c>
      <c r="AQ56" s="193">
        <f t="shared" si="50"/>
        <v>0.6453662668737904</v>
      </c>
    </row>
    <row r="57" spans="2:43" x14ac:dyDescent="0.25">
      <c r="B57" s="134" t="s">
        <v>507</v>
      </c>
      <c r="C57" s="11" t="s">
        <v>518</v>
      </c>
      <c r="D57" s="15">
        <f t="shared" si="30"/>
        <v>2.1867869899999999</v>
      </c>
      <c r="E57" s="189">
        <f t="shared" si="31"/>
        <v>2.1758929599999997</v>
      </c>
      <c r="F57" s="189">
        <v>1.0894030000000001E-2</v>
      </c>
      <c r="H57" s="134" t="s">
        <v>507</v>
      </c>
      <c r="I57" s="11" t="s">
        <v>31</v>
      </c>
      <c r="J57" s="185">
        <f t="shared" si="32"/>
        <v>0.99501824821081442</v>
      </c>
      <c r="K57" s="185">
        <f t="shared" si="32"/>
        <v>4.9817517891854665E-3</v>
      </c>
      <c r="AE57" s="318" t="str">
        <f>$B$31</f>
        <v>Terrestrial ecotoxicity</v>
      </c>
      <c r="AF57" s="15">
        <f>D12</f>
        <v>8660.0001140000004</v>
      </c>
      <c r="AG57" s="15">
        <f>AN57*Calculations!$C$47</f>
        <v>4532.1774679609925</v>
      </c>
      <c r="AH57" s="15">
        <f>AO57*Calculations!$C$47</f>
        <v>3282.0884431306831</v>
      </c>
      <c r="AI57" s="15">
        <f>AP57*Calculations!$C$47</f>
        <v>3245.1004533598302</v>
      </c>
      <c r="AJ57" s="15">
        <f>AQ57*Calculations!$C$47</f>
        <v>3246.2222382481254</v>
      </c>
      <c r="AM57" s="318" t="str">
        <f>$B$31</f>
        <v>Terrestrial ecotoxicity</v>
      </c>
      <c r="AN57" s="15">
        <f>D31</f>
        <v>1492.9487812598998</v>
      </c>
      <c r="AO57" s="15">
        <f>D50</f>
        <v>1081.1557966999999</v>
      </c>
      <c r="AP57" s="15">
        <f>D69</f>
        <v>1068.9715486999999</v>
      </c>
      <c r="AQ57" s="15">
        <f>D88</f>
        <v>1069.3410769</v>
      </c>
    </row>
    <row r="58" spans="2:43" x14ac:dyDescent="0.25">
      <c r="AE58" s="318"/>
      <c r="AF58" s="15">
        <f>AF57-AG57</f>
        <v>4127.8226460390079</v>
      </c>
      <c r="AG58" s="15">
        <f>AG57-AH57</f>
        <v>1250.0890248303094</v>
      </c>
      <c r="AH58" s="15">
        <f t="shared" ref="AH58:AJ58" si="51">AH57-AI57</f>
        <v>36.987989770852892</v>
      </c>
      <c r="AI58" s="15">
        <f t="shared" si="51"/>
        <v>-1.1217848882952239</v>
      </c>
      <c r="AJ58" s="15">
        <f t="shared" si="51"/>
        <v>3246.2222382481254</v>
      </c>
      <c r="AM58" s="318"/>
      <c r="AN58" s="15">
        <f>AN57-AO57</f>
        <v>411.79298455989988</v>
      </c>
      <c r="AO58" s="15">
        <f t="shared" ref="AO58:AQ58" si="52">AO57-AP57</f>
        <v>12.184248000000025</v>
      </c>
      <c r="AP58" s="15">
        <f t="shared" si="52"/>
        <v>-0.36952820000010433</v>
      </c>
      <c r="AQ58" s="15">
        <f t="shared" si="52"/>
        <v>1069.3410769</v>
      </c>
    </row>
    <row r="59" spans="2:43" ht="30" x14ac:dyDescent="0.25">
      <c r="B59" s="319" t="s">
        <v>670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AE59" s="134" t="s">
        <v>598</v>
      </c>
      <c r="AF59" s="193">
        <f>AF58/$AF57</f>
        <v>0.47665387894924544</v>
      </c>
      <c r="AG59" s="193">
        <f t="shared" ref="AG59:AJ59" si="53">AG58/$AF57</f>
        <v>0.14435207948893444</v>
      </c>
      <c r="AH59" s="193">
        <f t="shared" si="53"/>
        <v>4.2711304023030049E-3</v>
      </c>
      <c r="AI59" s="193">
        <f t="shared" si="53"/>
        <v>-1.2953635952980125E-4</v>
      </c>
      <c r="AJ59" s="193">
        <f t="shared" si="53"/>
        <v>0.37485244751904689</v>
      </c>
      <c r="AM59" s="186" t="s">
        <v>598</v>
      </c>
      <c r="AN59" s="193">
        <f>AN58/$AN57</f>
        <v>0.27582525919769846</v>
      </c>
      <c r="AO59" s="193">
        <f t="shared" ref="AO59:AQ59" si="54">AO58/$AN57</f>
        <v>8.1611962533086613E-3</v>
      </c>
      <c r="AP59" s="193">
        <f t="shared" si="54"/>
        <v>-2.4751565803098714E-4</v>
      </c>
      <c r="AQ59" s="193">
        <f t="shared" si="54"/>
        <v>0.71626106020702385</v>
      </c>
    </row>
    <row r="60" spans="2:43" x14ac:dyDescent="0.25">
      <c r="AE60" s="318" t="str">
        <f>$B$32</f>
        <v>Terrestrial acid/nutri</v>
      </c>
      <c r="AF60" s="15">
        <f>D13</f>
        <v>3.3470007329999998</v>
      </c>
      <c r="AG60" s="15">
        <f>AN60*Calculations!$C$47</f>
        <v>2.7930533680819982</v>
      </c>
      <c r="AH60" s="15">
        <f>AO60*Calculations!$C$47</f>
        <v>1.6207079552184269</v>
      </c>
      <c r="AI60" s="15">
        <f>AP60*Calculations!$C$47</f>
        <v>1.5625546323406438</v>
      </c>
      <c r="AJ60" s="15">
        <f>AQ60*Calculations!$C$47</f>
        <v>1.572928756935237</v>
      </c>
      <c r="AM60" s="318" t="str">
        <f>$B$32</f>
        <v>Terrestrial acid/nutri</v>
      </c>
      <c r="AN60" s="15">
        <f>D32</f>
        <v>0.92006229926999994</v>
      </c>
      <c r="AO60" s="15">
        <f>D51</f>
        <v>0.53387890999999998</v>
      </c>
      <c r="AP60" s="15">
        <f>D70</f>
        <v>0.51472256999999999</v>
      </c>
      <c r="AQ60" s="15">
        <f>D89</f>
        <v>0.51813991999999998</v>
      </c>
    </row>
    <row r="61" spans="2:43" ht="30.95" customHeight="1" x14ac:dyDescent="0.25">
      <c r="B61" s="167" t="s">
        <v>569</v>
      </c>
      <c r="C61" s="167" t="s">
        <v>365</v>
      </c>
      <c r="D61" s="167" t="s">
        <v>596</v>
      </c>
      <c r="E61" s="167" t="s">
        <v>574</v>
      </c>
      <c r="F61" s="167" t="s">
        <v>572</v>
      </c>
      <c r="G61" s="167" t="s">
        <v>363</v>
      </c>
      <c r="I61" s="133" t="s">
        <v>569</v>
      </c>
      <c r="J61" s="133" t="s">
        <v>365</v>
      </c>
      <c r="K61" s="167" t="s">
        <v>574</v>
      </c>
      <c r="L61" s="167" t="s">
        <v>572</v>
      </c>
      <c r="M61" s="167" t="s">
        <v>363</v>
      </c>
      <c r="AE61" s="318"/>
      <c r="AF61" s="15">
        <f>AF60-AG60</f>
        <v>0.55394736491800156</v>
      </c>
      <c r="AG61" s="15">
        <f>AG60-AH60</f>
        <v>1.1723454128635713</v>
      </c>
      <c r="AH61" s="15">
        <f t="shared" ref="AH61:AJ61" si="55">AH60-AI60</f>
        <v>5.8153322877783076E-2</v>
      </c>
      <c r="AI61" s="15">
        <f t="shared" si="55"/>
        <v>-1.0374124594593193E-2</v>
      </c>
      <c r="AJ61" s="15">
        <f t="shared" si="55"/>
        <v>1.572928756935237</v>
      </c>
      <c r="AM61" s="318"/>
      <c r="AN61" s="15">
        <f>AN60-AO60</f>
        <v>0.38618338926999995</v>
      </c>
      <c r="AO61" s="15">
        <f t="shared" ref="AO61:AQ61" si="56">AO60-AP60</f>
        <v>1.9156339999999994E-2</v>
      </c>
      <c r="AP61" s="15">
        <f t="shared" si="56"/>
        <v>-3.4173499999999857E-3</v>
      </c>
      <c r="AQ61" s="15">
        <f t="shared" si="56"/>
        <v>0.51813991999999998</v>
      </c>
    </row>
    <row r="62" spans="2:43" ht="30" x14ac:dyDescent="0.25">
      <c r="B62" s="134" t="s">
        <v>495</v>
      </c>
      <c r="C62" s="11" t="s">
        <v>564</v>
      </c>
      <c r="D62" s="15">
        <f>SUM(E62:G62)</f>
        <v>0.66854776999999999</v>
      </c>
      <c r="E62" s="189">
        <f>D81</f>
        <v>0.68279590000000001</v>
      </c>
      <c r="F62" s="189">
        <v>1.3882719999999999E-2</v>
      </c>
      <c r="G62" s="189">
        <v>-2.8130849999999999E-2</v>
      </c>
      <c r="H62" s="190">
        <f>SUM(E62:F62)</f>
        <v>0.69667862000000003</v>
      </c>
      <c r="I62" s="134" t="s">
        <v>495</v>
      </c>
      <c r="J62" s="11" t="s">
        <v>31</v>
      </c>
      <c r="K62" s="185">
        <f>E62/$H62</f>
        <v>0.98007299262319836</v>
      </c>
      <c r="L62" s="185">
        <f t="shared" ref="L62:M76" si="57">F62/$H62</f>
        <v>1.9927007376801659E-2</v>
      </c>
      <c r="M62" s="185">
        <f>G62/$H62</f>
        <v>-4.0378517715959183E-2</v>
      </c>
      <c r="AE62" s="134" t="s">
        <v>598</v>
      </c>
      <c r="AF62" s="193">
        <f>AF61/$AF60</f>
        <v>0.16550560012022608</v>
      </c>
      <c r="AG62" s="193">
        <f t="shared" ref="AG62:AJ62" si="58">AG61/$AF60</f>
        <v>0.35026745028907391</v>
      </c>
      <c r="AH62" s="193">
        <f t="shared" si="58"/>
        <v>1.7374756540808646E-2</v>
      </c>
      <c r="AI62" s="193">
        <f t="shared" si="58"/>
        <v>-3.099528629411027E-3</v>
      </c>
      <c r="AJ62" s="193">
        <f t="shared" si="58"/>
        <v>0.46995172167930238</v>
      </c>
      <c r="AM62" s="186" t="s">
        <v>598</v>
      </c>
      <c r="AN62" s="193">
        <f>AN61/$AN60</f>
        <v>0.41973613045160896</v>
      </c>
      <c r="AO62" s="193">
        <f t="shared" ref="AO62:AQ62" si="59">AO61/$AN60</f>
        <v>2.0820698788765832E-2</v>
      </c>
      <c r="AP62" s="193">
        <f t="shared" si="59"/>
        <v>-3.7142593525584032E-3</v>
      </c>
      <c r="AQ62" s="193">
        <f t="shared" si="59"/>
        <v>0.56315743011218367</v>
      </c>
    </row>
    <row r="63" spans="2:43" ht="18" x14ac:dyDescent="0.25">
      <c r="B63" s="134" t="s">
        <v>496</v>
      </c>
      <c r="C63" s="11" t="s">
        <v>564</v>
      </c>
      <c r="D63" s="15">
        <f t="shared" ref="D63:D76" si="60">SUM(E63:G63)</f>
        <v>0.58446021999999997</v>
      </c>
      <c r="E63" s="189">
        <f t="shared" ref="E63:E76" si="61">D82</f>
        <v>0.59051582999999996</v>
      </c>
      <c r="F63" s="189">
        <v>5.2391299999999998E-3</v>
      </c>
      <c r="G63" s="189">
        <v>-1.1294739999999999E-2</v>
      </c>
      <c r="H63" s="190">
        <f t="shared" ref="H63:H76" si="62">SUM(E63:F63)</f>
        <v>0.59575495999999994</v>
      </c>
      <c r="I63" s="134" t="s">
        <v>496</v>
      </c>
      <c r="J63" s="11" t="s">
        <v>31</v>
      </c>
      <c r="K63" s="185">
        <f t="shared" ref="K63:K76" si="63">E63/$H63</f>
        <v>0.99120589780738044</v>
      </c>
      <c r="L63" s="185">
        <f t="shared" si="57"/>
        <v>8.7941021926195972E-3</v>
      </c>
      <c r="M63" s="185">
        <f t="shared" si="57"/>
        <v>-1.8958700738303549E-2</v>
      </c>
      <c r="AE63" s="318" t="str">
        <f>$B$33</f>
        <v>Land occupation</v>
      </c>
      <c r="AF63" s="15">
        <f>D14</f>
        <v>10.91</v>
      </c>
      <c r="AG63" s="15">
        <f>AN63*Calculations!$C$47</f>
        <v>8.6023345534033595</v>
      </c>
      <c r="AH63" s="15">
        <f>AO63*Calculations!$C$47</f>
        <v>2.5220917151996591</v>
      </c>
      <c r="AI63" s="15">
        <f>AP63*Calculations!$C$47</f>
        <v>2.4815072084260987</v>
      </c>
      <c r="AJ63" s="15">
        <f>AQ63*Calculations!$C$47</f>
        <v>2.4904574883285764</v>
      </c>
      <c r="AM63" s="318" t="str">
        <f>$B$33</f>
        <v>Land occupation</v>
      </c>
      <c r="AN63" s="15">
        <f>D33</f>
        <v>2.8337030000000003</v>
      </c>
      <c r="AO63" s="15">
        <f>D52</f>
        <v>0.83080456999999996</v>
      </c>
      <c r="AP63" s="15">
        <f>D71</f>
        <v>0.81743558999999999</v>
      </c>
      <c r="AQ63" s="15">
        <f>D90</f>
        <v>0.82038390999999999</v>
      </c>
    </row>
    <row r="64" spans="2:43" x14ac:dyDescent="0.25">
      <c r="B64" s="134" t="s">
        <v>497</v>
      </c>
      <c r="C64" s="11" t="s">
        <v>512</v>
      </c>
      <c r="D64" s="15">
        <f t="shared" si="60"/>
        <v>3.3458599999999998E-2</v>
      </c>
      <c r="E64" s="189">
        <f t="shared" si="61"/>
        <v>3.5691310000000004E-2</v>
      </c>
      <c r="F64" s="189">
        <v>1.17157E-3</v>
      </c>
      <c r="G64" s="189">
        <v>-3.40428E-3</v>
      </c>
      <c r="H64" s="190">
        <f t="shared" si="62"/>
        <v>3.6862880000000001E-2</v>
      </c>
      <c r="I64" s="134" t="s">
        <v>497</v>
      </c>
      <c r="J64" s="11" t="s">
        <v>31</v>
      </c>
      <c r="K64" s="185">
        <f t="shared" si="63"/>
        <v>0.96821816418033546</v>
      </c>
      <c r="L64" s="185">
        <f t="shared" si="57"/>
        <v>3.1781835819664657E-2</v>
      </c>
      <c r="M64" s="185">
        <f t="shared" si="57"/>
        <v>-9.2349810975159832E-2</v>
      </c>
      <c r="AE64" s="318"/>
      <c r="AF64" s="15">
        <f>AF63-AG63</f>
        <v>2.3076654465966406</v>
      </c>
      <c r="AG64" s="15">
        <f>AG63-AH63</f>
        <v>6.0802428382037004</v>
      </c>
      <c r="AH64" s="15">
        <f t="shared" ref="AH64:AJ64" si="64">AH63-AI63</f>
        <v>4.0584506773560403E-2</v>
      </c>
      <c r="AI64" s="15">
        <f t="shared" si="64"/>
        <v>-8.9502799024776536E-3</v>
      </c>
      <c r="AJ64" s="15">
        <f t="shared" si="64"/>
        <v>2.4904574883285764</v>
      </c>
      <c r="AM64" s="318"/>
      <c r="AN64" s="15">
        <f>AN63-AO63</f>
        <v>2.0028984300000001</v>
      </c>
      <c r="AO64" s="15">
        <f t="shared" ref="AO64:AQ64" si="65">AO63-AP63</f>
        <v>1.3368979999999975E-2</v>
      </c>
      <c r="AP64" s="15">
        <f t="shared" si="65"/>
        <v>-2.9483200000000043E-3</v>
      </c>
      <c r="AQ64" s="15">
        <f t="shared" si="65"/>
        <v>0.82038390999999999</v>
      </c>
    </row>
    <row r="65" spans="2:43" ht="30" x14ac:dyDescent="0.25">
      <c r="B65" s="134" t="s">
        <v>561</v>
      </c>
      <c r="C65" s="11" t="s">
        <v>513</v>
      </c>
      <c r="D65" s="15">
        <f t="shared" si="60"/>
        <v>1008.2785873899999</v>
      </c>
      <c r="E65" s="189">
        <f t="shared" si="61"/>
        <v>980.97195398999997</v>
      </c>
      <c r="F65" s="189">
        <v>41.838957299999997</v>
      </c>
      <c r="G65" s="189">
        <v>-14.5323239</v>
      </c>
      <c r="H65" s="190">
        <f t="shared" si="62"/>
        <v>1022.8109112899999</v>
      </c>
      <c r="I65" s="134" t="s">
        <v>561</v>
      </c>
      <c r="J65" s="11" t="s">
        <v>31</v>
      </c>
      <c r="K65" s="185">
        <f t="shared" si="63"/>
        <v>0.95909414258474091</v>
      </c>
      <c r="L65" s="185">
        <f t="shared" si="57"/>
        <v>4.0905857415259136E-2</v>
      </c>
      <c r="M65" s="185">
        <f t="shared" si="57"/>
        <v>-1.4208221421564027E-2</v>
      </c>
      <c r="AE65" s="134" t="s">
        <v>598</v>
      </c>
      <c r="AF65" s="193">
        <f>AF64/$AF63</f>
        <v>0.21151837274029703</v>
      </c>
      <c r="AG65" s="193">
        <f t="shared" ref="AG65:AJ65" si="66">AG64/$AF63</f>
        <v>0.55730915107274981</v>
      </c>
      <c r="AH65" s="193">
        <f t="shared" si="66"/>
        <v>3.7199364595380752E-3</v>
      </c>
      <c r="AI65" s="193">
        <f t="shared" si="66"/>
        <v>-8.2037395989712685E-4</v>
      </c>
      <c r="AJ65" s="193">
        <f t="shared" si="66"/>
        <v>0.22827291368731223</v>
      </c>
      <c r="AM65" s="186" t="s">
        <v>598</v>
      </c>
      <c r="AN65" s="193">
        <f>AN64/$AN63</f>
        <v>0.70681310991307134</v>
      </c>
      <c r="AO65" s="193">
        <f t="shared" ref="AO65:AQ65" si="67">AO64/$AN63</f>
        <v>4.7178479890094245E-3</v>
      </c>
      <c r="AP65" s="193">
        <f t="shared" si="67"/>
        <v>-1.0404477815776755E-3</v>
      </c>
      <c r="AQ65" s="193">
        <f t="shared" si="67"/>
        <v>0.28950948987949687</v>
      </c>
    </row>
    <row r="66" spans="2:43" x14ac:dyDescent="0.25">
      <c r="B66" s="134" t="s">
        <v>498</v>
      </c>
      <c r="C66" s="11" t="s">
        <v>514</v>
      </c>
      <c r="D66" s="15">
        <f t="shared" si="60"/>
        <v>4.7511619999999997E-6</v>
      </c>
      <c r="E66" s="189">
        <f t="shared" si="61"/>
        <v>4.6907239999999996E-6</v>
      </c>
      <c r="F66" s="189">
        <v>1.2408999999999999E-7</v>
      </c>
      <c r="G66" s="189">
        <v>-6.3652000000000006E-8</v>
      </c>
      <c r="H66" s="190">
        <f t="shared" si="62"/>
        <v>4.814814E-6</v>
      </c>
      <c r="I66" s="134" t="s">
        <v>498</v>
      </c>
      <c r="J66" s="11" t="s">
        <v>31</v>
      </c>
      <c r="K66" s="185">
        <f t="shared" si="63"/>
        <v>0.97422745717695425</v>
      </c>
      <c r="L66" s="185">
        <f t="shared" si="57"/>
        <v>2.5772542823045707E-2</v>
      </c>
      <c r="M66" s="185">
        <f t="shared" si="57"/>
        <v>-1.3220033006467126E-2</v>
      </c>
      <c r="AE66" s="318" t="str">
        <f>$B$34</f>
        <v>Aquatic acidification</v>
      </c>
      <c r="AF66" s="15">
        <f>D15</f>
        <v>1.12600262</v>
      </c>
      <c r="AG66" s="15">
        <f>AN66*Calculations!$C$47</f>
        <v>653.58591890931564</v>
      </c>
      <c r="AH66" s="15">
        <f>AO66*Calculations!$C$47</f>
        <v>653.15732513537534</v>
      </c>
      <c r="AI66" s="15">
        <f>AP66*Calculations!$C$47</f>
        <v>653.13738712038935</v>
      </c>
      <c r="AJ66" s="15">
        <f>AQ66*Calculations!$C$47</f>
        <v>653.14049151042627</v>
      </c>
      <c r="AM66" s="318" t="str">
        <f>$B$34</f>
        <v>Aquatic acidification</v>
      </c>
      <c r="AN66" s="15">
        <f>D34</f>
        <v>215.29834345240002</v>
      </c>
      <c r="AO66" s="15">
        <f>D53</f>
        <v>215.15715998000002</v>
      </c>
      <c r="AP66" s="15">
        <f>D72</f>
        <v>215.15059218000002</v>
      </c>
      <c r="AQ66" s="15">
        <f>D91</f>
        <v>215.1516148</v>
      </c>
    </row>
    <row r="67" spans="2:43" ht="18" x14ac:dyDescent="0.25">
      <c r="B67" s="134" t="s">
        <v>499</v>
      </c>
      <c r="C67" s="11" t="s">
        <v>565</v>
      </c>
      <c r="D67" s="15">
        <f t="shared" si="60"/>
        <v>9.1908499999999987E-3</v>
      </c>
      <c r="E67" s="189">
        <f t="shared" si="61"/>
        <v>9.2343799999999986E-3</v>
      </c>
      <c r="F67" s="189">
        <v>1.0696000000000001E-4</v>
      </c>
      <c r="G67" s="189">
        <v>-1.5049E-4</v>
      </c>
      <c r="H67" s="190">
        <f t="shared" si="62"/>
        <v>9.3413399999999983E-3</v>
      </c>
      <c r="I67" s="134" t="s">
        <v>499</v>
      </c>
      <c r="J67" s="11" t="s">
        <v>31</v>
      </c>
      <c r="K67" s="185">
        <f t="shared" si="63"/>
        <v>0.98854982261645552</v>
      </c>
      <c r="L67" s="185">
        <f t="shared" si="57"/>
        <v>1.1450177383544547E-2</v>
      </c>
      <c r="M67" s="185">
        <f t="shared" si="57"/>
        <v>-1.6110108399865548E-2</v>
      </c>
      <c r="AE67" s="318"/>
      <c r="AF67" s="15">
        <f>AF66-AG66</f>
        <v>-652.45991628931563</v>
      </c>
      <c r="AG67" s="15">
        <f>AG66-AH66</f>
        <v>0.42859377394029252</v>
      </c>
      <c r="AH67" s="15">
        <f t="shared" ref="AH67:AJ67" si="68">AH66-AI66</f>
        <v>1.9938014985996233E-2</v>
      </c>
      <c r="AI67" s="15">
        <f t="shared" si="68"/>
        <v>-3.1043900369240873E-3</v>
      </c>
      <c r="AJ67" s="15">
        <f t="shared" si="68"/>
        <v>653.14049151042627</v>
      </c>
      <c r="AM67" s="318"/>
      <c r="AN67" s="15">
        <f>AN66-AO66</f>
        <v>0.14118347240000162</v>
      </c>
      <c r="AO67" s="15">
        <f t="shared" ref="AO67:AQ67" si="69">AO66-AP66</f>
        <v>6.5677999999991243E-3</v>
      </c>
      <c r="AP67" s="15">
        <f t="shared" si="69"/>
        <v>-1.0226199999863184E-3</v>
      </c>
      <c r="AQ67" s="15">
        <f t="shared" si="69"/>
        <v>215.1516148</v>
      </c>
    </row>
    <row r="68" spans="2:43" ht="30" x14ac:dyDescent="0.25">
      <c r="B68" s="134" t="s">
        <v>500</v>
      </c>
      <c r="C68" s="11" t="s">
        <v>515</v>
      </c>
      <c r="D68" s="15">
        <f t="shared" si="60"/>
        <v>2469.4142210999998</v>
      </c>
      <c r="E68" s="189">
        <f t="shared" si="61"/>
        <v>2469.4144305</v>
      </c>
      <c r="F68" s="189">
        <v>48.605032299999998</v>
      </c>
      <c r="G68" s="189">
        <v>-48.605241700000001</v>
      </c>
      <c r="H68" s="190">
        <f t="shared" si="62"/>
        <v>2518.0194627999999</v>
      </c>
      <c r="I68" s="134" t="s">
        <v>500</v>
      </c>
      <c r="J68" s="11" t="s">
        <v>31</v>
      </c>
      <c r="K68" s="185">
        <f t="shared" si="63"/>
        <v>0.98069711810489668</v>
      </c>
      <c r="L68" s="185">
        <f t="shared" si="57"/>
        <v>1.9302881895103357E-2</v>
      </c>
      <c r="M68" s="185">
        <f t="shared" si="57"/>
        <v>-1.9302965055699648E-2</v>
      </c>
      <c r="AE68" s="134" t="s">
        <v>598</v>
      </c>
      <c r="AF68" s="193">
        <f>AF67/$AF66</f>
        <v>-579.44795571551663</v>
      </c>
      <c r="AG68" s="193">
        <f t="shared" ref="AG68:AJ68" si="70">AG67/$AF66</f>
        <v>0.3806330165912869</v>
      </c>
      <c r="AH68" s="193">
        <f t="shared" si="70"/>
        <v>1.7706899284120878E-2</v>
      </c>
      <c r="AI68" s="193">
        <f t="shared" si="70"/>
        <v>-2.7570007225419134E-3</v>
      </c>
      <c r="AJ68" s="193">
        <f t="shared" si="70"/>
        <v>580.05237280036374</v>
      </c>
      <c r="AM68" s="186" t="s">
        <v>598</v>
      </c>
      <c r="AN68" s="193">
        <f>AN67/$AN66</f>
        <v>6.5575735575139555E-4</v>
      </c>
      <c r="AO68" s="193">
        <f t="shared" ref="AO68:AQ68" si="71">AO67/$AN66</f>
        <v>3.0505576098179266E-5</v>
      </c>
      <c r="AP68" s="193">
        <f t="shared" si="71"/>
        <v>-4.7497810878995815E-6</v>
      </c>
      <c r="AQ68" s="193">
        <f t="shared" si="71"/>
        <v>0.9993184868492383</v>
      </c>
    </row>
    <row r="69" spans="2:43" x14ac:dyDescent="0.25">
      <c r="B69" s="134" t="s">
        <v>562</v>
      </c>
      <c r="C69" s="11" t="s">
        <v>516</v>
      </c>
      <c r="D69" s="15">
        <f t="shared" si="60"/>
        <v>1068.9715486999999</v>
      </c>
      <c r="E69" s="189">
        <f t="shared" si="61"/>
        <v>1069.3410769</v>
      </c>
      <c r="F69" s="189">
        <v>11.6174242</v>
      </c>
      <c r="G69" s="189">
        <v>-11.9869524</v>
      </c>
      <c r="H69" s="190">
        <f t="shared" si="62"/>
        <v>1080.9585010999999</v>
      </c>
      <c r="I69" s="134" t="s">
        <v>562</v>
      </c>
      <c r="J69" s="11" t="s">
        <v>31</v>
      </c>
      <c r="K69" s="185">
        <f t="shared" si="63"/>
        <v>0.9892526640123761</v>
      </c>
      <c r="L69" s="185">
        <f t="shared" si="57"/>
        <v>1.0747335987623884E-2</v>
      </c>
      <c r="M69" s="185">
        <f t="shared" si="57"/>
        <v>-1.108918833405898E-2</v>
      </c>
      <c r="AE69" s="318" t="str">
        <f>$B$35</f>
        <v>Aquatic eutrophication</v>
      </c>
      <c r="AF69" s="15">
        <f>D16</f>
        <v>0.10874</v>
      </c>
      <c r="AG69" s="15">
        <f>AN69*Calculations!$C$47</f>
        <v>0.10102446539458922</v>
      </c>
      <c r="AH69" s="15">
        <f>AO69*Calculations!$C$47</f>
        <v>2.7023599611028463E-2</v>
      </c>
      <c r="AI69" s="15">
        <f>AP69*Calculations!$C$47</f>
        <v>2.6647504011799772E-2</v>
      </c>
      <c r="AJ69" s="15">
        <f>AQ69*Calculations!$C$47</f>
        <v>2.707833367878287E-2</v>
      </c>
      <c r="AM69" s="318" t="str">
        <f>$B$35</f>
        <v>Aquatic eutrophication</v>
      </c>
      <c r="AN69" s="15">
        <f>D35</f>
        <v>3.3278562800000001E-2</v>
      </c>
      <c r="AO69" s="15">
        <f>D54</f>
        <v>8.901868999999998E-3</v>
      </c>
      <c r="AP69" s="15">
        <f>D73</f>
        <v>8.7779789999999983E-3</v>
      </c>
      <c r="AQ69" s="15">
        <f>D92</f>
        <v>8.9198989999999985E-3</v>
      </c>
    </row>
    <row r="70" spans="2:43" ht="18" x14ac:dyDescent="0.25">
      <c r="B70" s="134" t="s">
        <v>501</v>
      </c>
      <c r="C70" s="11" t="s">
        <v>566</v>
      </c>
      <c r="D70" s="15">
        <f t="shared" si="60"/>
        <v>0.51472256999999999</v>
      </c>
      <c r="E70" s="189">
        <f t="shared" si="61"/>
        <v>0.51813991999999998</v>
      </c>
      <c r="F70" s="189">
        <v>1.8265170000000001E-2</v>
      </c>
      <c r="G70" s="189">
        <v>-2.168252E-2</v>
      </c>
      <c r="H70" s="190">
        <f t="shared" si="62"/>
        <v>0.53640509000000003</v>
      </c>
      <c r="I70" s="134" t="s">
        <v>501</v>
      </c>
      <c r="J70" s="11" t="s">
        <v>31</v>
      </c>
      <c r="K70" s="185">
        <f t="shared" si="63"/>
        <v>0.96594892490673412</v>
      </c>
      <c r="L70" s="185">
        <f t="shared" si="57"/>
        <v>3.4051075093265798E-2</v>
      </c>
      <c r="M70" s="185">
        <f t="shared" si="57"/>
        <v>-4.0421913222337243E-2</v>
      </c>
      <c r="AE70" s="318"/>
      <c r="AF70" s="15">
        <f>AF69-AG69</f>
        <v>7.7155346054107871E-3</v>
      </c>
      <c r="AG70" s="15">
        <f>AG69-AH69</f>
        <v>7.4000865783560757E-2</v>
      </c>
      <c r="AH70" s="15">
        <f t="shared" ref="AH70:AJ70" si="72">AH69-AI69</f>
        <v>3.7609559922869087E-4</v>
      </c>
      <c r="AI70" s="15">
        <f t="shared" si="72"/>
        <v>-4.3082966698309785E-4</v>
      </c>
      <c r="AJ70" s="15">
        <f t="shared" si="72"/>
        <v>2.707833367878287E-2</v>
      </c>
      <c r="AM70" s="318"/>
      <c r="AN70" s="15">
        <f>AN69-AO69</f>
        <v>2.4376693800000002E-2</v>
      </c>
      <c r="AO70" s="15">
        <f t="shared" ref="AO70:AQ70" si="73">AO69-AP69</f>
        <v>1.2388999999999976E-4</v>
      </c>
      <c r="AP70" s="15">
        <f t="shared" si="73"/>
        <v>-1.4192000000000024E-4</v>
      </c>
      <c r="AQ70" s="15">
        <f t="shared" si="73"/>
        <v>8.9198989999999985E-3</v>
      </c>
    </row>
    <row r="71" spans="2:43" ht="30" x14ac:dyDescent="0.25">
      <c r="B71" s="134" t="s">
        <v>502</v>
      </c>
      <c r="C71" s="11" t="s">
        <v>563</v>
      </c>
      <c r="D71" s="15">
        <f t="shared" si="60"/>
        <v>0.81743558999999999</v>
      </c>
      <c r="E71" s="189">
        <f t="shared" si="61"/>
        <v>0.82038390999999999</v>
      </c>
      <c r="F71" s="189">
        <v>1.2747039999999999E-2</v>
      </c>
      <c r="G71" s="189">
        <v>-1.5695359999999998E-2</v>
      </c>
      <c r="H71" s="190">
        <f t="shared" si="62"/>
        <v>0.83313095000000004</v>
      </c>
      <c r="I71" s="134" t="s">
        <v>502</v>
      </c>
      <c r="J71" s="11" t="s">
        <v>31</v>
      </c>
      <c r="K71" s="185">
        <f t="shared" si="63"/>
        <v>0.98469983620222001</v>
      </c>
      <c r="L71" s="185">
        <f t="shared" si="57"/>
        <v>1.5300163797779927E-2</v>
      </c>
      <c r="M71" s="185">
        <f t="shared" si="57"/>
        <v>-1.8839007241298618E-2</v>
      </c>
      <c r="AE71" s="134" t="s">
        <v>598</v>
      </c>
      <c r="AF71" s="193">
        <f>AF70/$AF69</f>
        <v>7.0953969150365892E-2</v>
      </c>
      <c r="AG71" s="193">
        <f t="shared" ref="AG71:AJ71" si="74">AG70/$AF69</f>
        <v>0.68053030884275112</v>
      </c>
      <c r="AH71" s="193">
        <f t="shared" si="74"/>
        <v>3.4586683762064638E-3</v>
      </c>
      <c r="AI71" s="193">
        <f t="shared" si="74"/>
        <v>-3.9620164335396162E-3</v>
      </c>
      <c r="AJ71" s="193">
        <f t="shared" si="74"/>
        <v>0.2490190700642162</v>
      </c>
      <c r="AM71" s="186" t="s">
        <v>598</v>
      </c>
      <c r="AN71" s="193">
        <f>AN70/$AN69</f>
        <v>0.7325044037057995</v>
      </c>
      <c r="AO71" s="193">
        <f t="shared" ref="AO71:AQ71" si="75">AO70/$AN69</f>
        <v>3.7228170202109737E-3</v>
      </c>
      <c r="AP71" s="193">
        <f t="shared" si="75"/>
        <v>-4.2646072443969915E-3</v>
      </c>
      <c r="AQ71" s="193">
        <f t="shared" si="75"/>
        <v>0.26803738651838649</v>
      </c>
    </row>
    <row r="72" spans="2:43" ht="18" x14ac:dyDescent="0.25">
      <c r="B72" s="134" t="s">
        <v>503</v>
      </c>
      <c r="C72" s="11" t="s">
        <v>566</v>
      </c>
      <c r="D72" s="15">
        <f t="shared" si="60"/>
        <v>215.15059218000002</v>
      </c>
      <c r="E72" s="189">
        <f t="shared" si="61"/>
        <v>215.1516148</v>
      </c>
      <c r="F72" s="189">
        <v>6.2622600000000004E-3</v>
      </c>
      <c r="G72" s="189">
        <v>-7.2848799999999997E-3</v>
      </c>
      <c r="H72" s="190">
        <f t="shared" si="62"/>
        <v>215.15787706</v>
      </c>
      <c r="I72" s="134" t="s">
        <v>503</v>
      </c>
      <c r="J72" s="11" t="s">
        <v>31</v>
      </c>
      <c r="K72" s="185">
        <f t="shared" si="63"/>
        <v>0.99997089458175747</v>
      </c>
      <c r="L72" s="185">
        <f t="shared" si="57"/>
        <v>2.9105418242501413E-5</v>
      </c>
      <c r="M72" s="185">
        <f t="shared" si="57"/>
        <v>-3.3858300237683145E-5</v>
      </c>
      <c r="AE72" s="318" t="str">
        <f>$B$36</f>
        <v>Global warming</v>
      </c>
      <c r="AF72" s="15">
        <f>D17</f>
        <v>251.90000001830001</v>
      </c>
      <c r="AG72" s="15">
        <f>AN72*Calculations!$C$47</f>
        <v>188.70170523130128</v>
      </c>
      <c r="AH72" s="15">
        <f>AO72*Calculations!$C$47</f>
        <v>119.19114205482281</v>
      </c>
      <c r="AI72" s="15">
        <f>AP72*Calculations!$C$47</f>
        <v>116.28023397233258</v>
      </c>
      <c r="AJ72" s="15">
        <f>AQ72*Calculations!$C$47</f>
        <v>117.58044490898938</v>
      </c>
      <c r="AM72" s="318" t="str">
        <f>$B$36</f>
        <v>Global warming</v>
      </c>
      <c r="AN72" s="15">
        <f>D36</f>
        <v>62.160403655482099</v>
      </c>
      <c r="AO72" s="15">
        <f>D55</f>
        <v>39.2628646</v>
      </c>
      <c r="AP72" s="15">
        <f>D74</f>
        <v>38.303979669999997</v>
      </c>
      <c r="AQ72" s="15">
        <f>D93</f>
        <v>38.732283359999997</v>
      </c>
    </row>
    <row r="73" spans="2:43" ht="18" x14ac:dyDescent="0.25">
      <c r="B73" s="134" t="s">
        <v>504</v>
      </c>
      <c r="C73" s="11" t="s">
        <v>567</v>
      </c>
      <c r="D73" s="15">
        <f t="shared" si="60"/>
        <v>8.7779789999999983E-3</v>
      </c>
      <c r="E73" s="189">
        <f t="shared" si="61"/>
        <v>8.9198989999999985E-3</v>
      </c>
      <c r="F73" s="189">
        <v>1.1813E-4</v>
      </c>
      <c r="G73" s="189">
        <v>-2.6005000000000001E-4</v>
      </c>
      <c r="H73" s="190">
        <f t="shared" si="62"/>
        <v>9.0380289999999978E-3</v>
      </c>
      <c r="I73" s="134" t="s">
        <v>504</v>
      </c>
      <c r="J73" s="11" t="s">
        <v>31</v>
      </c>
      <c r="K73" s="185">
        <f t="shared" si="63"/>
        <v>0.98692967238764118</v>
      </c>
      <c r="L73" s="185">
        <f t="shared" si="57"/>
        <v>1.3070327612358847E-2</v>
      </c>
      <c r="M73" s="185">
        <f t="shared" si="57"/>
        <v>-2.8772866296401578E-2</v>
      </c>
      <c r="AE73" s="318"/>
      <c r="AF73" s="15">
        <f>AF72-AG72</f>
        <v>63.19829478699873</v>
      </c>
      <c r="AG73" s="15">
        <f>AG72-AH72</f>
        <v>69.51056317647847</v>
      </c>
      <c r="AH73" s="15">
        <f t="shared" ref="AH73:AJ73" si="76">AH72-AI72</f>
        <v>2.9109080824902236</v>
      </c>
      <c r="AI73" s="15">
        <f t="shared" si="76"/>
        <v>-1.3002109366567964</v>
      </c>
      <c r="AJ73" s="15">
        <f t="shared" si="76"/>
        <v>117.58044490898938</v>
      </c>
      <c r="AM73" s="318"/>
      <c r="AN73" s="15">
        <f>AN72-AO72</f>
        <v>22.897539055482099</v>
      </c>
      <c r="AO73" s="15">
        <f t="shared" ref="AO73:AQ73" si="77">AO72-AP72</f>
        <v>0.95888493000000352</v>
      </c>
      <c r="AP73" s="15">
        <f t="shared" si="77"/>
        <v>-0.4283036899999999</v>
      </c>
      <c r="AQ73" s="15">
        <f t="shared" si="77"/>
        <v>38.732283359999997</v>
      </c>
    </row>
    <row r="74" spans="2:43" ht="30" x14ac:dyDescent="0.25">
      <c r="B74" s="176" t="s">
        <v>505</v>
      </c>
      <c r="C74" s="165" t="s">
        <v>578</v>
      </c>
      <c r="D74" s="195">
        <f>SUM(E74:G74)</f>
        <v>38.303979669999997</v>
      </c>
      <c r="E74" s="196">
        <f t="shared" si="61"/>
        <v>38.732283359999997</v>
      </c>
      <c r="F74" s="196">
        <v>0.91427661000000005</v>
      </c>
      <c r="G74" s="196">
        <v>-1.3425803000000001</v>
      </c>
      <c r="H74" s="190">
        <f>SUM(E74:F74)</f>
        <v>39.646559969999998</v>
      </c>
      <c r="I74" s="134" t="s">
        <v>505</v>
      </c>
      <c r="J74" s="11" t="s">
        <v>31</v>
      </c>
      <c r="K74" s="185">
        <f t="shared" si="63"/>
        <v>0.97693932056925437</v>
      </c>
      <c r="L74" s="185">
        <f t="shared" si="57"/>
        <v>2.3060679430745579E-2</v>
      </c>
      <c r="M74" s="185">
        <f t="shared" si="57"/>
        <v>-3.3863727420888771E-2</v>
      </c>
      <c r="AE74" s="134" t="s">
        <v>598</v>
      </c>
      <c r="AF74" s="193">
        <f>AF73/$AF72</f>
        <v>0.25088644216914452</v>
      </c>
      <c r="AG74" s="193">
        <f t="shared" ref="AG74:AJ74" si="78">AG73/$AF72</f>
        <v>0.27594507015255526</v>
      </c>
      <c r="AH74" s="193">
        <f t="shared" si="78"/>
        <v>1.155580818689461E-2</v>
      </c>
      <c r="AI74" s="193">
        <f t="shared" si="78"/>
        <v>-5.1616154686873316E-3</v>
      </c>
      <c r="AJ74" s="193">
        <f t="shared" si="78"/>
        <v>0.46677429496009293</v>
      </c>
      <c r="AM74" s="186" t="s">
        <v>598</v>
      </c>
      <c r="AN74" s="193">
        <f>AN73/$AN72</f>
        <v>0.36836213584437849</v>
      </c>
      <c r="AO74" s="193">
        <f t="shared" ref="AO74:AQ74" si="79">AO73/$AN72</f>
        <v>1.5425976564028261E-2</v>
      </c>
      <c r="AP74" s="193">
        <f t="shared" si="79"/>
        <v>-6.8902977589050231E-3</v>
      </c>
      <c r="AQ74" s="193">
        <f t="shared" si="79"/>
        <v>0.62310218535049822</v>
      </c>
    </row>
    <row r="75" spans="2:43" x14ac:dyDescent="0.25">
      <c r="B75" s="134" t="s">
        <v>506</v>
      </c>
      <c r="C75" s="11" t="s">
        <v>517</v>
      </c>
      <c r="D75" s="15">
        <f t="shared" si="60"/>
        <v>653.31039438000005</v>
      </c>
      <c r="E75" s="189">
        <f t="shared" si="61"/>
        <v>652.30699707999997</v>
      </c>
      <c r="F75" s="189">
        <v>18.619054200000001</v>
      </c>
      <c r="G75" s="189">
        <v>-17.615656900000001</v>
      </c>
      <c r="H75" s="190">
        <f t="shared" si="62"/>
        <v>670.92605128000002</v>
      </c>
      <c r="I75" s="134" t="s">
        <v>506</v>
      </c>
      <c r="J75" s="11" t="s">
        <v>31</v>
      </c>
      <c r="K75" s="185">
        <f t="shared" si="63"/>
        <v>0.97224872373866178</v>
      </c>
      <c r="L75" s="185">
        <f t="shared" si="57"/>
        <v>2.775127626133814E-2</v>
      </c>
      <c r="M75" s="185">
        <f t="shared" si="57"/>
        <v>-2.6255735436703731E-2</v>
      </c>
      <c r="AE75" s="318" t="str">
        <f>$B$37</f>
        <v>Non-renewable energy</v>
      </c>
      <c r="AF75" s="15">
        <f>D18</f>
        <v>4031.57</v>
      </c>
      <c r="AG75" s="15">
        <f>AN75*Calculations!$C$47</f>
        <v>3000.0968235360133</v>
      </c>
      <c r="AH75" s="15">
        <f>AO75*Calculations!$C$47</f>
        <v>2042.548781890278</v>
      </c>
      <c r="AI75" s="15">
        <f>AP75*Calculations!$C$47</f>
        <v>1983.2687404687965</v>
      </c>
      <c r="AJ75" s="15">
        <f>AQ75*Calculations!$C$47</f>
        <v>1980.2227052051919</v>
      </c>
      <c r="AM75" s="318" t="str">
        <f>$B$37</f>
        <v>Non-renewable energy</v>
      </c>
      <c r="AN75" s="15">
        <f>D37</f>
        <v>988.26467586999991</v>
      </c>
      <c r="AO75" s="15">
        <f>D56</f>
        <v>672.83788778000007</v>
      </c>
      <c r="AP75" s="15">
        <f>D75</f>
        <v>653.31039438000005</v>
      </c>
      <c r="AQ75" s="15">
        <f>D94</f>
        <v>652.30699707999997</v>
      </c>
    </row>
    <row r="76" spans="2:43" x14ac:dyDescent="0.25">
      <c r="B76" s="134" t="s">
        <v>507</v>
      </c>
      <c r="C76" s="11" t="s">
        <v>518</v>
      </c>
      <c r="D76" s="15">
        <f t="shared" si="60"/>
        <v>2.1758929599999997</v>
      </c>
      <c r="E76" s="189">
        <f t="shared" si="61"/>
        <v>2.1782529399999997</v>
      </c>
      <c r="F76" s="189">
        <v>1.0387230000000001E-2</v>
      </c>
      <c r="G76" s="189">
        <v>-1.274721E-2</v>
      </c>
      <c r="H76" s="190">
        <f t="shared" si="62"/>
        <v>2.1886401699999998</v>
      </c>
      <c r="I76" s="134" t="s">
        <v>507</v>
      </c>
      <c r="J76" s="11" t="s">
        <v>31</v>
      </c>
      <c r="K76" s="185">
        <f t="shared" si="63"/>
        <v>0.99525402569943688</v>
      </c>
      <c r="L76" s="185">
        <f t="shared" si="57"/>
        <v>4.7459743005630762E-3</v>
      </c>
      <c r="M76" s="185">
        <f t="shared" si="57"/>
        <v>-5.8242602757309359E-3</v>
      </c>
      <c r="AE76" s="318"/>
      <c r="AF76" s="15">
        <f>AF75-AG75</f>
        <v>1031.4731764639869</v>
      </c>
      <c r="AG76" s="15">
        <f>AG75-AH75</f>
        <v>957.54804164573534</v>
      </c>
      <c r="AH76" s="15">
        <f t="shared" ref="AH76:AJ76" si="80">AH75-AI75</f>
        <v>59.280041421481428</v>
      </c>
      <c r="AI76" s="15">
        <f t="shared" si="80"/>
        <v>3.0460352636046082</v>
      </c>
      <c r="AJ76" s="15">
        <f t="shared" si="80"/>
        <v>1980.2227052051919</v>
      </c>
      <c r="AM76" s="318"/>
      <c r="AN76" s="15">
        <f>AN75-AO75</f>
        <v>315.42678808999983</v>
      </c>
      <c r="AO76" s="15">
        <f t="shared" ref="AO76:AQ76" si="81">AO75-AP75</f>
        <v>19.527493400000026</v>
      </c>
      <c r="AP76" s="15">
        <f t="shared" si="81"/>
        <v>1.0033973000000742</v>
      </c>
      <c r="AQ76" s="15">
        <f t="shared" si="81"/>
        <v>652.30699707999997</v>
      </c>
    </row>
    <row r="77" spans="2:43" ht="30" x14ac:dyDescent="0.25">
      <c r="AE77" s="134" t="s">
        <v>598</v>
      </c>
      <c r="AF77" s="193">
        <f>AF76/$AF75</f>
        <v>0.25584900583742481</v>
      </c>
      <c r="AG77" s="193">
        <f t="shared" ref="AG77:AJ77" si="82">AG76/$AF75</f>
        <v>0.23751244345149292</v>
      </c>
      <c r="AH77" s="193">
        <f t="shared" si="82"/>
        <v>1.4703959356151928E-2</v>
      </c>
      <c r="AI77" s="193">
        <f t="shared" si="82"/>
        <v>7.5554567168735953E-4</v>
      </c>
      <c r="AJ77" s="193">
        <f t="shared" si="82"/>
        <v>0.49117904568324294</v>
      </c>
      <c r="AM77" s="186" t="s">
        <v>598</v>
      </c>
      <c r="AN77" s="193">
        <f>AN76/$AN75</f>
        <v>0.31917237941578747</v>
      </c>
      <c r="AO77" s="193">
        <f t="shared" ref="AO77:AQ77" si="83">AO76/$AN75</f>
        <v>1.9759376082939897E-2</v>
      </c>
      <c r="AP77" s="193">
        <f t="shared" si="83"/>
        <v>1.0153123191585824E-3</v>
      </c>
      <c r="AQ77" s="193">
        <f t="shared" si="83"/>
        <v>0.66005293218211403</v>
      </c>
    </row>
    <row r="78" spans="2:43" x14ac:dyDescent="0.25">
      <c r="B78" s="319" t="s">
        <v>671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AE78" s="318" t="str">
        <f>$B$38</f>
        <v>Mineral extraction</v>
      </c>
      <c r="AF78" s="15">
        <f>D19</f>
        <v>12.972999999999999</v>
      </c>
      <c r="AG78" s="15">
        <f>AN78*Calculations!$C$47</f>
        <v>11.641945804243619</v>
      </c>
      <c r="AH78" s="15">
        <f>AO78*Calculations!$C$47</f>
        <v>6.6384773863068656</v>
      </c>
      <c r="AI78" s="15">
        <f>AP78*Calculations!$C$47</f>
        <v>6.6054061397101638</v>
      </c>
      <c r="AJ78" s="15">
        <f>AQ78*Calculations!$C$47</f>
        <v>6.6125703829280811</v>
      </c>
      <c r="AM78" s="318" t="str">
        <f>$B$38</f>
        <v>Mineral extraction</v>
      </c>
      <c r="AN78" s="15">
        <f>D38</f>
        <v>3.8349841599999999</v>
      </c>
      <c r="AO78" s="15">
        <f>D57</f>
        <v>2.1867869899999999</v>
      </c>
      <c r="AP78" s="15">
        <f>D76</f>
        <v>2.1758929599999997</v>
      </c>
      <c r="AQ78" s="15">
        <f>D95</f>
        <v>2.1782529399999997</v>
      </c>
    </row>
    <row r="79" spans="2:43" x14ac:dyDescent="0.25">
      <c r="AE79" s="318"/>
      <c r="AF79" s="15">
        <f>AF78-AG78</f>
        <v>1.33105419575638</v>
      </c>
      <c r="AG79" s="15">
        <f>AG78-AH78</f>
        <v>5.0034684179367535</v>
      </c>
      <c r="AH79" s="15">
        <f t="shared" ref="AH79:AJ79" si="84">AH78-AI78</f>
        <v>3.3071246596701798E-2</v>
      </c>
      <c r="AI79" s="15">
        <f t="shared" si="84"/>
        <v>-7.1642432179173099E-3</v>
      </c>
      <c r="AJ79" s="15">
        <f t="shared" si="84"/>
        <v>6.6125703829280811</v>
      </c>
      <c r="AM79" s="318"/>
      <c r="AN79" s="15">
        <f>AN78-AO78</f>
        <v>1.64819717</v>
      </c>
      <c r="AO79" s="15">
        <f t="shared" ref="AO79:AQ79" si="85">AO78-AP78</f>
        <v>1.0894030000000221E-2</v>
      </c>
      <c r="AP79" s="15">
        <f t="shared" si="85"/>
        <v>-2.3599800000000393E-3</v>
      </c>
      <c r="AQ79" s="15">
        <f t="shared" si="85"/>
        <v>2.1782529399999997</v>
      </c>
    </row>
    <row r="80" spans="2:43" ht="32.450000000000003" customHeight="1" x14ac:dyDescent="0.25">
      <c r="B80" s="167" t="s">
        <v>569</v>
      </c>
      <c r="C80" s="167" t="s">
        <v>365</v>
      </c>
      <c r="D80" s="167" t="s">
        <v>223</v>
      </c>
      <c r="E80" s="167" t="s">
        <v>597</v>
      </c>
      <c r="F80" s="167" t="s">
        <v>575</v>
      </c>
      <c r="G80" s="167" t="s">
        <v>577</v>
      </c>
      <c r="H80" s="167" t="s">
        <v>217</v>
      </c>
      <c r="I80" s="167" t="s">
        <v>576</v>
      </c>
      <c r="J80" s="167" t="s">
        <v>572</v>
      </c>
      <c r="L80" s="133" t="s">
        <v>569</v>
      </c>
      <c r="M80" s="133" t="s">
        <v>365</v>
      </c>
      <c r="N80" s="167" t="s">
        <v>597</v>
      </c>
      <c r="O80" s="167" t="s">
        <v>575</v>
      </c>
      <c r="P80" s="167" t="s">
        <v>577</v>
      </c>
      <c r="Q80" s="167" t="s">
        <v>217</v>
      </c>
      <c r="R80" s="167" t="s">
        <v>576</v>
      </c>
      <c r="S80" s="167" t="s">
        <v>572</v>
      </c>
      <c r="AE80" s="134" t="s">
        <v>598</v>
      </c>
      <c r="AF80" s="193">
        <f>AF79/$AF78</f>
        <v>0.10260188050230325</v>
      </c>
      <c r="AG80" s="193">
        <f t="shared" ref="AG80:AJ80" si="86">AG79/$AF78</f>
        <v>0.38568322037591568</v>
      </c>
      <c r="AH80" s="193">
        <f t="shared" si="86"/>
        <v>2.5492366142528173E-3</v>
      </c>
      <c r="AI80" s="193">
        <f t="shared" si="86"/>
        <v>-5.5224259754238112E-4</v>
      </c>
      <c r="AJ80" s="193">
        <f t="shared" si="86"/>
        <v>0.50971790510507065</v>
      </c>
      <c r="AM80" s="186" t="s">
        <v>598</v>
      </c>
      <c r="AN80" s="193">
        <f>AN79/$AN78</f>
        <v>0.42977939444735541</v>
      </c>
      <c r="AO80" s="193">
        <f t="shared" ref="AO80:AQ80" si="87">AO79/$AN78</f>
        <v>2.8406975219423649E-3</v>
      </c>
      <c r="AP80" s="193">
        <f t="shared" si="87"/>
        <v>-6.1538194202086075E-4</v>
      </c>
      <c r="AQ80" s="193">
        <f t="shared" si="87"/>
        <v>0.56799528997272308</v>
      </c>
    </row>
    <row r="81" spans="2:19" ht="18" x14ac:dyDescent="0.25">
      <c r="B81" s="134" t="s">
        <v>495</v>
      </c>
      <c r="C81" s="11" t="s">
        <v>564</v>
      </c>
      <c r="D81" s="15">
        <f t="shared" ref="D81:D95" si="88">SUM(F81:J81)</f>
        <v>0.68279590000000001</v>
      </c>
      <c r="E81" s="189">
        <v>0</v>
      </c>
      <c r="F81" s="189">
        <v>6.9699999999999998E-2</v>
      </c>
      <c r="G81" s="189">
        <v>0.23254384</v>
      </c>
      <c r="H81" s="189">
        <v>0.21027225999999999</v>
      </c>
      <c r="I81" s="189">
        <v>1.9946129999999999E-2</v>
      </c>
      <c r="J81" s="189">
        <v>0.15033367</v>
      </c>
      <c r="L81" s="134" t="s">
        <v>495</v>
      </c>
      <c r="M81" s="11" t="s">
        <v>31</v>
      </c>
      <c r="N81" s="185">
        <f t="shared" ref="N81:S81" si="89">E81/$D81</f>
        <v>0</v>
      </c>
      <c r="O81" s="185">
        <f t="shared" si="89"/>
        <v>0.10208028489919169</v>
      </c>
      <c r="P81" s="185">
        <f t="shared" si="89"/>
        <v>0.34057591734221015</v>
      </c>
      <c r="Q81" s="185">
        <f t="shared" si="89"/>
        <v>0.30795770742032869</v>
      </c>
      <c r="R81" s="185">
        <f t="shared" si="89"/>
        <v>2.921243375948801E-2</v>
      </c>
      <c r="S81" s="185">
        <f t="shared" si="89"/>
        <v>0.22017365657878143</v>
      </c>
    </row>
    <row r="82" spans="2:19" ht="18" x14ac:dyDescent="0.25">
      <c r="B82" s="134" t="s">
        <v>496</v>
      </c>
      <c r="C82" s="11" t="s">
        <v>564</v>
      </c>
      <c r="D82" s="15">
        <f t="shared" si="88"/>
        <v>0.59051582999999996</v>
      </c>
      <c r="E82" s="189">
        <v>0</v>
      </c>
      <c r="F82" s="189">
        <v>0.157</v>
      </c>
      <c r="G82" s="189">
        <v>0.20706473</v>
      </c>
      <c r="H82" s="189">
        <v>0.10253900000000001</v>
      </c>
      <c r="I82" s="189">
        <v>6.7178489999999993E-2</v>
      </c>
      <c r="J82" s="189">
        <v>5.6733609999999997E-2</v>
      </c>
      <c r="L82" s="134" t="s">
        <v>496</v>
      </c>
      <c r="M82" s="11" t="s">
        <v>31</v>
      </c>
      <c r="N82" s="185">
        <f t="shared" ref="N82:N95" si="90">E82/$D82</f>
        <v>0</v>
      </c>
      <c r="O82" s="185">
        <f t="shared" ref="O82:O95" si="91">F82/$D82</f>
        <v>0.2658692485855968</v>
      </c>
      <c r="P82" s="185">
        <f t="shared" ref="P82:P95" si="92">G82/$D82</f>
        <v>0.35065059983235336</v>
      </c>
      <c r="Q82" s="185">
        <f t="shared" ref="Q82:Q95" si="93">H82/$D82</f>
        <v>0.17364310115107331</v>
      </c>
      <c r="R82" s="185">
        <f t="shared" ref="R82:R95" si="94">I82/$D82</f>
        <v>0.11376238635296194</v>
      </c>
      <c r="S82" s="185">
        <f t="shared" ref="S82:S95" si="95">J82/$D82</f>
        <v>9.607466407801464E-2</v>
      </c>
    </row>
    <row r="83" spans="2:19" x14ac:dyDescent="0.25">
      <c r="B83" s="134" t="s">
        <v>497</v>
      </c>
      <c r="C83" s="11" t="s">
        <v>512</v>
      </c>
      <c r="D83" s="15">
        <f t="shared" si="88"/>
        <v>3.5691310000000004E-2</v>
      </c>
      <c r="E83" s="189">
        <v>0</v>
      </c>
      <c r="F83" s="189">
        <v>5.5100000000000001E-3</v>
      </c>
      <c r="G83" s="189">
        <v>1.2413810000000001E-2</v>
      </c>
      <c r="H83" s="189">
        <v>4.2387400000000004E-3</v>
      </c>
      <c r="I83" s="189">
        <v>8.4197999999999999E-4</v>
      </c>
      <c r="J83" s="189">
        <v>1.268678E-2</v>
      </c>
      <c r="L83" s="134" t="s">
        <v>497</v>
      </c>
      <c r="M83" s="11" t="s">
        <v>31</v>
      </c>
      <c r="N83" s="185">
        <f t="shared" si="90"/>
        <v>0</v>
      </c>
      <c r="O83" s="185">
        <f t="shared" si="91"/>
        <v>0.15437931530111951</v>
      </c>
      <c r="P83" s="185">
        <f t="shared" si="92"/>
        <v>0.34781043340802004</v>
      </c>
      <c r="Q83" s="185">
        <f t="shared" si="93"/>
        <v>0.11876112140462201</v>
      </c>
      <c r="R83" s="185">
        <f t="shared" si="94"/>
        <v>2.3590616315287947E-2</v>
      </c>
      <c r="S83" s="185">
        <f t="shared" si="95"/>
        <v>0.35545851357095043</v>
      </c>
    </row>
    <row r="84" spans="2:19" x14ac:dyDescent="0.25">
      <c r="B84" s="134" t="s">
        <v>561</v>
      </c>
      <c r="C84" s="11" t="s">
        <v>513</v>
      </c>
      <c r="D84" s="15">
        <f t="shared" si="88"/>
        <v>980.97195398999997</v>
      </c>
      <c r="E84" s="189">
        <v>0</v>
      </c>
      <c r="F84" s="189">
        <v>73.7</v>
      </c>
      <c r="G84" s="189">
        <v>332.269047</v>
      </c>
      <c r="H84" s="189">
        <v>116.967383</v>
      </c>
      <c r="I84" s="189">
        <v>4.9685109900000004</v>
      </c>
      <c r="J84" s="189">
        <v>453.06701299999997</v>
      </c>
      <c r="L84" s="134" t="s">
        <v>561</v>
      </c>
      <c r="M84" s="11" t="s">
        <v>31</v>
      </c>
      <c r="N84" s="185">
        <f t="shared" si="90"/>
        <v>0</v>
      </c>
      <c r="O84" s="185">
        <f t="shared" si="91"/>
        <v>7.5129568893619256E-2</v>
      </c>
      <c r="P84" s="185">
        <f t="shared" si="92"/>
        <v>0.33871411475988755</v>
      </c>
      <c r="Q84" s="185">
        <f t="shared" si="93"/>
        <v>0.11923621518866824</v>
      </c>
      <c r="R84" s="185">
        <f t="shared" si="94"/>
        <v>5.0648858713963291E-3</v>
      </c>
      <c r="S84" s="185">
        <f t="shared" si="95"/>
        <v>0.46185521528642859</v>
      </c>
    </row>
    <row r="85" spans="2:19" x14ac:dyDescent="0.25">
      <c r="B85" s="134" t="s">
        <v>498</v>
      </c>
      <c r="C85" s="11" t="s">
        <v>514</v>
      </c>
      <c r="D85" s="15">
        <f t="shared" si="88"/>
        <v>4.6907239999999996E-6</v>
      </c>
      <c r="E85" s="189">
        <v>0</v>
      </c>
      <c r="F85" s="189">
        <v>1.6199999999999999E-6</v>
      </c>
      <c r="G85" s="189">
        <v>1.3257000000000001E-6</v>
      </c>
      <c r="H85" s="189">
        <v>3.6693000000000002E-7</v>
      </c>
      <c r="I85" s="189">
        <v>3.4294000000000003E-8</v>
      </c>
      <c r="J85" s="189">
        <v>1.3437999999999999E-6</v>
      </c>
      <c r="L85" s="134" t="s">
        <v>498</v>
      </c>
      <c r="M85" s="11" t="s">
        <v>31</v>
      </c>
      <c r="N85" s="185">
        <f t="shared" si="90"/>
        <v>0</v>
      </c>
      <c r="O85" s="185">
        <f t="shared" si="91"/>
        <v>0.34536246430188605</v>
      </c>
      <c r="P85" s="185">
        <f t="shared" si="92"/>
        <v>0.28262161662037677</v>
      </c>
      <c r="Q85" s="185">
        <f t="shared" si="93"/>
        <v>7.8224598164377199E-2</v>
      </c>
      <c r="R85" s="185">
        <f t="shared" si="94"/>
        <v>7.3110249078820249E-3</v>
      </c>
      <c r="S85" s="185">
        <f t="shared" si="95"/>
        <v>0.28648029600547803</v>
      </c>
    </row>
    <row r="86" spans="2:19" ht="18" x14ac:dyDescent="0.25">
      <c r="B86" s="134" t="s">
        <v>499</v>
      </c>
      <c r="C86" s="11" t="s">
        <v>565</v>
      </c>
      <c r="D86" s="15">
        <f t="shared" si="88"/>
        <v>9.2343799999999986E-3</v>
      </c>
      <c r="E86" s="189">
        <v>0</v>
      </c>
      <c r="F86" s="189">
        <v>4.0299999999999997E-3</v>
      </c>
      <c r="G86" s="189">
        <v>2.5643200000000001E-3</v>
      </c>
      <c r="H86" s="189">
        <v>1.34566E-3</v>
      </c>
      <c r="I86" s="189">
        <v>1.3613000000000001E-4</v>
      </c>
      <c r="J86" s="189">
        <v>1.1582700000000001E-3</v>
      </c>
      <c r="L86" s="134" t="s">
        <v>499</v>
      </c>
      <c r="M86" s="11" t="s">
        <v>31</v>
      </c>
      <c r="N86" s="185">
        <f t="shared" si="90"/>
        <v>0</v>
      </c>
      <c r="O86" s="185">
        <f t="shared" si="91"/>
        <v>0.43641262326220065</v>
      </c>
      <c r="P86" s="185">
        <f t="shared" si="92"/>
        <v>0.27769270920191724</v>
      </c>
      <c r="Q86" s="185">
        <f t="shared" si="93"/>
        <v>0.14572283141910991</v>
      </c>
      <c r="R86" s="185">
        <f t="shared" si="94"/>
        <v>1.4741650224487191E-2</v>
      </c>
      <c r="S86" s="185">
        <f t="shared" si="95"/>
        <v>0.12543018589228516</v>
      </c>
    </row>
    <row r="87" spans="2:19" x14ac:dyDescent="0.25">
      <c r="B87" s="134" t="s">
        <v>500</v>
      </c>
      <c r="C87" s="11" t="s">
        <v>515</v>
      </c>
      <c r="D87" s="15">
        <f t="shared" si="88"/>
        <v>2469.4144305</v>
      </c>
      <c r="E87" s="189">
        <v>0</v>
      </c>
      <c r="F87" s="189">
        <v>774</v>
      </c>
      <c r="G87" s="189">
        <v>902.47102400000006</v>
      </c>
      <c r="H87" s="189">
        <v>237.652613</v>
      </c>
      <c r="I87" s="189">
        <v>28.955092499999999</v>
      </c>
      <c r="J87" s="189">
        <v>526.33570099999997</v>
      </c>
      <c r="L87" s="134" t="s">
        <v>500</v>
      </c>
      <c r="M87" s="11" t="s">
        <v>31</v>
      </c>
      <c r="N87" s="185">
        <f t="shared" si="90"/>
        <v>0</v>
      </c>
      <c r="O87" s="185">
        <f t="shared" si="91"/>
        <v>0.31343463067205074</v>
      </c>
      <c r="P87" s="185">
        <f t="shared" si="92"/>
        <v>0.36545952467657294</v>
      </c>
      <c r="Q87" s="185">
        <f t="shared" si="93"/>
        <v>9.6238448299616031E-2</v>
      </c>
      <c r="R87" s="185">
        <f t="shared" si="94"/>
        <v>1.1725489307251378E-2</v>
      </c>
      <c r="S87" s="185">
        <f t="shared" si="95"/>
        <v>0.21314190704450894</v>
      </c>
    </row>
    <row r="88" spans="2:19" x14ac:dyDescent="0.25">
      <c r="B88" s="134" t="s">
        <v>562</v>
      </c>
      <c r="C88" s="11" t="s">
        <v>516</v>
      </c>
      <c r="D88" s="15">
        <f t="shared" si="88"/>
        <v>1069.3410769</v>
      </c>
      <c r="E88" s="189">
        <v>0</v>
      </c>
      <c r="F88" s="189">
        <v>574</v>
      </c>
      <c r="G88" s="189">
        <v>286.78790400000003</v>
      </c>
      <c r="H88" s="189">
        <v>72.520386299999998</v>
      </c>
      <c r="I88" s="189">
        <v>10.229657599999999</v>
      </c>
      <c r="J88" s="189">
        <v>125.803129</v>
      </c>
      <c r="L88" s="134" t="s">
        <v>562</v>
      </c>
      <c r="M88" s="11" t="s">
        <v>31</v>
      </c>
      <c r="N88" s="185">
        <f t="shared" si="90"/>
        <v>0</v>
      </c>
      <c r="O88" s="185">
        <f t="shared" si="91"/>
        <v>0.53677915531311615</v>
      </c>
      <c r="P88" s="185">
        <f t="shared" si="92"/>
        <v>0.26819123495320396</v>
      </c>
      <c r="Q88" s="185">
        <f t="shared" si="93"/>
        <v>6.7817825263231504E-2</v>
      </c>
      <c r="R88" s="185">
        <f t="shared" si="94"/>
        <v>9.5663187555233425E-3</v>
      </c>
      <c r="S88" s="185">
        <f t="shared" si="95"/>
        <v>0.11764546571492507</v>
      </c>
    </row>
    <row r="89" spans="2:19" ht="18" x14ac:dyDescent="0.25">
      <c r="B89" s="134" t="s">
        <v>501</v>
      </c>
      <c r="C89" s="11" t="s">
        <v>566</v>
      </c>
      <c r="D89" s="15">
        <f t="shared" si="88"/>
        <v>0.51813991999999998</v>
      </c>
      <c r="E89" s="189">
        <v>0</v>
      </c>
      <c r="F89" s="189">
        <v>7.7399999999999997E-2</v>
      </c>
      <c r="G89" s="189">
        <v>0.17389352999999999</v>
      </c>
      <c r="H89" s="189">
        <v>5.6835259999999999E-2</v>
      </c>
      <c r="I89" s="189">
        <v>1.2220679999999999E-2</v>
      </c>
      <c r="J89" s="189">
        <v>0.19779045000000001</v>
      </c>
      <c r="L89" s="134" t="s">
        <v>501</v>
      </c>
      <c r="M89" s="11" t="s">
        <v>31</v>
      </c>
      <c r="N89" s="185">
        <f t="shared" si="90"/>
        <v>0</v>
      </c>
      <c r="O89" s="185">
        <f t="shared" si="91"/>
        <v>0.1493804993832554</v>
      </c>
      <c r="P89" s="185">
        <f t="shared" si="92"/>
        <v>0.3356111414847171</v>
      </c>
      <c r="Q89" s="185">
        <f t="shared" si="93"/>
        <v>0.10969094988859381</v>
      </c>
      <c r="R89" s="185">
        <f t="shared" si="94"/>
        <v>2.3585675467738522E-2</v>
      </c>
      <c r="S89" s="185">
        <f t="shared" si="95"/>
        <v>0.38173173377569519</v>
      </c>
    </row>
    <row r="90" spans="2:19" x14ac:dyDescent="0.25">
      <c r="B90" s="134" t="s">
        <v>502</v>
      </c>
      <c r="C90" s="11" t="s">
        <v>563</v>
      </c>
      <c r="D90" s="15">
        <f t="shared" si="88"/>
        <v>0.82038390999999999</v>
      </c>
      <c r="E90" s="189">
        <v>0</v>
      </c>
      <c r="F90" s="189">
        <v>0.32</v>
      </c>
      <c r="G90" s="189">
        <v>0.28614084000000001</v>
      </c>
      <c r="H90" s="189">
        <v>7.0936570000000004E-2</v>
      </c>
      <c r="I90" s="189">
        <v>5.2709300000000001E-3</v>
      </c>
      <c r="J90" s="189">
        <v>0.13803557</v>
      </c>
      <c r="L90" s="134" t="s">
        <v>502</v>
      </c>
      <c r="M90" s="11" t="s">
        <v>31</v>
      </c>
      <c r="N90" s="185">
        <f t="shared" si="90"/>
        <v>0</v>
      </c>
      <c r="O90" s="185">
        <f t="shared" si="91"/>
        <v>0.39006128240618471</v>
      </c>
      <c r="P90" s="185">
        <f t="shared" si="92"/>
        <v>0.3487889468724466</v>
      </c>
      <c r="Q90" s="185">
        <f t="shared" si="93"/>
        <v>8.6467529574050281E-2</v>
      </c>
      <c r="R90" s="185">
        <f t="shared" si="94"/>
        <v>6.4249553602288472E-3</v>
      </c>
      <c r="S90" s="185">
        <f t="shared" si="95"/>
        <v>0.16825728578708959</v>
      </c>
    </row>
    <row r="91" spans="2:19" ht="18" x14ac:dyDescent="0.25">
      <c r="B91" s="134" t="s">
        <v>503</v>
      </c>
      <c r="C91" s="11" t="s">
        <v>566</v>
      </c>
      <c r="D91" s="15">
        <f t="shared" si="88"/>
        <v>215.1516148</v>
      </c>
      <c r="E91" s="189">
        <v>0</v>
      </c>
      <c r="F91" s="189">
        <v>215</v>
      </c>
      <c r="G91" s="189">
        <v>6.1822149999999999E-2</v>
      </c>
      <c r="H91" s="189">
        <v>1.8493140000000002E-2</v>
      </c>
      <c r="I91" s="189">
        <v>3.4865999999999999E-3</v>
      </c>
      <c r="J91" s="189">
        <v>6.7812910000000004E-2</v>
      </c>
      <c r="L91" s="134" t="s">
        <v>503</v>
      </c>
      <c r="M91" s="11" t="s">
        <v>31</v>
      </c>
      <c r="N91" s="185">
        <f t="shared" si="90"/>
        <v>0</v>
      </c>
      <c r="O91" s="185">
        <f t="shared" si="91"/>
        <v>0.99929531181933751</v>
      </c>
      <c r="P91" s="185">
        <f t="shared" si="92"/>
        <v>2.8734225423996215E-4</v>
      </c>
      <c r="Q91" s="185">
        <f t="shared" si="93"/>
        <v>8.5953991175900763E-5</v>
      </c>
      <c r="R91" s="185">
        <f t="shared" si="94"/>
        <v>1.6205316438089776E-5</v>
      </c>
      <c r="S91" s="185">
        <f t="shared" si="95"/>
        <v>3.1518661880849616E-4</v>
      </c>
    </row>
    <row r="92" spans="2:19" ht="18" x14ac:dyDescent="0.25">
      <c r="B92" s="134" t="s">
        <v>504</v>
      </c>
      <c r="C92" s="11" t="s">
        <v>567</v>
      </c>
      <c r="D92" s="15">
        <f t="shared" si="88"/>
        <v>8.9198989999999985E-3</v>
      </c>
      <c r="E92" s="189">
        <v>0</v>
      </c>
      <c r="F92" s="189">
        <v>1.07E-3</v>
      </c>
      <c r="G92" s="189">
        <v>5.5217799999999996E-3</v>
      </c>
      <c r="H92" s="189">
        <v>9.6997000000000001E-4</v>
      </c>
      <c r="I92" s="189">
        <v>7.8949000000000006E-5</v>
      </c>
      <c r="J92" s="189">
        <v>1.2792000000000001E-3</v>
      </c>
      <c r="L92" s="134" t="s">
        <v>504</v>
      </c>
      <c r="M92" s="11" t="s">
        <v>31</v>
      </c>
      <c r="N92" s="185">
        <f t="shared" si="90"/>
        <v>0</v>
      </c>
      <c r="O92" s="185">
        <f t="shared" si="91"/>
        <v>0.11995651520269458</v>
      </c>
      <c r="P92" s="185">
        <f t="shared" si="92"/>
        <v>0.61904064160367744</v>
      </c>
      <c r="Q92" s="185">
        <f t="shared" si="93"/>
        <v>0.10874226266463333</v>
      </c>
      <c r="R92" s="185">
        <f t="shared" si="94"/>
        <v>8.8508849707827422E-3</v>
      </c>
      <c r="S92" s="185">
        <f t="shared" si="95"/>
        <v>0.14340969555821206</v>
      </c>
    </row>
    <row r="93" spans="2:19" ht="18" x14ac:dyDescent="0.25">
      <c r="B93" s="176" t="s">
        <v>505</v>
      </c>
      <c r="C93" s="165" t="s">
        <v>578</v>
      </c>
      <c r="D93" s="195">
        <f>SUM(F93:J93)</f>
        <v>38.732283359999997</v>
      </c>
      <c r="E93" s="200">
        <v>11.943894</v>
      </c>
      <c r="F93" s="196">
        <v>8.73</v>
      </c>
      <c r="G93" s="196">
        <v>16.076028999999998</v>
      </c>
      <c r="H93" s="196">
        <v>3.57763404</v>
      </c>
      <c r="I93" s="196">
        <v>0.448073</v>
      </c>
      <c r="J93" s="196">
        <v>9.9005473199999994</v>
      </c>
      <c r="L93" s="134" t="s">
        <v>505</v>
      </c>
      <c r="M93" s="11" t="s">
        <v>31</v>
      </c>
      <c r="N93" s="185">
        <f t="shared" si="90"/>
        <v>0.30837051069224652</v>
      </c>
      <c r="O93" s="185">
        <f t="shared" si="91"/>
        <v>0.22539337324521735</v>
      </c>
      <c r="P93" s="185">
        <f t="shared" si="92"/>
        <v>0.41505502917502152</v>
      </c>
      <c r="Q93" s="185">
        <f t="shared" si="93"/>
        <v>9.2368270849085318E-2</v>
      </c>
      <c r="R93" s="185">
        <f t="shared" si="94"/>
        <v>1.1568463336781703E-2</v>
      </c>
      <c r="S93" s="185">
        <f t="shared" si="95"/>
        <v>0.25561486339389417</v>
      </c>
    </row>
    <row r="94" spans="2:19" x14ac:dyDescent="0.25">
      <c r="B94" s="134" t="s">
        <v>506</v>
      </c>
      <c r="C94" s="11" t="s">
        <v>517</v>
      </c>
      <c r="D94" s="15">
        <f t="shared" si="88"/>
        <v>652.30699707999997</v>
      </c>
      <c r="E94" s="189">
        <v>0</v>
      </c>
      <c r="F94" s="189">
        <v>143</v>
      </c>
      <c r="G94" s="189">
        <v>237.317927</v>
      </c>
      <c r="H94" s="189">
        <v>63.604869700000002</v>
      </c>
      <c r="I94" s="189">
        <v>6.7616013800000001</v>
      </c>
      <c r="J94" s="189">
        <v>201.62259900000001</v>
      </c>
      <c r="L94" s="134" t="s">
        <v>506</v>
      </c>
      <c r="M94" s="11" t="s">
        <v>31</v>
      </c>
      <c r="N94" s="185">
        <f t="shared" si="90"/>
        <v>0</v>
      </c>
      <c r="O94" s="185">
        <f t="shared" si="91"/>
        <v>0.21922193175932198</v>
      </c>
      <c r="P94" s="185">
        <f t="shared" si="92"/>
        <v>0.3638132475388654</v>
      </c>
      <c r="Q94" s="185">
        <f t="shared" si="93"/>
        <v>9.7507569265272501E-2</v>
      </c>
      <c r="R94" s="185">
        <f t="shared" si="94"/>
        <v>1.0365673540630052E-2</v>
      </c>
      <c r="S94" s="185">
        <f t="shared" si="95"/>
        <v>0.30909157789591007</v>
      </c>
    </row>
    <row r="95" spans="2:19" x14ac:dyDescent="0.25">
      <c r="B95" s="134" t="s">
        <v>507</v>
      </c>
      <c r="C95" s="11" t="s">
        <v>518</v>
      </c>
      <c r="D95" s="15">
        <f t="shared" si="88"/>
        <v>2.1782529399999997</v>
      </c>
      <c r="E95" s="189">
        <v>0</v>
      </c>
      <c r="F95" s="189">
        <v>0.17699999999999999</v>
      </c>
      <c r="G95" s="189">
        <v>1.71639863</v>
      </c>
      <c r="H95" s="189">
        <v>0.14356000999999999</v>
      </c>
      <c r="I95" s="189">
        <v>2.8812709999999998E-2</v>
      </c>
      <c r="J95" s="189">
        <v>0.11248159000000001</v>
      </c>
      <c r="L95" s="134" t="s">
        <v>507</v>
      </c>
      <c r="M95" s="11" t="s">
        <v>31</v>
      </c>
      <c r="N95" s="185">
        <f t="shared" si="90"/>
        <v>0</v>
      </c>
      <c r="O95" s="185">
        <f t="shared" si="91"/>
        <v>8.125778083421295E-2</v>
      </c>
      <c r="P95" s="185">
        <f t="shared" si="92"/>
        <v>0.78797030339369145</v>
      </c>
      <c r="Q95" s="185">
        <f t="shared" si="93"/>
        <v>6.5906032932979766E-2</v>
      </c>
      <c r="R95" s="185">
        <f t="shared" si="94"/>
        <v>1.3227439968473084E-2</v>
      </c>
      <c r="S95" s="185">
        <f t="shared" si="95"/>
        <v>5.1638442870642939E-2</v>
      </c>
    </row>
    <row r="97" spans="2:29" s="160" customFormat="1" ht="15.75" thickBot="1" x14ac:dyDescent="0.3">
      <c r="AC97" s="201"/>
    </row>
    <row r="100" spans="2:29" x14ac:dyDescent="0.25">
      <c r="B100" s="319" t="s">
        <v>672</v>
      </c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2" spans="2:29" ht="27.95" customHeight="1" x14ac:dyDescent="0.25">
      <c r="B102" s="167" t="s">
        <v>569</v>
      </c>
      <c r="C102" s="167" t="s">
        <v>365</v>
      </c>
      <c r="D102" s="167" t="s">
        <v>596</v>
      </c>
      <c r="E102" s="167" t="s">
        <v>646</v>
      </c>
      <c r="F102" s="167" t="s">
        <v>492</v>
      </c>
      <c r="G102" s="167" t="s">
        <v>568</v>
      </c>
      <c r="H102" s="167" t="s">
        <v>573</v>
      </c>
      <c r="L102" s="167" t="s">
        <v>569</v>
      </c>
      <c r="M102" s="167" t="s">
        <v>365</v>
      </c>
      <c r="N102" s="167" t="s">
        <v>646</v>
      </c>
      <c r="O102" s="167" t="s">
        <v>492</v>
      </c>
      <c r="P102" s="167" t="s">
        <v>568</v>
      </c>
      <c r="Q102" s="167" t="s">
        <v>573</v>
      </c>
    </row>
    <row r="103" spans="2:29" x14ac:dyDescent="0.25">
      <c r="B103" s="134" t="s">
        <v>508</v>
      </c>
      <c r="C103" s="11" t="s">
        <v>579</v>
      </c>
      <c r="D103" s="189">
        <f>SUM(E103:J103)</f>
        <v>1.8250001869999998E-4</v>
      </c>
      <c r="E103" s="189">
        <v>0</v>
      </c>
      <c r="F103" s="189">
        <v>1.4999999999999999E-4</v>
      </c>
      <c r="G103" s="189">
        <v>1.8700000000000001E-11</v>
      </c>
      <c r="H103" s="189">
        <v>3.2499999999999997E-5</v>
      </c>
      <c r="K103" s="190"/>
      <c r="L103" s="134" t="s">
        <v>508</v>
      </c>
      <c r="M103" s="11" t="s">
        <v>31</v>
      </c>
      <c r="N103" s="185">
        <f>E103/$D103</f>
        <v>0</v>
      </c>
      <c r="O103" s="185">
        <f t="shared" ref="O103:Q106" si="96">F103/$D103</f>
        <v>0.82191772400075924</v>
      </c>
      <c r="P103" s="185">
        <f t="shared" si="96"/>
        <v>1.0246574292542799E-7</v>
      </c>
      <c r="Q103" s="185">
        <f t="shared" si="96"/>
        <v>0.17808217353349784</v>
      </c>
      <c r="S103" s="190"/>
    </row>
    <row r="104" spans="2:29" ht="17.25" x14ac:dyDescent="0.25">
      <c r="B104" s="134" t="s">
        <v>509</v>
      </c>
      <c r="C104" s="11" t="s">
        <v>580</v>
      </c>
      <c r="D104" s="189">
        <f t="shared" ref="D104:D106" si="97">SUM(E104:J104)</f>
        <v>84.800028700000013</v>
      </c>
      <c r="E104" s="189">
        <v>0</v>
      </c>
      <c r="F104" s="189">
        <v>48.7</v>
      </c>
      <c r="G104" s="189">
        <v>2.87E-5</v>
      </c>
      <c r="H104" s="189">
        <v>36.1</v>
      </c>
      <c r="K104" s="190"/>
      <c r="L104" s="134" t="s">
        <v>509</v>
      </c>
      <c r="M104" s="11" t="s">
        <v>31</v>
      </c>
      <c r="N104" s="185">
        <f t="shared" ref="N104:N106" si="98">E104/$D104</f>
        <v>0</v>
      </c>
      <c r="O104" s="185">
        <f t="shared" si="96"/>
        <v>0.57429225846476628</v>
      </c>
      <c r="P104" s="185">
        <f t="shared" si="96"/>
        <v>3.3844328168252136E-7</v>
      </c>
      <c r="Q104" s="185">
        <f t="shared" si="96"/>
        <v>0.42570740309195199</v>
      </c>
      <c r="S104" s="190"/>
    </row>
    <row r="105" spans="2:29" s="203" customFormat="1" ht="18" x14ac:dyDescent="0.25">
      <c r="B105" s="176" t="s">
        <v>510</v>
      </c>
      <c r="C105" s="165" t="s">
        <v>578</v>
      </c>
      <c r="D105" s="196">
        <f t="shared" si="97"/>
        <v>251.90000001830001</v>
      </c>
      <c r="E105" s="196">
        <v>0</v>
      </c>
      <c r="F105" s="196">
        <v>189</v>
      </c>
      <c r="G105" s="196">
        <v>1.8299999999999998E-8</v>
      </c>
      <c r="H105" s="196">
        <v>62.9</v>
      </c>
      <c r="I105" s="139"/>
      <c r="J105" s="139"/>
      <c r="K105" s="190"/>
      <c r="L105" s="176" t="s">
        <v>510</v>
      </c>
      <c r="M105" s="165" t="s">
        <v>31</v>
      </c>
      <c r="N105" s="202">
        <f t="shared" si="98"/>
        <v>0</v>
      </c>
      <c r="O105" s="202">
        <f t="shared" si="96"/>
        <v>0.75029773714279291</v>
      </c>
      <c r="P105" s="202">
        <f t="shared" si="96"/>
        <v>7.2647876136048196E-11</v>
      </c>
      <c r="Q105" s="202">
        <f t="shared" si="96"/>
        <v>0.24970226278455912</v>
      </c>
      <c r="R105" s="139"/>
      <c r="S105" s="190"/>
      <c r="AC105" s="204"/>
    </row>
    <row r="106" spans="2:29" x14ac:dyDescent="0.25">
      <c r="B106" s="134" t="s">
        <v>511</v>
      </c>
      <c r="C106" s="11" t="s">
        <v>517</v>
      </c>
      <c r="D106" s="189">
        <f t="shared" si="97"/>
        <v>4041.66</v>
      </c>
      <c r="E106" s="189">
        <v>0</v>
      </c>
      <c r="F106" s="189">
        <v>3010</v>
      </c>
      <c r="G106" s="189">
        <v>1.66</v>
      </c>
      <c r="H106" s="189">
        <v>1030</v>
      </c>
      <c r="K106" s="190"/>
      <c r="L106" s="134" t="s">
        <v>511</v>
      </c>
      <c r="M106" s="11" t="s">
        <v>31</v>
      </c>
      <c r="N106" s="185">
        <f t="shared" si="98"/>
        <v>0</v>
      </c>
      <c r="O106" s="185">
        <f t="shared" si="96"/>
        <v>0.74474349648411797</v>
      </c>
      <c r="P106" s="185">
        <f t="shared" si="96"/>
        <v>4.1072232696466306E-4</v>
      </c>
      <c r="Q106" s="185">
        <f t="shared" si="96"/>
        <v>0.25484578118891743</v>
      </c>
      <c r="S106" s="190"/>
    </row>
    <row r="108" spans="2:29" ht="17.25" x14ac:dyDescent="0.25">
      <c r="B108" s="319" t="s">
        <v>668</v>
      </c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</row>
    <row r="110" spans="2:29" ht="27.95" customHeight="1" x14ac:dyDescent="0.25">
      <c r="B110" s="167" t="s">
        <v>569</v>
      </c>
      <c r="C110" s="167" t="s">
        <v>365</v>
      </c>
      <c r="D110" s="167" t="s">
        <v>223</v>
      </c>
      <c r="E110" s="167" t="s">
        <v>494</v>
      </c>
      <c r="F110" s="167" t="s">
        <v>230</v>
      </c>
      <c r="G110" s="167" t="s">
        <v>570</v>
      </c>
      <c r="H110" s="167" t="s">
        <v>341</v>
      </c>
      <c r="I110" s="167" t="s">
        <v>571</v>
      </c>
      <c r="J110" s="167" t="s">
        <v>572</v>
      </c>
      <c r="L110" s="133" t="s">
        <v>569</v>
      </c>
      <c r="M110" s="133" t="s">
        <v>365</v>
      </c>
      <c r="N110" s="167" t="s">
        <v>494</v>
      </c>
      <c r="O110" s="167" t="s">
        <v>230</v>
      </c>
      <c r="P110" s="167" t="s">
        <v>570</v>
      </c>
      <c r="Q110" s="167" t="s">
        <v>341</v>
      </c>
      <c r="R110" s="167" t="s">
        <v>571</v>
      </c>
      <c r="S110" s="167" t="s">
        <v>572</v>
      </c>
    </row>
    <row r="111" spans="2:29" x14ac:dyDescent="0.25">
      <c r="B111" s="134" t="s">
        <v>508</v>
      </c>
      <c r="C111" s="11" t="s">
        <v>579</v>
      </c>
      <c r="D111" s="189">
        <f>SUM(E111:J111)</f>
        <v>4.9445970585699998E-5</v>
      </c>
      <c r="E111" s="189">
        <f>D119</f>
        <v>2.8094150000000006E-5</v>
      </c>
      <c r="F111" s="189">
        <v>1.8919999999999998E-5</v>
      </c>
      <c r="G111" s="189">
        <v>3.0855000000000001E-8</v>
      </c>
      <c r="H111" s="189">
        <v>5.5857000000000003E-12</v>
      </c>
      <c r="I111" s="189">
        <v>7.3875999999999998E-7</v>
      </c>
      <c r="J111" s="189">
        <v>1.6621999999999999E-6</v>
      </c>
      <c r="L111" s="134" t="s">
        <v>508</v>
      </c>
      <c r="M111" s="11" t="s">
        <v>31</v>
      </c>
      <c r="N111" s="185">
        <f t="shared" ref="N111:S114" si="99">E111/$D111</f>
        <v>0.56817875485540503</v>
      </c>
      <c r="O111" s="185">
        <f t="shared" si="99"/>
        <v>0.38263987491574791</v>
      </c>
      <c r="P111" s="185">
        <f t="shared" si="99"/>
        <v>6.2401444717364706E-4</v>
      </c>
      <c r="Q111" s="185">
        <f t="shared" si="99"/>
        <v>1.1296572670808105E-7</v>
      </c>
      <c r="R111" s="185">
        <f t="shared" si="99"/>
        <v>1.4940752325198623E-2</v>
      </c>
      <c r="S111" s="185">
        <f t="shared" si="99"/>
        <v>3.3616490490748212E-2</v>
      </c>
    </row>
    <row r="112" spans="2:29" ht="17.25" x14ac:dyDescent="0.25">
      <c r="B112" s="134" t="s">
        <v>509</v>
      </c>
      <c r="C112" s="11" t="s">
        <v>580</v>
      </c>
      <c r="D112" s="189">
        <f>SUM(E112:J112)</f>
        <v>16.048419245599998</v>
      </c>
      <c r="E112" s="189">
        <f t="shared" ref="E112:E114" si="100">D120</f>
        <v>10.140786219999999</v>
      </c>
      <c r="F112" s="189">
        <v>5.6318286000000004</v>
      </c>
      <c r="G112" s="189">
        <v>5.7965000000000002E-4</v>
      </c>
      <c r="H112" s="189">
        <v>8.5855999999999996E-6</v>
      </c>
      <c r="I112" s="189">
        <v>3.5666139999999999E-2</v>
      </c>
      <c r="J112" s="189">
        <v>0.23955004999999999</v>
      </c>
      <c r="L112" s="134" t="s">
        <v>509</v>
      </c>
      <c r="M112" s="11" t="s">
        <v>31</v>
      </c>
      <c r="N112" s="185">
        <f t="shared" si="99"/>
        <v>0.63188692074955</v>
      </c>
      <c r="O112" s="185">
        <f t="shared" si="99"/>
        <v>0.35092731027350754</v>
      </c>
      <c r="P112" s="185">
        <f t="shared" si="99"/>
        <v>3.6118822117569173E-5</v>
      </c>
      <c r="Q112" s="185">
        <f t="shared" si="99"/>
        <v>5.3498103885551947E-7</v>
      </c>
      <c r="R112" s="185">
        <f t="shared" si="99"/>
        <v>2.2224082916938127E-3</v>
      </c>
      <c r="S112" s="185">
        <f t="shared" si="99"/>
        <v>1.4926706882092298E-2</v>
      </c>
    </row>
    <row r="113" spans="2:29" s="203" customFormat="1" ht="18" x14ac:dyDescent="0.25">
      <c r="B113" s="176" t="s">
        <v>510</v>
      </c>
      <c r="C113" s="165" t="s">
        <v>578</v>
      </c>
      <c r="D113" s="196">
        <f>SUM(E113:J113)</f>
        <v>62.160403655482099</v>
      </c>
      <c r="E113" s="196">
        <f t="shared" si="100"/>
        <v>39.2628646</v>
      </c>
      <c r="F113" s="196">
        <v>13.9315973</v>
      </c>
      <c r="G113" s="196">
        <v>0.47771999999999998</v>
      </c>
      <c r="H113" s="196">
        <v>5.4821000000000003E-9</v>
      </c>
      <c r="I113" s="196">
        <v>6.7667284800000003</v>
      </c>
      <c r="J113" s="196">
        <v>1.7214932700000001</v>
      </c>
      <c r="K113" s="139"/>
      <c r="L113" s="176" t="s">
        <v>510</v>
      </c>
      <c r="M113" s="165" t="s">
        <v>31</v>
      </c>
      <c r="N113" s="202">
        <f t="shared" si="99"/>
        <v>0.63163786415562151</v>
      </c>
      <c r="O113" s="202">
        <f t="shared" si="99"/>
        <v>0.22412334027324698</v>
      </c>
      <c r="P113" s="202">
        <f t="shared" si="99"/>
        <v>7.6852782785600286E-3</v>
      </c>
      <c r="Q113" s="202">
        <f t="shared" si="99"/>
        <v>8.8192799235732091E-11</v>
      </c>
      <c r="R113" s="202">
        <f t="shared" si="99"/>
        <v>0.1088591463707978</v>
      </c>
      <c r="S113" s="202">
        <f t="shared" si="99"/>
        <v>2.7694370833580916E-2</v>
      </c>
      <c r="AC113" s="204"/>
    </row>
    <row r="114" spans="2:29" x14ac:dyDescent="0.25">
      <c r="B114" s="134" t="s">
        <v>511</v>
      </c>
      <c r="C114" s="11" t="s">
        <v>517</v>
      </c>
      <c r="D114" s="189">
        <f>SUM(E114:J114)</f>
        <v>992.92266051999991</v>
      </c>
      <c r="E114" s="189">
        <f t="shared" si="100"/>
        <v>675.84767459</v>
      </c>
      <c r="F114" s="189">
        <v>161.69332299999999</v>
      </c>
      <c r="G114" s="189">
        <v>5.5734000000000004</v>
      </c>
      <c r="H114" s="189">
        <v>0.49695222999999999</v>
      </c>
      <c r="I114" s="189">
        <v>114.233898</v>
      </c>
      <c r="J114" s="189">
        <v>35.077412699999996</v>
      </c>
      <c r="L114" s="134" t="s">
        <v>511</v>
      </c>
      <c r="M114" s="11" t="s">
        <v>31</v>
      </c>
      <c r="N114" s="185">
        <f t="shared" si="99"/>
        <v>0.68066497166662943</v>
      </c>
      <c r="O114" s="185">
        <f t="shared" si="99"/>
        <v>0.16284583828041568</v>
      </c>
      <c r="P114" s="185">
        <f t="shared" si="99"/>
        <v>5.6131259982335133E-3</v>
      </c>
      <c r="Q114" s="185">
        <f t="shared" si="99"/>
        <v>5.0049439876791906E-4</v>
      </c>
      <c r="R114" s="185">
        <f t="shared" si="99"/>
        <v>0.11504813269159854</v>
      </c>
      <c r="S114" s="185">
        <f t="shared" si="99"/>
        <v>3.5327436964355044E-2</v>
      </c>
    </row>
    <row r="116" spans="2:29" x14ac:dyDescent="0.25">
      <c r="B116" s="320" t="s">
        <v>669</v>
      </c>
      <c r="C116" s="321"/>
      <c r="D116" s="321"/>
      <c r="E116" s="321"/>
      <c r="F116" s="321"/>
      <c r="G116" s="321"/>
      <c r="H116" s="321"/>
      <c r="I116" s="321"/>
      <c r="J116" s="321"/>
      <c r="K116" s="322"/>
    </row>
    <row r="118" spans="2:29" ht="28.5" customHeight="1" x14ac:dyDescent="0.25">
      <c r="B118" s="167" t="s">
        <v>569</v>
      </c>
      <c r="C118" s="167" t="s">
        <v>365</v>
      </c>
      <c r="D118" s="167" t="s">
        <v>223</v>
      </c>
      <c r="E118" s="167" t="s">
        <v>493</v>
      </c>
      <c r="F118" s="167" t="s">
        <v>572</v>
      </c>
      <c r="H118" s="133" t="s">
        <v>569</v>
      </c>
      <c r="I118" s="133" t="s">
        <v>365</v>
      </c>
      <c r="J118" s="167" t="s">
        <v>493</v>
      </c>
      <c r="K118" s="167" t="s">
        <v>572</v>
      </c>
    </row>
    <row r="119" spans="2:29" x14ac:dyDescent="0.25">
      <c r="B119" s="134" t="s">
        <v>508</v>
      </c>
      <c r="C119" s="11" t="s">
        <v>579</v>
      </c>
      <c r="D119" s="189">
        <f>SUM(E119:F119)</f>
        <v>2.8094150000000006E-5</v>
      </c>
      <c r="E119" s="189">
        <f>D127</f>
        <v>2.7168290000000005E-5</v>
      </c>
      <c r="F119" s="189">
        <v>9.2585999999999995E-7</v>
      </c>
      <c r="H119" s="134" t="s">
        <v>508</v>
      </c>
      <c r="I119" s="11" t="s">
        <v>31</v>
      </c>
      <c r="J119" s="185">
        <f>E119/$D119</f>
        <v>0.96704438468506781</v>
      </c>
      <c r="K119" s="185">
        <f>F119/$D119</f>
        <v>3.2955615314932102E-2</v>
      </c>
    </row>
    <row r="120" spans="2:29" ht="17.25" x14ac:dyDescent="0.25">
      <c r="B120" s="134" t="s">
        <v>509</v>
      </c>
      <c r="C120" s="11" t="s">
        <v>580</v>
      </c>
      <c r="D120" s="189">
        <f t="shared" ref="D120:D122" si="101">SUM(E120:F120)</f>
        <v>10.140786219999999</v>
      </c>
      <c r="E120" s="189">
        <f t="shared" ref="E120:E122" si="102">D128</f>
        <v>10.007355009999999</v>
      </c>
      <c r="F120" s="189">
        <v>0.13343120999999999</v>
      </c>
      <c r="H120" s="134" t="s">
        <v>509</v>
      </c>
      <c r="I120" s="11" t="s">
        <v>31</v>
      </c>
      <c r="J120" s="185">
        <f t="shared" ref="J120:K122" si="103">E120/$D120</f>
        <v>0.98684212376582381</v>
      </c>
      <c r="K120" s="185">
        <f t="shared" si="103"/>
        <v>1.315787623417625E-2</v>
      </c>
    </row>
    <row r="121" spans="2:29" s="203" customFormat="1" ht="18" x14ac:dyDescent="0.25">
      <c r="B121" s="176" t="s">
        <v>510</v>
      </c>
      <c r="C121" s="165" t="s">
        <v>578</v>
      </c>
      <c r="D121" s="196">
        <f t="shared" si="101"/>
        <v>39.2628646</v>
      </c>
      <c r="E121" s="196">
        <f t="shared" si="102"/>
        <v>38.303979669999997</v>
      </c>
      <c r="F121" s="196">
        <v>0.95888492999999997</v>
      </c>
      <c r="H121" s="176" t="s">
        <v>510</v>
      </c>
      <c r="I121" s="165" t="s">
        <v>31</v>
      </c>
      <c r="J121" s="202">
        <f t="shared" si="103"/>
        <v>0.97557781532832921</v>
      </c>
      <c r="K121" s="202">
        <f t="shared" si="103"/>
        <v>2.4422184671670646E-2</v>
      </c>
      <c r="AC121" s="204"/>
    </row>
    <row r="122" spans="2:29" x14ac:dyDescent="0.25">
      <c r="B122" s="134" t="s">
        <v>511</v>
      </c>
      <c r="C122" s="11" t="s">
        <v>517</v>
      </c>
      <c r="D122" s="189">
        <f t="shared" si="101"/>
        <v>675.84767459</v>
      </c>
      <c r="E122" s="189">
        <f t="shared" si="102"/>
        <v>656.30928718999996</v>
      </c>
      <c r="F122" s="189">
        <v>19.538387400000001</v>
      </c>
      <c r="H122" s="134" t="s">
        <v>511</v>
      </c>
      <c r="I122" s="11" t="s">
        <v>31</v>
      </c>
      <c r="J122" s="185">
        <f t="shared" si="103"/>
        <v>0.97109054579221132</v>
      </c>
      <c r="K122" s="185">
        <f t="shared" si="103"/>
        <v>2.8909454207788579E-2</v>
      </c>
    </row>
    <row r="124" spans="2:29" x14ac:dyDescent="0.25">
      <c r="B124" s="319" t="s">
        <v>670</v>
      </c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6" spans="2:29" ht="28.5" customHeight="1" x14ac:dyDescent="0.25">
      <c r="B126" s="167" t="s">
        <v>569</v>
      </c>
      <c r="C126" s="167" t="s">
        <v>365</v>
      </c>
      <c r="D126" s="167" t="s">
        <v>223</v>
      </c>
      <c r="E126" s="167" t="s">
        <v>574</v>
      </c>
      <c r="F126" s="167" t="s">
        <v>572</v>
      </c>
      <c r="G126" s="167" t="s">
        <v>363</v>
      </c>
      <c r="I126" s="133" t="s">
        <v>569</v>
      </c>
      <c r="J126" s="133" t="s">
        <v>365</v>
      </c>
      <c r="K126" s="167" t="s">
        <v>574</v>
      </c>
      <c r="L126" s="167" t="s">
        <v>572</v>
      </c>
      <c r="M126" s="167" t="s">
        <v>363</v>
      </c>
    </row>
    <row r="127" spans="2:29" x14ac:dyDescent="0.25">
      <c r="B127" s="134" t="s">
        <v>508</v>
      </c>
      <c r="C127" s="11" t="s">
        <v>579</v>
      </c>
      <c r="D127" s="189">
        <f>SUM(E127:G127)</f>
        <v>2.7168290000000005E-5</v>
      </c>
      <c r="E127" s="189">
        <f>D135</f>
        <v>2.8782300000000004E-5</v>
      </c>
      <c r="F127" s="189">
        <v>8.8278999999999998E-7</v>
      </c>
      <c r="G127" s="189">
        <v>-2.4968E-6</v>
      </c>
      <c r="H127" s="190">
        <f>SUM(E127:F127)</f>
        <v>2.9665090000000004E-5</v>
      </c>
      <c r="I127" s="134" t="s">
        <v>508</v>
      </c>
      <c r="J127" s="11" t="s">
        <v>31</v>
      </c>
      <c r="K127" s="185">
        <f>E127/$H127</f>
        <v>0.97024145215807533</v>
      </c>
      <c r="L127" s="185">
        <f t="shared" ref="L127:M130" si="104">F127/$H127</f>
        <v>2.9758547841924627E-2</v>
      </c>
      <c r="M127" s="185">
        <f t="shared" si="104"/>
        <v>-8.4166270859114184E-2</v>
      </c>
    </row>
    <row r="128" spans="2:29" ht="17.25" x14ac:dyDescent="0.25">
      <c r="B128" s="134" t="s">
        <v>509</v>
      </c>
      <c r="C128" s="11" t="s">
        <v>580</v>
      </c>
      <c r="D128" s="189">
        <f t="shared" ref="D128:D130" si="105">SUM(E128:G128)</f>
        <v>10.007355009999999</v>
      </c>
      <c r="E128" s="189">
        <f t="shared" ref="E128:E130" si="106">D136</f>
        <v>10.01704571</v>
      </c>
      <c r="F128" s="189">
        <v>0.12722385</v>
      </c>
      <c r="G128" s="189">
        <v>-0.13691455</v>
      </c>
      <c r="H128" s="190">
        <f t="shared" ref="H128:H130" si="107">SUM(E128:F128)</f>
        <v>10.14426956</v>
      </c>
      <c r="I128" s="134" t="s">
        <v>509</v>
      </c>
      <c r="J128" s="11" t="s">
        <v>31</v>
      </c>
      <c r="K128" s="185">
        <f t="shared" ref="K128:K130" si="108">E128/$H128</f>
        <v>0.98745854994807536</v>
      </c>
      <c r="L128" s="185">
        <f t="shared" si="104"/>
        <v>1.2541450051924686E-2</v>
      </c>
      <c r="M128" s="185">
        <f t="shared" si="104"/>
        <v>-1.3496738152529929E-2</v>
      </c>
    </row>
    <row r="129" spans="2:29" s="203" customFormat="1" ht="18" x14ac:dyDescent="0.25">
      <c r="B129" s="176" t="s">
        <v>510</v>
      </c>
      <c r="C129" s="165" t="s">
        <v>578</v>
      </c>
      <c r="D129" s="196">
        <f t="shared" si="105"/>
        <v>38.303979669999997</v>
      </c>
      <c r="E129" s="196">
        <f t="shared" si="106"/>
        <v>38.732283359999997</v>
      </c>
      <c r="F129" s="196">
        <v>0.91427661000000005</v>
      </c>
      <c r="G129" s="196">
        <v>-1.3425803000000001</v>
      </c>
      <c r="H129" s="190">
        <f t="shared" si="107"/>
        <v>39.646559969999998</v>
      </c>
      <c r="I129" s="176" t="s">
        <v>510</v>
      </c>
      <c r="J129" s="165" t="s">
        <v>31</v>
      </c>
      <c r="K129" s="202">
        <f t="shared" si="108"/>
        <v>0.97693932056925437</v>
      </c>
      <c r="L129" s="202">
        <f t="shared" si="104"/>
        <v>2.3060679430745579E-2</v>
      </c>
      <c r="M129" s="202">
        <f t="shared" si="104"/>
        <v>-3.3863727420888771E-2</v>
      </c>
      <c r="AC129" s="204"/>
    </row>
    <row r="130" spans="2:29" x14ac:dyDescent="0.25">
      <c r="B130" s="134" t="s">
        <v>511</v>
      </c>
      <c r="C130" s="11" t="s">
        <v>517</v>
      </c>
      <c r="D130" s="189">
        <f t="shared" si="105"/>
        <v>656.30928718999996</v>
      </c>
      <c r="E130" s="189">
        <f t="shared" si="106"/>
        <v>655.30824978999999</v>
      </c>
      <c r="F130" s="189">
        <v>18.629441499999999</v>
      </c>
      <c r="G130" s="189">
        <v>-17.628404100000001</v>
      </c>
      <c r="H130" s="190">
        <f t="shared" si="107"/>
        <v>673.93769128999998</v>
      </c>
      <c r="I130" s="134" t="s">
        <v>511</v>
      </c>
      <c r="J130" s="11" t="s">
        <v>31</v>
      </c>
      <c r="K130" s="185">
        <f t="shared" si="108"/>
        <v>0.97235732362091076</v>
      </c>
      <c r="L130" s="185">
        <f t="shared" si="104"/>
        <v>2.7642676379089209E-2</v>
      </c>
      <c r="M130" s="185">
        <f t="shared" si="104"/>
        <v>-2.6157320369271909E-2</v>
      </c>
    </row>
    <row r="132" spans="2:29" x14ac:dyDescent="0.25">
      <c r="B132" s="319" t="s">
        <v>671</v>
      </c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4" spans="2:29" ht="27.95" customHeight="1" x14ac:dyDescent="0.25">
      <c r="B134" s="167" t="s">
        <v>569</v>
      </c>
      <c r="C134" s="167" t="s">
        <v>365</v>
      </c>
      <c r="D134" s="167" t="s">
        <v>223</v>
      </c>
      <c r="E134" s="167" t="s">
        <v>597</v>
      </c>
      <c r="F134" s="167" t="s">
        <v>575</v>
      </c>
      <c r="G134" s="167" t="s">
        <v>577</v>
      </c>
      <c r="H134" s="167" t="s">
        <v>217</v>
      </c>
      <c r="I134" s="167" t="s">
        <v>576</v>
      </c>
      <c r="J134" s="167" t="s">
        <v>572</v>
      </c>
      <c r="L134" s="133" t="s">
        <v>569</v>
      </c>
      <c r="M134" s="133" t="s">
        <v>365</v>
      </c>
      <c r="N134" s="167" t="s">
        <v>597</v>
      </c>
      <c r="O134" s="167" t="s">
        <v>575</v>
      </c>
      <c r="P134" s="167" t="s">
        <v>577</v>
      </c>
      <c r="Q134" s="167" t="s">
        <v>217</v>
      </c>
      <c r="R134" s="167" t="s">
        <v>576</v>
      </c>
      <c r="S134" s="167" t="s">
        <v>572</v>
      </c>
    </row>
    <row r="135" spans="2:29" x14ac:dyDescent="0.25">
      <c r="B135" s="134" t="s">
        <v>508</v>
      </c>
      <c r="C135" s="11" t="s">
        <v>579</v>
      </c>
      <c r="D135" s="189">
        <f>SUM(F135:J135)</f>
        <v>2.8782300000000004E-5</v>
      </c>
      <c r="E135" s="189">
        <v>0</v>
      </c>
      <c r="F135" s="189">
        <v>4.5199999999999999E-6</v>
      </c>
      <c r="G135" s="189">
        <v>9.9971999999999998E-6</v>
      </c>
      <c r="H135" s="189">
        <v>3.8708000000000003E-6</v>
      </c>
      <c r="I135" s="189">
        <v>8.3470000000000003E-7</v>
      </c>
      <c r="J135" s="189">
        <v>9.5596000000000008E-6</v>
      </c>
      <c r="L135" s="134" t="s">
        <v>508</v>
      </c>
      <c r="M135" s="11" t="s">
        <v>31</v>
      </c>
      <c r="N135" s="185">
        <f>E135/$D135</f>
        <v>0</v>
      </c>
      <c r="O135" s="185">
        <f t="shared" ref="O135:S135" si="109">F135/$D135</f>
        <v>0.15704095920061981</v>
      </c>
      <c r="P135" s="185">
        <f t="shared" si="109"/>
        <v>0.34733846843372485</v>
      </c>
      <c r="Q135" s="185">
        <f t="shared" si="109"/>
        <v>0.13448543028180512</v>
      </c>
      <c r="R135" s="185">
        <f t="shared" si="109"/>
        <v>2.9000462089548089E-2</v>
      </c>
      <c r="S135" s="185">
        <f t="shared" si="109"/>
        <v>0.33213467999430202</v>
      </c>
    </row>
    <row r="136" spans="2:29" ht="17.25" x14ac:dyDescent="0.25">
      <c r="B136" s="134" t="s">
        <v>509</v>
      </c>
      <c r="C136" s="11" t="s">
        <v>580</v>
      </c>
      <c r="D136" s="189">
        <f>SUM(F136:J136)</f>
        <v>10.01704571</v>
      </c>
      <c r="E136" s="189">
        <v>0</v>
      </c>
      <c r="F136" s="189">
        <v>5.01</v>
      </c>
      <c r="G136" s="189">
        <v>2.8065391499999999</v>
      </c>
      <c r="H136" s="189">
        <v>0.72199595000000005</v>
      </c>
      <c r="I136" s="189">
        <v>0.10082496000000001</v>
      </c>
      <c r="J136" s="189">
        <v>1.3776856500000001</v>
      </c>
      <c r="L136" s="134" t="s">
        <v>509</v>
      </c>
      <c r="M136" s="11" t="s">
        <v>31</v>
      </c>
      <c r="N136" s="185">
        <f t="shared" ref="N136:N138" si="110">E136/$D136</f>
        <v>0</v>
      </c>
      <c r="O136" s="185">
        <f t="shared" ref="O136:S138" si="111">F136/$D136</f>
        <v>0.50014746313861036</v>
      </c>
      <c r="P136" s="185">
        <f t="shared" si="111"/>
        <v>0.28017633454524787</v>
      </c>
      <c r="Q136" s="185">
        <f t="shared" si="111"/>
        <v>7.2076735087595017E-2</v>
      </c>
      <c r="R136" s="185">
        <f t="shared" si="111"/>
        <v>1.0065338915180013E-2</v>
      </c>
      <c r="S136" s="185">
        <f t="shared" si="111"/>
        <v>0.13753412831336678</v>
      </c>
    </row>
    <row r="137" spans="2:29" s="203" customFormat="1" ht="18" x14ac:dyDescent="0.25">
      <c r="B137" s="176" t="s">
        <v>510</v>
      </c>
      <c r="C137" s="165" t="s">
        <v>578</v>
      </c>
      <c r="D137" s="196">
        <f>SUM(F137:J137)</f>
        <v>38.732283359999997</v>
      </c>
      <c r="E137" s="200">
        <v>11.943894</v>
      </c>
      <c r="F137" s="196">
        <v>8.73</v>
      </c>
      <c r="G137" s="196">
        <v>16.076028999999998</v>
      </c>
      <c r="H137" s="196">
        <v>3.57763404</v>
      </c>
      <c r="I137" s="196">
        <v>0.448073</v>
      </c>
      <c r="J137" s="196">
        <v>9.9005473199999994</v>
      </c>
      <c r="L137" s="176" t="s">
        <v>510</v>
      </c>
      <c r="M137" s="165" t="s">
        <v>31</v>
      </c>
      <c r="N137" s="202">
        <f t="shared" si="110"/>
        <v>0.30837051069224652</v>
      </c>
      <c r="O137" s="202">
        <f t="shared" si="111"/>
        <v>0.22539337324521735</v>
      </c>
      <c r="P137" s="202">
        <f t="shared" si="111"/>
        <v>0.41505502917502152</v>
      </c>
      <c r="Q137" s="202">
        <f t="shared" si="111"/>
        <v>9.2368270849085318E-2</v>
      </c>
      <c r="R137" s="202">
        <f t="shared" si="111"/>
        <v>1.1568463336781703E-2</v>
      </c>
      <c r="S137" s="202">
        <f t="shared" si="111"/>
        <v>0.25561486339389417</v>
      </c>
      <c r="AC137" s="204"/>
    </row>
    <row r="138" spans="2:29" x14ac:dyDescent="0.25">
      <c r="B138" s="134" t="s">
        <v>511</v>
      </c>
      <c r="C138" s="11" t="s">
        <v>517</v>
      </c>
      <c r="D138" s="189">
        <f>SUM(F138:J138)</f>
        <v>655.30824978999999</v>
      </c>
      <c r="E138" s="189">
        <v>0</v>
      </c>
      <c r="F138" s="189">
        <v>144</v>
      </c>
      <c r="G138" s="189">
        <v>239.03432599999999</v>
      </c>
      <c r="H138" s="189">
        <v>63.748429700000003</v>
      </c>
      <c r="I138" s="189">
        <v>6.7904140899999996</v>
      </c>
      <c r="J138" s="189">
        <v>201.73508000000001</v>
      </c>
      <c r="L138" s="134" t="s">
        <v>511</v>
      </c>
      <c r="M138" s="11" t="s">
        <v>31</v>
      </c>
      <c r="N138" s="185">
        <f t="shared" si="110"/>
        <v>0</v>
      </c>
      <c r="O138" s="185">
        <f t="shared" si="111"/>
        <v>0.21974391448016445</v>
      </c>
      <c r="P138" s="185">
        <f t="shared" si="111"/>
        <v>0.36476623951644271</v>
      </c>
      <c r="Q138" s="185">
        <f t="shared" si="111"/>
        <v>9.7280065862788728E-2</v>
      </c>
      <c r="R138" s="185">
        <f t="shared" si="111"/>
        <v>1.0362167868596275E-2</v>
      </c>
      <c r="S138" s="185">
        <f t="shared" si="111"/>
        <v>0.30784761227200791</v>
      </c>
    </row>
    <row r="160" spans="7:8" x14ac:dyDescent="0.25">
      <c r="G160" s="223"/>
      <c r="H160" s="223"/>
    </row>
    <row r="161" spans="7:7" x14ac:dyDescent="0.25">
      <c r="G161" s="223"/>
    </row>
    <row r="162" spans="7:7" x14ac:dyDescent="0.25">
      <c r="G162" s="223"/>
    </row>
  </sheetData>
  <mergeCells count="52">
    <mergeCell ref="AM78:AM79"/>
    <mergeCell ref="AM69:AM70"/>
    <mergeCell ref="AE72:AE73"/>
    <mergeCell ref="AM72:AM73"/>
    <mergeCell ref="AE75:AE76"/>
    <mergeCell ref="AM75:AM76"/>
    <mergeCell ref="AM60:AM61"/>
    <mergeCell ref="AE63:AE64"/>
    <mergeCell ref="AM63:AM64"/>
    <mergeCell ref="AE66:AE67"/>
    <mergeCell ref="AM66:AM67"/>
    <mergeCell ref="AM51:AM52"/>
    <mergeCell ref="AE54:AE55"/>
    <mergeCell ref="AM54:AM55"/>
    <mergeCell ref="AE57:AE58"/>
    <mergeCell ref="AM57:AM58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AF2:AJ2"/>
    <mergeCell ref="B132:Q132"/>
    <mergeCell ref="B21:Y21"/>
    <mergeCell ref="B40:K40"/>
    <mergeCell ref="B59:M59"/>
    <mergeCell ref="B108:Y108"/>
    <mergeCell ref="B116:K116"/>
    <mergeCell ref="B124:M124"/>
    <mergeCell ref="B78:Q78"/>
    <mergeCell ref="B100:S100"/>
    <mergeCell ref="AF33:AJ33"/>
    <mergeCell ref="AE42:AE43"/>
    <mergeCell ref="AE51:AE52"/>
    <mergeCell ref="AE60:AE61"/>
    <mergeCell ref="AE69:AE70"/>
    <mergeCell ref="AE78:AE79"/>
    <mergeCell ref="B2:S2"/>
    <mergeCell ref="AE5:AE6"/>
    <mergeCell ref="AE8:AE9"/>
    <mergeCell ref="AE11:AE12"/>
    <mergeCell ref="AE14:AE15"/>
    <mergeCell ref="AN2:AQ2"/>
    <mergeCell ref="AM5:AM6"/>
    <mergeCell ref="AM8:AM9"/>
    <mergeCell ref="AM11:AM12"/>
    <mergeCell ref="AM14:AM15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45"/>
  <sheetViews>
    <sheetView topLeftCell="AD1" zoomScale="90" zoomScaleNormal="90" workbookViewId="0">
      <selection activeCell="AF5" sqref="AF5"/>
    </sheetView>
  </sheetViews>
  <sheetFormatPr defaultColWidth="10.85546875" defaultRowHeight="15" x14ac:dyDescent="0.25"/>
  <cols>
    <col min="1" max="1" width="10.85546875" style="139"/>
    <col min="2" max="2" width="20.7109375" style="139" bestFit="1" customWidth="1"/>
    <col min="3" max="3" width="12.140625" style="139" bestFit="1" customWidth="1"/>
    <col min="4" max="4" width="15" style="139" bestFit="1" customWidth="1"/>
    <col min="5" max="5" width="13.5703125" style="139" customWidth="1"/>
    <col min="6" max="6" width="14.28515625" style="139" customWidth="1"/>
    <col min="7" max="7" width="12.42578125" style="139" bestFit="1" customWidth="1"/>
    <col min="8" max="8" width="19.85546875" style="139" bestFit="1" customWidth="1"/>
    <col min="9" max="9" width="20.5703125" style="139" bestFit="1" customWidth="1"/>
    <col min="10" max="10" width="12.140625" style="139" customWidth="1"/>
    <col min="11" max="11" width="20.42578125" style="139" customWidth="1"/>
    <col min="12" max="12" width="22.140625" style="139" customWidth="1"/>
    <col min="13" max="13" width="10.85546875" style="139" customWidth="1"/>
    <col min="14" max="14" width="14.28515625" style="139" customWidth="1"/>
    <col min="15" max="15" width="19.85546875" style="139" customWidth="1"/>
    <col min="16" max="16" width="10.85546875" style="139" customWidth="1"/>
    <col min="17" max="17" width="13.140625" style="139" customWidth="1"/>
    <col min="18" max="18" width="13.5703125" style="139" customWidth="1"/>
    <col min="19" max="23" width="10.85546875" style="139" customWidth="1"/>
    <col min="24" max="24" width="13.28515625" style="139" customWidth="1"/>
    <col min="25" max="25" width="13.42578125" style="139" customWidth="1"/>
    <col min="26" max="26" width="10.85546875" style="139"/>
    <col min="27" max="27" width="15.5703125" style="139" bestFit="1" customWidth="1"/>
    <col min="28" max="29" width="10.85546875" style="139"/>
    <col min="30" max="30" width="10.85546875" style="208"/>
    <col min="31" max="31" width="17" style="139" customWidth="1"/>
    <col min="32" max="32" width="13.42578125" style="139" customWidth="1"/>
    <col min="33" max="33" width="14.140625" style="139" customWidth="1"/>
    <col min="34" max="34" width="13.140625" style="139" customWidth="1"/>
    <col min="35" max="38" width="10.85546875" style="139"/>
    <col min="39" max="39" width="15.5703125" style="139" bestFit="1" customWidth="1"/>
    <col min="40" max="40" width="11.85546875" style="139" customWidth="1"/>
    <col min="41" max="41" width="13.5703125" style="139" customWidth="1"/>
    <col min="42" max="16384" width="10.85546875" style="139"/>
  </cols>
  <sheetData>
    <row r="1" spans="1:44" ht="15.75" thickBot="1" x14ac:dyDescent="0.3">
      <c r="A1" s="187" t="s">
        <v>581</v>
      </c>
    </row>
    <row r="2" spans="1:44" ht="18" thickBot="1" x14ac:dyDescent="0.3">
      <c r="B2" s="319" t="s">
        <v>677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AF2" s="314" t="s">
        <v>658</v>
      </c>
      <c r="AG2" s="315"/>
      <c r="AH2" s="315"/>
      <c r="AI2" s="315"/>
      <c r="AJ2" s="316"/>
      <c r="AN2" s="314" t="s">
        <v>659</v>
      </c>
      <c r="AO2" s="315"/>
      <c r="AP2" s="315"/>
      <c r="AQ2" s="316"/>
    </row>
    <row r="4" spans="1:44" ht="30" customHeight="1" x14ac:dyDescent="0.25">
      <c r="B4" s="167" t="s">
        <v>569</v>
      </c>
      <c r="C4" s="167" t="s">
        <v>365</v>
      </c>
      <c r="D4" s="167" t="s">
        <v>596</v>
      </c>
      <c r="E4" s="167" t="s">
        <v>646</v>
      </c>
      <c r="F4" s="167" t="s">
        <v>492</v>
      </c>
      <c r="G4" s="167" t="s">
        <v>568</v>
      </c>
      <c r="H4" s="167" t="s">
        <v>573</v>
      </c>
      <c r="L4" s="167" t="s">
        <v>569</v>
      </c>
      <c r="M4" s="167" t="s">
        <v>365</v>
      </c>
      <c r="N4" s="167" t="s">
        <v>646</v>
      </c>
      <c r="O4" s="167" t="s">
        <v>492</v>
      </c>
      <c r="P4" s="167" t="s">
        <v>568</v>
      </c>
      <c r="Q4" s="167" t="s">
        <v>573</v>
      </c>
      <c r="AF4" s="167" t="s">
        <v>646</v>
      </c>
      <c r="AG4" s="167" t="s">
        <v>492</v>
      </c>
      <c r="AH4" s="167" t="s">
        <v>494</v>
      </c>
      <c r="AI4" s="167" t="s">
        <v>493</v>
      </c>
      <c r="AJ4" s="167" t="s">
        <v>597</v>
      </c>
      <c r="AM4" s="209" t="s">
        <v>611</v>
      </c>
      <c r="AN4" s="167" t="s">
        <v>492</v>
      </c>
      <c r="AO4" s="167" t="s">
        <v>494</v>
      </c>
      <c r="AP4" s="167" t="s">
        <v>493</v>
      </c>
      <c r="AQ4" s="167" t="s">
        <v>597</v>
      </c>
    </row>
    <row r="5" spans="1:44" ht="18" x14ac:dyDescent="0.25">
      <c r="B5" s="134" t="s">
        <v>495</v>
      </c>
      <c r="C5" s="11" t="s">
        <v>564</v>
      </c>
      <c r="D5" s="15">
        <f>SUM(E5:J5)</f>
        <v>3.3820000591000001</v>
      </c>
      <c r="E5" s="189">
        <v>0</v>
      </c>
      <c r="F5" s="189">
        <v>2.88</v>
      </c>
      <c r="G5" s="189">
        <v>5.91E-8</v>
      </c>
      <c r="H5" s="189">
        <v>0.502</v>
      </c>
      <c r="K5" s="190"/>
      <c r="L5" s="134" t="s">
        <v>495</v>
      </c>
      <c r="M5" s="11" t="s">
        <v>31</v>
      </c>
      <c r="N5" s="185">
        <f>E5/$D5</f>
        <v>0</v>
      </c>
      <c r="O5" s="185">
        <f t="shared" ref="O5:Q19" si="0">F5/$D5</f>
        <v>0.85156710516628742</v>
      </c>
      <c r="P5" s="185">
        <f t="shared" si="0"/>
        <v>1.7474866637266521E-8</v>
      </c>
      <c r="Q5" s="185">
        <f t="shared" si="0"/>
        <v>0.14843287735884592</v>
      </c>
      <c r="T5" s="207"/>
      <c r="AE5" s="317" t="s">
        <v>505</v>
      </c>
      <c r="AF5" s="189">
        <f>D105</f>
        <v>237.90000001830001</v>
      </c>
      <c r="AG5" s="189">
        <f>AN5*Calculations!$C$47</f>
        <v>175.11372553028386</v>
      </c>
      <c r="AH5" s="189">
        <f>AO5*Calculations!$C$47</f>
        <v>105.60316235380539</v>
      </c>
      <c r="AI5" s="189">
        <f>AP5*Calculations!$C$47</f>
        <v>102.69225424095796</v>
      </c>
      <c r="AJ5" s="189">
        <f>AQ5*Calculations!$C$47</f>
        <v>103.99246517761476</v>
      </c>
      <c r="AM5" s="317" t="s">
        <v>505</v>
      </c>
      <c r="AN5" s="15">
        <f>D113</f>
        <v>57.684374665482096</v>
      </c>
      <c r="AO5" s="15">
        <f>D121</f>
        <v>34.786835609999997</v>
      </c>
      <c r="AP5" s="15">
        <f>D129</f>
        <v>33.82795067</v>
      </c>
      <c r="AQ5" s="15">
        <f>D137</f>
        <v>34.25625436</v>
      </c>
    </row>
    <row r="6" spans="1:44" ht="18" x14ac:dyDescent="0.25">
      <c r="B6" s="134" t="s">
        <v>496</v>
      </c>
      <c r="C6" s="11" t="s">
        <v>564</v>
      </c>
      <c r="D6" s="15">
        <f t="shared" ref="D6:D19" si="1">SUM(E6:J6)</f>
        <v>6.1200012600000004</v>
      </c>
      <c r="E6" s="189">
        <v>0</v>
      </c>
      <c r="F6" s="189">
        <v>4.99</v>
      </c>
      <c r="G6" s="189">
        <v>1.26E-6</v>
      </c>
      <c r="H6" s="189">
        <v>1.1299999999999999</v>
      </c>
      <c r="K6" s="190"/>
      <c r="L6" s="134" t="s">
        <v>496</v>
      </c>
      <c r="M6" s="11" t="s">
        <v>31</v>
      </c>
      <c r="N6" s="185">
        <f t="shared" ref="N6:N19" si="2">E6/$D6</f>
        <v>0</v>
      </c>
      <c r="O6" s="185">
        <f t="shared" si="0"/>
        <v>0.8153593092560899</v>
      </c>
      <c r="P6" s="185">
        <f t="shared" si="0"/>
        <v>2.0588231055364194E-7</v>
      </c>
      <c r="Q6" s="185">
        <f t="shared" si="0"/>
        <v>0.18464048486159948</v>
      </c>
      <c r="T6" s="207"/>
      <c r="AE6" s="317"/>
      <c r="AF6" s="15">
        <f t="shared" ref="AF6:AI6" si="3">AF5-AG5</f>
        <v>62.786274488016147</v>
      </c>
      <c r="AG6" s="15">
        <f t="shared" si="3"/>
        <v>69.51056317647847</v>
      </c>
      <c r="AH6" s="15">
        <f t="shared" si="3"/>
        <v>2.910908112847423</v>
      </c>
      <c r="AI6" s="15">
        <f t="shared" si="3"/>
        <v>-1.3002109366567964</v>
      </c>
      <c r="AJ6" s="15">
        <f>AJ5-AK5</f>
        <v>103.99246517761476</v>
      </c>
      <c r="AM6" s="317"/>
      <c r="AN6" s="15">
        <f t="shared" ref="AN6:AP6" si="4">AN5-AO5</f>
        <v>22.897539055482099</v>
      </c>
      <c r="AO6" s="15">
        <f t="shared" si="4"/>
        <v>0.95888493999999724</v>
      </c>
      <c r="AP6" s="15">
        <f t="shared" si="4"/>
        <v>-0.4283036899999999</v>
      </c>
      <c r="AQ6" s="15">
        <f>AQ5-AR5</f>
        <v>34.25625436</v>
      </c>
    </row>
    <row r="7" spans="1:44" x14ac:dyDescent="0.25">
      <c r="B7" s="134" t="s">
        <v>497</v>
      </c>
      <c r="C7" s="11" t="s">
        <v>512</v>
      </c>
      <c r="D7" s="15">
        <f t="shared" si="1"/>
        <v>0.23070001699999998</v>
      </c>
      <c r="E7" s="189">
        <v>0</v>
      </c>
      <c r="F7" s="189">
        <v>0.191</v>
      </c>
      <c r="G7" s="189">
        <v>1.7E-8</v>
      </c>
      <c r="H7" s="189">
        <v>3.9699999999999999E-2</v>
      </c>
      <c r="K7" s="190"/>
      <c r="L7" s="134" t="s">
        <v>497</v>
      </c>
      <c r="M7" s="11" t="s">
        <v>31</v>
      </c>
      <c r="N7" s="185">
        <f t="shared" si="2"/>
        <v>0</v>
      </c>
      <c r="O7" s="185">
        <f t="shared" si="0"/>
        <v>0.8279149801709812</v>
      </c>
      <c r="P7" s="185">
        <f t="shared" si="0"/>
        <v>7.3688767868621363E-8</v>
      </c>
      <c r="Q7" s="185">
        <f t="shared" si="0"/>
        <v>0.17208494614025105</v>
      </c>
      <c r="T7" s="207"/>
      <c r="AE7" s="134" t="s">
        <v>598</v>
      </c>
      <c r="AF7" s="191">
        <f>AF6/$AF$5</f>
        <v>0.26391876621768151</v>
      </c>
      <c r="AG7" s="191">
        <f>AG6/$AF$5</f>
        <v>0.29218395616280579</v>
      </c>
      <c r="AH7" s="191">
        <f>AH6/$AF$5</f>
        <v>1.2235847467942441E-2</v>
      </c>
      <c r="AI7" s="191">
        <f>AI6/$AF$5</f>
        <v>-5.4653675349171085E-3</v>
      </c>
      <c r="AJ7" s="191">
        <f>AJ6/$AF$5</f>
        <v>0.43712679768648732</v>
      </c>
      <c r="AK7" s="192">
        <f>SUM(AF7:AJ7)</f>
        <v>1</v>
      </c>
      <c r="AM7" s="134" t="s">
        <v>598</v>
      </c>
      <c r="AN7" s="193">
        <f>AN6/$AN$5</f>
        <v>0.39694525923644652</v>
      </c>
      <c r="AO7" s="193">
        <f t="shared" ref="AO7:AQ7" si="5">AO6/$AN$5</f>
        <v>1.6622958046449744E-2</v>
      </c>
      <c r="AP7" s="193">
        <f t="shared" si="5"/>
        <v>-7.4249516005639163E-3</v>
      </c>
      <c r="AQ7" s="193">
        <f t="shared" si="5"/>
        <v>0.59385673431766761</v>
      </c>
      <c r="AR7" s="194">
        <f>SUM(AN7:AQ7)</f>
        <v>1</v>
      </c>
    </row>
    <row r="8" spans="1:44" x14ac:dyDescent="0.25">
      <c r="B8" s="134" t="s">
        <v>561</v>
      </c>
      <c r="C8" s="11" t="s">
        <v>513</v>
      </c>
      <c r="D8" s="15">
        <f t="shared" si="1"/>
        <v>4841.0115999999998</v>
      </c>
      <c r="E8" s="189">
        <v>0</v>
      </c>
      <c r="F8" s="189">
        <v>4310</v>
      </c>
      <c r="G8" s="189">
        <v>1.1599999999999999E-2</v>
      </c>
      <c r="H8" s="189">
        <v>531</v>
      </c>
      <c r="K8" s="190"/>
      <c r="L8" s="134" t="s">
        <v>561</v>
      </c>
      <c r="M8" s="11" t="s">
        <v>31</v>
      </c>
      <c r="N8" s="185">
        <f t="shared" si="2"/>
        <v>0</v>
      </c>
      <c r="O8" s="185">
        <f t="shared" si="0"/>
        <v>0.89030978566545893</v>
      </c>
      <c r="P8" s="185">
        <f t="shared" si="0"/>
        <v>2.3961933906541351E-6</v>
      </c>
      <c r="Q8" s="185">
        <f t="shared" si="0"/>
        <v>0.1096878181411505</v>
      </c>
      <c r="T8" s="207"/>
      <c r="AE8" s="317" t="s">
        <v>508</v>
      </c>
      <c r="AF8" s="189">
        <f>D103</f>
        <v>1.8950001869999999E-4</v>
      </c>
      <c r="AG8" s="189">
        <f>AN8*Calculations!$C$47</f>
        <v>1.5709488161092056E-4</v>
      </c>
      <c r="AH8" s="189">
        <f>AO8*Calculations!$C$47</f>
        <v>9.2276690007059406E-5</v>
      </c>
      <c r="AI8" s="189">
        <f>AP8*Calculations!$C$47</f>
        <v>8.9466036431291578E-5</v>
      </c>
      <c r="AJ8" s="189">
        <f>AQ8*Calculations!$C$47</f>
        <v>9.4365722104962585E-5</v>
      </c>
      <c r="AM8" s="317" t="s">
        <v>508</v>
      </c>
      <c r="AN8" s="189">
        <f>D111</f>
        <v>5.1748770585699993E-5</v>
      </c>
      <c r="AO8" s="189">
        <f>D119</f>
        <v>3.0396950000000004E-5</v>
      </c>
      <c r="AP8" s="189">
        <f>D127</f>
        <v>2.9471090000000002E-5</v>
      </c>
      <c r="AQ8" s="189">
        <f>D135</f>
        <v>3.1085100000000005E-5</v>
      </c>
    </row>
    <row r="9" spans="1:44" x14ac:dyDescent="0.25">
      <c r="B9" s="134" t="s">
        <v>498</v>
      </c>
      <c r="C9" s="11" t="s">
        <v>514</v>
      </c>
      <c r="D9" s="15">
        <f t="shared" si="1"/>
        <v>5.0700000000041998E-5</v>
      </c>
      <c r="E9" s="189">
        <v>0</v>
      </c>
      <c r="F9" s="189">
        <v>3.8999999999999999E-5</v>
      </c>
      <c r="G9" s="189">
        <v>4.1999999999999998E-17</v>
      </c>
      <c r="H9" s="189">
        <v>1.17E-5</v>
      </c>
      <c r="K9" s="190"/>
      <c r="L9" s="134" t="s">
        <v>498</v>
      </c>
      <c r="M9" s="11" t="s">
        <v>31</v>
      </c>
      <c r="N9" s="185">
        <f t="shared" si="2"/>
        <v>0</v>
      </c>
      <c r="O9" s="185">
        <f t="shared" si="0"/>
        <v>0.76923076923013201</v>
      </c>
      <c r="P9" s="185">
        <f t="shared" si="0"/>
        <v>8.2840236686321903E-13</v>
      </c>
      <c r="Q9" s="185">
        <f t="shared" si="0"/>
        <v>0.2307692307690396</v>
      </c>
      <c r="T9" s="207"/>
      <c r="AE9" s="317"/>
      <c r="AF9" s="189">
        <f t="shared" ref="AF9:AI9" si="6">AF8-AG8</f>
        <v>3.2405137089079426E-5</v>
      </c>
      <c r="AG9" s="189">
        <f t="shared" si="6"/>
        <v>6.4818191603861156E-5</v>
      </c>
      <c r="AH9" s="189">
        <f t="shared" si="6"/>
        <v>2.8106535757678285E-6</v>
      </c>
      <c r="AI9" s="189">
        <f t="shared" si="6"/>
        <v>-4.8996856736710075E-6</v>
      </c>
      <c r="AJ9" s="189">
        <f>AJ8-AK8</f>
        <v>9.4365722104962585E-5</v>
      </c>
      <c r="AM9" s="317"/>
      <c r="AN9" s="189">
        <f t="shared" ref="AN9:AP9" si="7">AN8-AO8</f>
        <v>2.1351820585699989E-5</v>
      </c>
      <c r="AO9" s="189">
        <f t="shared" si="7"/>
        <v>9.2586000000000133E-7</v>
      </c>
      <c r="AP9" s="189">
        <f t="shared" si="7"/>
        <v>-1.6140100000000025E-6</v>
      </c>
      <c r="AQ9" s="189">
        <f>AQ8-AR8</f>
        <v>3.1085100000000005E-5</v>
      </c>
    </row>
    <row r="10" spans="1:44" ht="18" x14ac:dyDescent="0.25">
      <c r="B10" s="134" t="s">
        <v>499</v>
      </c>
      <c r="C10" s="11" t="s">
        <v>565</v>
      </c>
      <c r="D10" s="15">
        <f t="shared" si="1"/>
        <v>9.4100298999999998E-2</v>
      </c>
      <c r="E10" s="189">
        <v>0</v>
      </c>
      <c r="F10" s="189">
        <v>6.5100000000000005E-2</v>
      </c>
      <c r="G10" s="189">
        <v>2.9900000000000002E-7</v>
      </c>
      <c r="H10" s="189">
        <v>2.9000000000000001E-2</v>
      </c>
      <c r="K10" s="190"/>
      <c r="L10" s="134" t="s">
        <v>499</v>
      </c>
      <c r="M10" s="11" t="s">
        <v>31</v>
      </c>
      <c r="N10" s="185">
        <f t="shared" si="2"/>
        <v>0</v>
      </c>
      <c r="O10" s="185">
        <f t="shared" si="0"/>
        <v>0.69181501750594865</v>
      </c>
      <c r="P10" s="185">
        <f t="shared" si="0"/>
        <v>3.1774606794820069E-6</v>
      </c>
      <c r="Q10" s="185">
        <f t="shared" si="0"/>
        <v>0.30818180503337189</v>
      </c>
      <c r="T10" s="207"/>
      <c r="AE10" s="134" t="s">
        <v>598</v>
      </c>
      <c r="AF10" s="191">
        <f>AF9/$AF$8</f>
        <v>0.17100334507291226</v>
      </c>
      <c r="AG10" s="191">
        <f>AG9/$AF$8</f>
        <v>0.34204847075226785</v>
      </c>
      <c r="AH10" s="191">
        <f>AH9/$AF$8</f>
        <v>1.4831943527232109E-2</v>
      </c>
      <c r="AI10" s="191">
        <f>AI9/$AF$8</f>
        <v>-2.5855858523305821E-2</v>
      </c>
      <c r="AJ10" s="191">
        <f>AJ9/$AF$8</f>
        <v>0.49797209917089358</v>
      </c>
      <c r="AK10" s="192">
        <f>SUM(AF10:AJ10)</f>
        <v>1</v>
      </c>
      <c r="AM10" s="134" t="s">
        <v>598</v>
      </c>
      <c r="AN10" s="193">
        <f>AN9/$AN$8</f>
        <v>0.41260536905586409</v>
      </c>
      <c r="AO10" s="193">
        <f t="shared" ref="AO10:AQ10" si="8">AO9/$AN$8</f>
        <v>1.789143953606985E-2</v>
      </c>
      <c r="AP10" s="193">
        <f t="shared" si="8"/>
        <v>-3.1189339992668548E-2</v>
      </c>
      <c r="AQ10" s="193">
        <f t="shared" si="8"/>
        <v>0.60069253140073464</v>
      </c>
      <c r="AR10" s="194">
        <f>SUM(AN10:AQ10)</f>
        <v>1</v>
      </c>
    </row>
    <row r="11" spans="1:44" x14ac:dyDescent="0.25">
      <c r="B11" s="134" t="s">
        <v>500</v>
      </c>
      <c r="C11" s="11" t="s">
        <v>515</v>
      </c>
      <c r="D11" s="15">
        <f t="shared" si="1"/>
        <v>19480.539000000001</v>
      </c>
      <c r="E11" s="189">
        <v>0</v>
      </c>
      <c r="F11" s="189">
        <v>13900</v>
      </c>
      <c r="G11" s="189">
        <v>0.53900000000000003</v>
      </c>
      <c r="H11" s="189">
        <v>5580</v>
      </c>
      <c r="K11" s="190"/>
      <c r="L11" s="134" t="s">
        <v>500</v>
      </c>
      <c r="M11" s="11" t="s">
        <v>31</v>
      </c>
      <c r="N11" s="185">
        <f t="shared" si="2"/>
        <v>0</v>
      </c>
      <c r="O11" s="185">
        <f t="shared" si="0"/>
        <v>0.71353261837364967</v>
      </c>
      <c r="P11" s="185">
        <f t="shared" si="0"/>
        <v>2.7668638942690447E-5</v>
      </c>
      <c r="Q11" s="185">
        <f t="shared" si="0"/>
        <v>0.28643971298740756</v>
      </c>
      <c r="T11" s="207"/>
      <c r="AE11" s="318" t="s">
        <v>509</v>
      </c>
      <c r="AF11" s="189">
        <f>D104</f>
        <v>86.800028700000013</v>
      </c>
      <c r="AG11" s="189">
        <f>AN11*Calculations!$C$47</f>
        <v>50.702264874312142</v>
      </c>
      <c r="AH11" s="189">
        <f>AO11*Calculations!$C$47</f>
        <v>32.768333329996338</v>
      </c>
      <c r="AI11" s="189">
        <f>AP11*Calculations!$C$47</f>
        <v>32.363273269614069</v>
      </c>
      <c r="AJ11" s="189">
        <f>AQ11*Calculations!$C$47</f>
        <v>32.392691540850208</v>
      </c>
      <c r="AM11" s="318" t="s">
        <v>509</v>
      </c>
      <c r="AN11" s="15">
        <f>D112</f>
        <v>16.701880075599995</v>
      </c>
      <c r="AO11" s="15">
        <f>D120</f>
        <v>10.794247059999998</v>
      </c>
      <c r="AP11" s="15">
        <f>D128</f>
        <v>10.660815849999999</v>
      </c>
      <c r="AQ11" s="15">
        <f>D136</f>
        <v>10.670506549999999</v>
      </c>
    </row>
    <row r="12" spans="1:44" x14ac:dyDescent="0.25">
      <c r="B12" s="134" t="s">
        <v>562</v>
      </c>
      <c r="C12" s="11" t="s">
        <v>516</v>
      </c>
      <c r="D12" s="15">
        <f t="shared" si="1"/>
        <v>8920.0001140000004</v>
      </c>
      <c r="E12" s="189">
        <v>0</v>
      </c>
      <c r="F12" s="189">
        <v>4790</v>
      </c>
      <c r="G12" s="189">
        <v>1.1400000000000001E-4</v>
      </c>
      <c r="H12" s="189">
        <v>4130</v>
      </c>
      <c r="K12" s="190"/>
      <c r="L12" s="134" t="s">
        <v>562</v>
      </c>
      <c r="M12" s="11" t="s">
        <v>31</v>
      </c>
      <c r="N12" s="185">
        <f t="shared" si="2"/>
        <v>0</v>
      </c>
      <c r="O12" s="185">
        <f t="shared" si="0"/>
        <v>0.53699550883212011</v>
      </c>
      <c r="P12" s="185">
        <f t="shared" si="0"/>
        <v>1.2780268894960689E-8</v>
      </c>
      <c r="Q12" s="185">
        <f t="shared" si="0"/>
        <v>0.46300447838761088</v>
      </c>
      <c r="T12" s="207"/>
      <c r="AE12" s="318"/>
      <c r="AF12" s="15">
        <f t="shared" ref="AF12:AI12" si="9">AF11-AG11</f>
        <v>36.097763825687871</v>
      </c>
      <c r="AG12" s="15">
        <f t="shared" si="9"/>
        <v>17.933931544315804</v>
      </c>
      <c r="AH12" s="15">
        <f t="shared" si="9"/>
        <v>0.40506006038226872</v>
      </c>
      <c r="AI12" s="15">
        <f t="shared" si="9"/>
        <v>-2.9418271236139049E-2</v>
      </c>
      <c r="AJ12" s="15">
        <f>AJ11-AK11</f>
        <v>32.392691540850208</v>
      </c>
      <c r="AM12" s="318"/>
      <c r="AN12" s="15">
        <f t="shared" ref="AN12:AP12" si="10">AN11-AO11</f>
        <v>5.9076330155999965</v>
      </c>
      <c r="AO12" s="15">
        <f t="shared" si="10"/>
        <v>0.13343120999999947</v>
      </c>
      <c r="AP12" s="15">
        <f t="shared" si="10"/>
        <v>-9.6907000000001631E-3</v>
      </c>
      <c r="AQ12" s="15">
        <f>AQ11-AR11</f>
        <v>10.670506549999999</v>
      </c>
    </row>
    <row r="13" spans="1:44" ht="18" x14ac:dyDescent="0.25">
      <c r="B13" s="134" t="s">
        <v>501</v>
      </c>
      <c r="C13" s="11" t="s">
        <v>566</v>
      </c>
      <c r="D13" s="15">
        <f t="shared" si="1"/>
        <v>3.6170007329999998</v>
      </c>
      <c r="E13" s="189">
        <v>0</v>
      </c>
      <c r="F13" s="189">
        <v>3.06</v>
      </c>
      <c r="G13" s="189">
        <v>7.3300000000000001E-7</v>
      </c>
      <c r="H13" s="189">
        <v>0.55700000000000005</v>
      </c>
      <c r="K13" s="190"/>
      <c r="L13" s="134" t="s">
        <v>501</v>
      </c>
      <c r="M13" s="11" t="s">
        <v>31</v>
      </c>
      <c r="N13" s="185">
        <f t="shared" si="2"/>
        <v>0</v>
      </c>
      <c r="O13" s="185">
        <f t="shared" si="0"/>
        <v>0.84600480505349129</v>
      </c>
      <c r="P13" s="185">
        <f t="shared" si="0"/>
        <v>2.0265409219091802E-7</v>
      </c>
      <c r="Q13" s="185">
        <f t="shared" si="0"/>
        <v>0.15399499229241656</v>
      </c>
      <c r="T13" s="207"/>
      <c r="AE13" s="134" t="s">
        <v>598</v>
      </c>
      <c r="AF13" s="191">
        <f>AF12/$AF$11</f>
        <v>0.41587271762835104</v>
      </c>
      <c r="AG13" s="191">
        <f>AG12/$AF$11</f>
        <v>0.20661204625057689</v>
      </c>
      <c r="AH13" s="191">
        <f>AH12/$AF$11</f>
        <v>4.6665890144143313E-3</v>
      </c>
      <c r="AI13" s="191">
        <f>AI12/$AF$11</f>
        <v>-3.3892006346927675E-4</v>
      </c>
      <c r="AJ13" s="191">
        <f>AJ12/$AF$11</f>
        <v>0.37318756717012702</v>
      </c>
      <c r="AK13" s="192">
        <f>SUM(AF13:AJ13)</f>
        <v>1</v>
      </c>
      <c r="AM13" s="134" t="s">
        <v>598</v>
      </c>
      <c r="AN13" s="193">
        <f>AN12/$AN$11</f>
        <v>0.35371065945028179</v>
      </c>
      <c r="AO13" s="193">
        <f t="shared" ref="AO13:AQ13" si="11">AO12/$AN$11</f>
        <v>7.9889934184673578E-3</v>
      </c>
      <c r="AP13" s="193">
        <f t="shared" si="11"/>
        <v>-5.8021611675666623E-4</v>
      </c>
      <c r="AQ13" s="193">
        <f t="shared" si="11"/>
        <v>0.63888056324800746</v>
      </c>
      <c r="AR13" s="194">
        <f>SUM(AN13:AQ13)</f>
        <v>1</v>
      </c>
    </row>
    <row r="14" spans="1:44" x14ac:dyDescent="0.25">
      <c r="B14" s="134" t="s">
        <v>502</v>
      </c>
      <c r="C14" s="11" t="s">
        <v>563</v>
      </c>
      <c r="D14" s="15">
        <f t="shared" si="1"/>
        <v>10.48</v>
      </c>
      <c r="E14" s="189">
        <v>0</v>
      </c>
      <c r="F14" s="189">
        <v>8.17</v>
      </c>
      <c r="G14" s="189">
        <v>0</v>
      </c>
      <c r="H14" s="189">
        <v>2.31</v>
      </c>
      <c r="K14" s="190"/>
      <c r="L14" s="134" t="s">
        <v>502</v>
      </c>
      <c r="M14" s="11" t="s">
        <v>31</v>
      </c>
      <c r="N14" s="185">
        <f t="shared" si="2"/>
        <v>0</v>
      </c>
      <c r="O14" s="185">
        <f t="shared" si="0"/>
        <v>0.77958015267175573</v>
      </c>
      <c r="P14" s="185">
        <f t="shared" si="0"/>
        <v>0</v>
      </c>
      <c r="Q14" s="185">
        <f t="shared" si="0"/>
        <v>0.22041984732824427</v>
      </c>
      <c r="T14" s="207"/>
      <c r="AE14" s="317" t="s">
        <v>511</v>
      </c>
      <c r="AF14" s="189">
        <f>D106</f>
        <v>5481.66</v>
      </c>
      <c r="AG14" s="189">
        <f>AN14*Calculations!$C$47</f>
        <v>4446.9937592677288</v>
      </c>
      <c r="AH14" s="189">
        <f>AO14*Calculations!$C$47</f>
        <v>3484.4422468665507</v>
      </c>
      <c r="AI14" s="189">
        <f>AP14*Calculations!$C$47</f>
        <v>3425.1291336823997</v>
      </c>
      <c r="AJ14" s="189">
        <f>AQ14*Calculations!$C$47</f>
        <v>3422.0902624191549</v>
      </c>
      <c r="AM14" s="317" t="s">
        <v>511</v>
      </c>
      <c r="AN14" s="15">
        <f>D114</f>
        <v>1464.8883368100001</v>
      </c>
      <c r="AO14" s="15">
        <f>D122</f>
        <v>1147.8133507800001</v>
      </c>
      <c r="AP14" s="15">
        <f>D130</f>
        <v>1128.27496318</v>
      </c>
      <c r="AQ14" s="15">
        <f>D138</f>
        <v>1127.2739257799999</v>
      </c>
    </row>
    <row r="15" spans="1:44" ht="18" x14ac:dyDescent="0.25">
      <c r="B15" s="134" t="s">
        <v>503</v>
      </c>
      <c r="C15" s="11" t="s">
        <v>566</v>
      </c>
      <c r="D15" s="15">
        <f t="shared" si="1"/>
        <v>1.2250026200000002</v>
      </c>
      <c r="E15" s="189">
        <v>0</v>
      </c>
      <c r="F15" s="189">
        <v>1.07</v>
      </c>
      <c r="G15" s="189">
        <v>2.6199999999999999E-6</v>
      </c>
      <c r="H15" s="189">
        <v>0.155</v>
      </c>
      <c r="K15" s="190"/>
      <c r="L15" s="134" t="s">
        <v>503</v>
      </c>
      <c r="M15" s="11" t="s">
        <v>31</v>
      </c>
      <c r="N15" s="185">
        <f t="shared" si="2"/>
        <v>0</v>
      </c>
      <c r="O15" s="185">
        <f t="shared" si="0"/>
        <v>0.87346751960416213</v>
      </c>
      <c r="P15" s="185">
        <f t="shared" si="0"/>
        <v>2.1387709358531819E-6</v>
      </c>
      <c r="Q15" s="185">
        <f t="shared" si="0"/>
        <v>0.12653034162490198</v>
      </c>
      <c r="T15" s="207"/>
      <c r="AE15" s="317"/>
      <c r="AF15" s="15">
        <f t="shared" ref="AF15:AI15" si="12">AF14-AG14</f>
        <v>1034.666240732271</v>
      </c>
      <c r="AG15" s="15">
        <f t="shared" si="12"/>
        <v>962.55151240117812</v>
      </c>
      <c r="AH15" s="15">
        <f t="shared" si="12"/>
        <v>59.313113184151007</v>
      </c>
      <c r="AI15" s="15">
        <f t="shared" si="12"/>
        <v>3.0388712632448005</v>
      </c>
      <c r="AJ15" s="15">
        <f>AJ14-AK14</f>
        <v>3422.0902624191549</v>
      </c>
      <c r="AM15" s="317"/>
      <c r="AN15" s="15">
        <f t="shared" ref="AN15:AP15" si="13">AN14-AO14</f>
        <v>317.07498602999999</v>
      </c>
      <c r="AO15" s="15">
        <f t="shared" si="13"/>
        <v>19.538387600000078</v>
      </c>
      <c r="AP15" s="15">
        <f t="shared" si="13"/>
        <v>1.0010374000000866</v>
      </c>
      <c r="AQ15" s="15">
        <f>AQ14-AR14</f>
        <v>1127.2739257799999</v>
      </c>
    </row>
    <row r="16" spans="1:44" ht="18" x14ac:dyDescent="0.25">
      <c r="B16" s="134" t="s">
        <v>504</v>
      </c>
      <c r="C16" s="11" t="s">
        <v>567</v>
      </c>
      <c r="D16" s="15">
        <f t="shared" si="1"/>
        <v>0.10374</v>
      </c>
      <c r="E16" s="189">
        <v>0</v>
      </c>
      <c r="F16" s="189">
        <v>9.6000000000000002E-2</v>
      </c>
      <c r="G16" s="189">
        <v>0</v>
      </c>
      <c r="H16" s="189">
        <v>7.7400000000000004E-3</v>
      </c>
      <c r="K16" s="190"/>
      <c r="L16" s="134" t="s">
        <v>504</v>
      </c>
      <c r="M16" s="11" t="s">
        <v>31</v>
      </c>
      <c r="N16" s="185">
        <f t="shared" si="2"/>
        <v>0</v>
      </c>
      <c r="O16" s="185">
        <f t="shared" si="0"/>
        <v>0.92539039907460963</v>
      </c>
      <c r="P16" s="185">
        <f t="shared" si="0"/>
        <v>0</v>
      </c>
      <c r="Q16" s="185">
        <f t="shared" si="0"/>
        <v>7.4609600925390401E-2</v>
      </c>
      <c r="T16" s="207"/>
      <c r="AE16" s="134" t="s">
        <v>598</v>
      </c>
      <c r="AF16" s="191">
        <f>AF15/$AF$14</f>
        <v>0.18875053190680763</v>
      </c>
      <c r="AG16" s="191">
        <f>AG15/$AF$14</f>
        <v>0.17559489505025452</v>
      </c>
      <c r="AH16" s="191">
        <f>AH15/$AF$14</f>
        <v>1.0820283123023137E-2</v>
      </c>
      <c r="AI16" s="191">
        <f>AI15/$AF$14</f>
        <v>5.5437062190008145E-4</v>
      </c>
      <c r="AJ16" s="191">
        <f>AJ15/$AF$14</f>
        <v>0.62427991929801463</v>
      </c>
      <c r="AK16" s="192">
        <f>SUM(AF16:AJ16)</f>
        <v>1</v>
      </c>
      <c r="AM16" s="134" t="s">
        <v>598</v>
      </c>
      <c r="AN16" s="193">
        <f>AN15/$AN$14</f>
        <v>0.21644993550871958</v>
      </c>
      <c r="AO16" s="193">
        <f t="shared" ref="AO16:AQ16" si="14">AO15/$AN$14</f>
        <v>1.3337799959925723E-2</v>
      </c>
      <c r="AP16" s="193">
        <f t="shared" si="14"/>
        <v>6.8335406518423513E-4</v>
      </c>
      <c r="AQ16" s="193">
        <f t="shared" si="14"/>
        <v>0.76952891046617045</v>
      </c>
      <c r="AR16" s="194">
        <f>SUM(AN16:AQ16)</f>
        <v>1</v>
      </c>
    </row>
    <row r="17" spans="2:45" ht="18" x14ac:dyDescent="0.25">
      <c r="B17" s="176" t="s">
        <v>505</v>
      </c>
      <c r="C17" s="165" t="s">
        <v>578</v>
      </c>
      <c r="D17" s="195">
        <f t="shared" si="1"/>
        <v>237.90000001830001</v>
      </c>
      <c r="E17" s="196">
        <v>0</v>
      </c>
      <c r="F17" s="196">
        <v>175</v>
      </c>
      <c r="G17" s="196">
        <v>1.8299999999999998E-8</v>
      </c>
      <c r="H17" s="196">
        <v>62.9</v>
      </c>
      <c r="K17" s="190"/>
      <c r="L17" s="197" t="s">
        <v>505</v>
      </c>
      <c r="M17" s="198" t="s">
        <v>31</v>
      </c>
      <c r="N17" s="199">
        <f t="shared" si="2"/>
        <v>0</v>
      </c>
      <c r="O17" s="199">
        <f t="shared" si="0"/>
        <v>0.73560319456300316</v>
      </c>
      <c r="P17" s="199">
        <f t="shared" si="0"/>
        <v>7.6923076917159752E-11</v>
      </c>
      <c r="Q17" s="199">
        <f t="shared" si="0"/>
        <v>0.26439680536007371</v>
      </c>
      <c r="T17" s="207"/>
    </row>
    <row r="18" spans="2:45" x14ac:dyDescent="0.25">
      <c r="B18" s="134" t="s">
        <v>506</v>
      </c>
      <c r="C18" s="11" t="s">
        <v>517</v>
      </c>
      <c r="D18" s="15">
        <f t="shared" si="1"/>
        <v>5471.57</v>
      </c>
      <c r="E18" s="189">
        <v>0</v>
      </c>
      <c r="F18" s="189">
        <v>4440</v>
      </c>
      <c r="G18" s="189">
        <v>1.57</v>
      </c>
      <c r="H18" s="189">
        <v>1030</v>
      </c>
      <c r="K18" s="190"/>
      <c r="L18" s="134" t="s">
        <v>506</v>
      </c>
      <c r="M18" s="11" t="s">
        <v>31</v>
      </c>
      <c r="N18" s="185">
        <f t="shared" si="2"/>
        <v>0</v>
      </c>
      <c r="O18" s="185">
        <f t="shared" si="0"/>
        <v>0.81146727538896524</v>
      </c>
      <c r="P18" s="185">
        <f t="shared" si="0"/>
        <v>2.869377527839359E-4</v>
      </c>
      <c r="Q18" s="185">
        <f t="shared" si="0"/>
        <v>0.18824578685825094</v>
      </c>
      <c r="T18" s="207"/>
    </row>
    <row r="19" spans="2:45" x14ac:dyDescent="0.25">
      <c r="B19" s="134" t="s">
        <v>507</v>
      </c>
      <c r="C19" s="11" t="s">
        <v>518</v>
      </c>
      <c r="D19" s="15">
        <f t="shared" si="1"/>
        <v>8.3330000000000002</v>
      </c>
      <c r="E19" s="189">
        <v>0</v>
      </c>
      <c r="F19" s="189">
        <v>6.96</v>
      </c>
      <c r="G19" s="189">
        <v>9.2999999999999999E-2</v>
      </c>
      <c r="H19" s="189">
        <v>1.28</v>
      </c>
      <c r="K19" s="190"/>
      <c r="L19" s="134" t="s">
        <v>507</v>
      </c>
      <c r="M19" s="11" t="s">
        <v>31</v>
      </c>
      <c r="N19" s="185">
        <f t="shared" si="2"/>
        <v>0</v>
      </c>
      <c r="O19" s="185">
        <f t="shared" si="0"/>
        <v>0.83523340933637347</v>
      </c>
      <c r="P19" s="185">
        <f t="shared" si="0"/>
        <v>1.1160446417856714E-2</v>
      </c>
      <c r="Q19" s="185">
        <f t="shared" si="0"/>
        <v>0.15360614424576982</v>
      </c>
      <c r="T19" s="207"/>
    </row>
    <row r="21" spans="2:45" ht="17.25" x14ac:dyDescent="0.25">
      <c r="B21" s="319" t="s">
        <v>673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3" spans="2:45" ht="30.95" customHeight="1" x14ac:dyDescent="0.25">
      <c r="B23" s="167" t="s">
        <v>569</v>
      </c>
      <c r="C23" s="167" t="s">
        <v>365</v>
      </c>
      <c r="D23" s="167" t="s">
        <v>223</v>
      </c>
      <c r="E23" s="167" t="s">
        <v>494</v>
      </c>
      <c r="F23" s="167" t="s">
        <v>230</v>
      </c>
      <c r="G23" s="167" t="s">
        <v>570</v>
      </c>
      <c r="H23" s="167" t="s">
        <v>341</v>
      </c>
      <c r="I23" s="167" t="s">
        <v>571</v>
      </c>
      <c r="J23" s="167" t="s">
        <v>572</v>
      </c>
      <c r="L23" s="133" t="s">
        <v>569</v>
      </c>
      <c r="M23" s="133" t="s">
        <v>365</v>
      </c>
      <c r="N23" s="167" t="s">
        <v>494</v>
      </c>
      <c r="O23" s="167" t="s">
        <v>230</v>
      </c>
      <c r="P23" s="167" t="s">
        <v>570</v>
      </c>
      <c r="Q23" s="167" t="s">
        <v>341</v>
      </c>
      <c r="R23" s="167" t="s">
        <v>571</v>
      </c>
      <c r="S23" s="167" t="s">
        <v>572</v>
      </c>
    </row>
    <row r="24" spans="2:45" ht="18" x14ac:dyDescent="0.25">
      <c r="B24" s="134" t="s">
        <v>495</v>
      </c>
      <c r="C24" s="11" t="s">
        <v>564</v>
      </c>
      <c r="D24" s="15">
        <f>SUM(E24:J24)</f>
        <v>0.94753889765799981</v>
      </c>
      <c r="E24" s="189">
        <f>D43</f>
        <v>0.66856399999999994</v>
      </c>
      <c r="F24" s="189">
        <v>0.25269651999999998</v>
      </c>
      <c r="G24" s="189">
        <v>0</v>
      </c>
      <c r="H24" s="189">
        <v>1.7657999999999998E-8</v>
      </c>
      <c r="I24" s="189">
        <v>1.3855000000000001E-4</v>
      </c>
      <c r="J24" s="189">
        <v>2.6139809999999999E-2</v>
      </c>
      <c r="L24" s="134" t="s">
        <v>495</v>
      </c>
      <c r="M24" s="11" t="s">
        <v>31</v>
      </c>
      <c r="N24" s="185">
        <f>E24/$D24</f>
        <v>0.70557947716180014</v>
      </c>
      <c r="O24" s="185">
        <f t="shared" ref="O24:S38" si="15">F24/$D24</f>
        <v>0.2666872258485446</v>
      </c>
      <c r="P24" s="185">
        <f t="shared" si="15"/>
        <v>0</v>
      </c>
      <c r="Q24" s="185">
        <f t="shared" si="15"/>
        <v>1.8635646561470654E-8</v>
      </c>
      <c r="R24" s="185">
        <f t="shared" si="15"/>
        <v>1.4622091013091854E-4</v>
      </c>
      <c r="S24" s="185">
        <f t="shared" si="15"/>
        <v>2.7587057443877915E-2</v>
      </c>
      <c r="T24" s="207"/>
    </row>
    <row r="25" spans="2:45" ht="18" x14ac:dyDescent="0.25">
      <c r="B25" s="134" t="s">
        <v>496</v>
      </c>
      <c r="C25" s="11" t="s">
        <v>564</v>
      </c>
      <c r="D25" s="15">
        <f t="shared" ref="D25:D38" si="16">SUM(E25:J25)</f>
        <v>1.6425472581699998</v>
      </c>
      <c r="E25" s="189">
        <f t="shared" ref="E25:E38" si="17">D44</f>
        <v>0.50289024000000004</v>
      </c>
      <c r="F25" s="189">
        <v>1.1292310299999999</v>
      </c>
      <c r="G25" s="189">
        <v>0</v>
      </c>
      <c r="H25" s="189">
        <v>3.7817E-7</v>
      </c>
      <c r="I25" s="189">
        <v>5.6085E-4</v>
      </c>
      <c r="J25" s="189">
        <v>9.8647600000000002E-3</v>
      </c>
      <c r="L25" s="134" t="s">
        <v>496</v>
      </c>
      <c r="M25" s="11" t="s">
        <v>31</v>
      </c>
      <c r="N25" s="185">
        <f t="shared" ref="N25:N38" si="18">E25/$D25</f>
        <v>0.30616485309547914</v>
      </c>
      <c r="O25" s="185">
        <f t="shared" si="15"/>
        <v>0.68748769594495718</v>
      </c>
      <c r="P25" s="185">
        <f t="shared" si="15"/>
        <v>0</v>
      </c>
      <c r="Q25" s="185">
        <f t="shared" si="15"/>
        <v>2.3023386275127817E-7</v>
      </c>
      <c r="R25" s="185">
        <f t="shared" si="15"/>
        <v>3.414513629427357E-4</v>
      </c>
      <c r="S25" s="185">
        <f t="shared" si="15"/>
        <v>6.0057693627582802E-3</v>
      </c>
      <c r="T25" s="207"/>
      <c r="AS25" s="139" t="s">
        <v>505</v>
      </c>
    </row>
    <row r="26" spans="2:45" x14ac:dyDescent="0.25">
      <c r="B26" s="134" t="s">
        <v>497</v>
      </c>
      <c r="C26" s="11" t="s">
        <v>512</v>
      </c>
      <c r="D26" s="15">
        <f t="shared" si="16"/>
        <v>6.3024958083099991E-2</v>
      </c>
      <c r="E26" s="189">
        <f t="shared" si="17"/>
        <v>3.8273529999999993E-2</v>
      </c>
      <c r="F26" s="189">
        <v>2.145611E-2</v>
      </c>
      <c r="G26" s="189">
        <v>4.3473000000000002E-5</v>
      </c>
      <c r="H26" s="189">
        <v>5.0831000000000004E-9</v>
      </c>
      <c r="I26" s="189">
        <v>1.0458799999999999E-3</v>
      </c>
      <c r="J26" s="189">
        <v>2.2059599999999999E-3</v>
      </c>
      <c r="L26" s="134" t="s">
        <v>497</v>
      </c>
      <c r="M26" s="11" t="s">
        <v>31</v>
      </c>
      <c r="N26" s="185">
        <f t="shared" si="18"/>
        <v>0.60727577080710438</v>
      </c>
      <c r="O26" s="185">
        <f t="shared" si="15"/>
        <v>0.34043830654690133</v>
      </c>
      <c r="P26" s="185">
        <f t="shared" si="15"/>
        <v>6.8977435800401108E-4</v>
      </c>
      <c r="Q26" s="185">
        <f t="shared" si="15"/>
        <v>8.0652175814187854E-8</v>
      </c>
      <c r="R26" s="185">
        <f t="shared" si="15"/>
        <v>1.6594695685810387E-2</v>
      </c>
      <c r="S26" s="185">
        <f t="shared" si="15"/>
        <v>3.5001371950004093E-2</v>
      </c>
      <c r="T26" s="207"/>
      <c r="AS26" s="139" t="s">
        <v>508</v>
      </c>
    </row>
    <row r="27" spans="2:45" x14ac:dyDescent="0.25">
      <c r="B27" s="134" t="s">
        <v>561</v>
      </c>
      <c r="C27" s="11" t="s">
        <v>513</v>
      </c>
      <c r="D27" s="15">
        <f t="shared" si="16"/>
        <v>1419.6334173399998</v>
      </c>
      <c r="E27" s="189">
        <f t="shared" si="17"/>
        <v>1230.8898597100001</v>
      </c>
      <c r="F27" s="189">
        <v>108.956751</v>
      </c>
      <c r="G27" s="189">
        <v>0</v>
      </c>
      <c r="H27" s="189">
        <v>3.4710700000000001E-3</v>
      </c>
      <c r="I27" s="189">
        <v>1.00467876</v>
      </c>
      <c r="J27" s="189">
        <v>78.778656799999993</v>
      </c>
      <c r="L27" s="134" t="s">
        <v>561</v>
      </c>
      <c r="M27" s="11" t="s">
        <v>31</v>
      </c>
      <c r="N27" s="185">
        <f t="shared" si="18"/>
        <v>0.86704767912292957</v>
      </c>
      <c r="O27" s="185">
        <f t="shared" si="15"/>
        <v>7.6749919851953605E-2</v>
      </c>
      <c r="P27" s="185">
        <f t="shared" si="15"/>
        <v>0</v>
      </c>
      <c r="Q27" s="185">
        <f t="shared" si="15"/>
        <v>2.445046698396143E-6</v>
      </c>
      <c r="R27" s="185">
        <f t="shared" si="15"/>
        <v>7.0770295185252122E-4</v>
      </c>
      <c r="S27" s="185">
        <f t="shared" si="15"/>
        <v>5.5492253026566109E-2</v>
      </c>
      <c r="T27" s="207"/>
      <c r="AS27" s="139" t="s">
        <v>509</v>
      </c>
    </row>
    <row r="28" spans="2:45" x14ac:dyDescent="0.25">
      <c r="B28" s="134" t="s">
        <v>498</v>
      </c>
      <c r="C28" s="11" t="s">
        <v>514</v>
      </c>
      <c r="D28" s="15">
        <f t="shared" si="16"/>
        <v>1.2858363900012558E-5</v>
      </c>
      <c r="E28" s="189">
        <f t="shared" si="17"/>
        <v>1.1275612000000002E-5</v>
      </c>
      <c r="F28" s="189">
        <v>1.3468E-6</v>
      </c>
      <c r="G28" s="189">
        <v>0</v>
      </c>
      <c r="H28" s="189">
        <v>1.2556E-17</v>
      </c>
      <c r="I28" s="189">
        <v>2.2918999999999999E-9</v>
      </c>
      <c r="J28" s="189">
        <v>2.3365999999999999E-7</v>
      </c>
      <c r="L28" s="134" t="s">
        <v>498</v>
      </c>
      <c r="M28" s="11" t="s">
        <v>31</v>
      </c>
      <c r="N28" s="185">
        <f t="shared" si="18"/>
        <v>0.87690876441823129</v>
      </c>
      <c r="O28" s="185">
        <f t="shared" si="15"/>
        <v>0.10474116384267866</v>
      </c>
      <c r="P28" s="185">
        <f t="shared" si="15"/>
        <v>0</v>
      </c>
      <c r="Q28" s="185">
        <f t="shared" si="15"/>
        <v>9.7648504099248092E-13</v>
      </c>
      <c r="R28" s="185">
        <f t="shared" si="15"/>
        <v>1.782419612496549E-4</v>
      </c>
      <c r="S28" s="185">
        <f t="shared" si="15"/>
        <v>1.8171829776863897E-2</v>
      </c>
      <c r="T28" s="207"/>
      <c r="AS28" s="139" t="s">
        <v>511</v>
      </c>
    </row>
    <row r="29" spans="2:45" ht="18" x14ac:dyDescent="0.25">
      <c r="B29" s="134" t="s">
        <v>499</v>
      </c>
      <c r="C29" s="11" t="s">
        <v>565</v>
      </c>
      <c r="D29" s="15">
        <f t="shared" si="16"/>
        <v>2.1448129355999997E-2</v>
      </c>
      <c r="E29" s="189">
        <f t="shared" si="17"/>
        <v>1.5778709999999998E-2</v>
      </c>
      <c r="F29" s="189">
        <v>3.17205E-3</v>
      </c>
      <c r="G29" s="189">
        <v>1.9904999999999999E-4</v>
      </c>
      <c r="H29" s="189">
        <v>8.9355999999999996E-8</v>
      </c>
      <c r="I29" s="189">
        <v>2.09683E-3</v>
      </c>
      <c r="J29" s="189">
        <v>2.0139999999999999E-4</v>
      </c>
      <c r="L29" s="134" t="s">
        <v>499</v>
      </c>
      <c r="M29" s="11" t="s">
        <v>31</v>
      </c>
      <c r="N29" s="185">
        <f t="shared" si="18"/>
        <v>0.73566835308115064</v>
      </c>
      <c r="O29" s="185">
        <f t="shared" si="15"/>
        <v>0.14789401664591492</v>
      </c>
      <c r="P29" s="185">
        <f t="shared" si="15"/>
        <v>9.2805296301664113E-3</v>
      </c>
      <c r="Q29" s="185">
        <f t="shared" si="15"/>
        <v>4.1661442131783462E-6</v>
      </c>
      <c r="R29" s="185">
        <f t="shared" si="15"/>
        <v>9.7762838203576174E-2</v>
      </c>
      <c r="S29" s="185">
        <f t="shared" si="15"/>
        <v>9.3900962949787243E-3</v>
      </c>
      <c r="T29" s="207"/>
    </row>
    <row r="30" spans="2:45" x14ac:dyDescent="0.25">
      <c r="B30" s="134" t="s">
        <v>500</v>
      </c>
      <c r="C30" s="11" t="s">
        <v>515</v>
      </c>
      <c r="D30" s="15">
        <f t="shared" si="16"/>
        <v>4583.9056529585205</v>
      </c>
      <c r="E30" s="189">
        <f t="shared" si="17"/>
        <v>3277.9197110999999</v>
      </c>
      <c r="F30" s="189">
        <v>1213.7295899999999</v>
      </c>
      <c r="G30" s="189">
        <v>3.6852000000000002E-7</v>
      </c>
      <c r="H30" s="189">
        <v>0.16112594</v>
      </c>
      <c r="I30" s="189">
        <v>0.57671265000000005</v>
      </c>
      <c r="J30" s="189">
        <v>91.518512900000005</v>
      </c>
      <c r="L30" s="134" t="s">
        <v>500</v>
      </c>
      <c r="M30" s="11" t="s">
        <v>31</v>
      </c>
      <c r="N30" s="185">
        <f t="shared" si="18"/>
        <v>0.71509318892381257</v>
      </c>
      <c r="O30" s="185">
        <f t="shared" si="15"/>
        <v>0.2647806656353498</v>
      </c>
      <c r="P30" s="185">
        <f t="shared" si="15"/>
        <v>8.0394324818215172E-11</v>
      </c>
      <c r="Q30" s="185">
        <f t="shared" si="15"/>
        <v>3.5150361329100857E-5</v>
      </c>
      <c r="R30" s="185">
        <f t="shared" si="15"/>
        <v>1.2581250437119734E-4</v>
      </c>
      <c r="S30" s="185">
        <f t="shared" si="15"/>
        <v>1.9965182494742797E-2</v>
      </c>
      <c r="T30" s="207"/>
    </row>
    <row r="31" spans="2:45" x14ac:dyDescent="0.25">
      <c r="B31" s="134" t="s">
        <v>562</v>
      </c>
      <c r="C31" s="11" t="s">
        <v>516</v>
      </c>
      <c r="D31" s="15">
        <f t="shared" si="16"/>
        <v>1579.1608753599</v>
      </c>
      <c r="E31" s="189">
        <f t="shared" si="17"/>
        <v>1167.3678919000001</v>
      </c>
      <c r="F31" s="189">
        <v>389.18070999999998</v>
      </c>
      <c r="G31" s="189">
        <v>1.4599E-6</v>
      </c>
      <c r="H31" s="189">
        <v>3.4010000000000001E-5</v>
      </c>
      <c r="I31" s="189">
        <v>0.73776668999999995</v>
      </c>
      <c r="J31" s="189">
        <v>21.8744713</v>
      </c>
      <c r="L31" s="134" t="s">
        <v>562</v>
      </c>
      <c r="M31" s="11" t="s">
        <v>31</v>
      </c>
      <c r="N31" s="185">
        <f t="shared" si="18"/>
        <v>0.73923303832736498</v>
      </c>
      <c r="O31" s="185">
        <f t="shared" si="15"/>
        <v>0.24644779140143236</v>
      </c>
      <c r="P31" s="185">
        <f t="shared" si="15"/>
        <v>9.2447832439318773E-10</v>
      </c>
      <c r="Q31" s="185">
        <f t="shared" si="15"/>
        <v>2.1536754443874454E-8</v>
      </c>
      <c r="R31" s="185">
        <f t="shared" si="15"/>
        <v>4.6718906319906042E-4</v>
      </c>
      <c r="S31" s="185">
        <f t="shared" si="15"/>
        <v>1.3851958746770926E-2</v>
      </c>
      <c r="T31" s="207"/>
    </row>
    <row r="32" spans="2:45" ht="18.75" thickBot="1" x14ac:dyDescent="0.3">
      <c r="B32" s="134" t="s">
        <v>501</v>
      </c>
      <c r="C32" s="11" t="s">
        <v>566</v>
      </c>
      <c r="D32" s="15">
        <f t="shared" si="16"/>
        <v>1.00916876927</v>
      </c>
      <c r="E32" s="189">
        <f t="shared" si="17"/>
        <v>0.62298538000000003</v>
      </c>
      <c r="F32" s="189">
        <v>0.32369068000000001</v>
      </c>
      <c r="G32" s="189">
        <v>5.5734000000000003E-4</v>
      </c>
      <c r="H32" s="189">
        <v>2.1927E-7</v>
      </c>
      <c r="I32" s="189">
        <v>2.7543620000000001E-2</v>
      </c>
      <c r="J32" s="189">
        <v>3.4391529999999997E-2</v>
      </c>
      <c r="L32" s="134" t="s">
        <v>501</v>
      </c>
      <c r="M32" s="11" t="s">
        <v>31</v>
      </c>
      <c r="N32" s="185">
        <f t="shared" si="18"/>
        <v>0.61732526706176949</v>
      </c>
      <c r="O32" s="185">
        <f t="shared" si="15"/>
        <v>0.32074979909866547</v>
      </c>
      <c r="P32" s="185">
        <f t="shared" si="15"/>
        <v>5.522763059772071E-4</v>
      </c>
      <c r="Q32" s="185">
        <f t="shared" si="15"/>
        <v>2.1727782971188538E-7</v>
      </c>
      <c r="R32" s="185">
        <f t="shared" si="15"/>
        <v>2.7293373357088889E-2</v>
      </c>
      <c r="S32" s="185">
        <f t="shared" si="15"/>
        <v>3.4079066898669207E-2</v>
      </c>
      <c r="T32" s="207"/>
    </row>
    <row r="33" spans="2:43" ht="18" thickBot="1" x14ac:dyDescent="0.3">
      <c r="B33" s="134" t="s">
        <v>502</v>
      </c>
      <c r="C33" s="11" t="s">
        <v>563</v>
      </c>
      <c r="D33" s="15">
        <f t="shared" si="16"/>
        <v>2.69256216</v>
      </c>
      <c r="E33" s="189">
        <f t="shared" si="17"/>
        <v>0.68966372999999992</v>
      </c>
      <c r="F33" s="189">
        <v>1.9778363699999999</v>
      </c>
      <c r="G33" s="189">
        <v>0</v>
      </c>
      <c r="H33" s="189">
        <v>0</v>
      </c>
      <c r="I33" s="189">
        <v>1.0606299999999999E-3</v>
      </c>
      <c r="J33" s="189">
        <v>2.4001430000000001E-2</v>
      </c>
      <c r="L33" s="134" t="s">
        <v>502</v>
      </c>
      <c r="M33" s="11" t="s">
        <v>31</v>
      </c>
      <c r="N33" s="185">
        <f t="shared" si="18"/>
        <v>0.25613660484629253</v>
      </c>
      <c r="O33" s="185">
        <f t="shared" si="15"/>
        <v>0.73455550976026485</v>
      </c>
      <c r="P33" s="185">
        <f t="shared" si="15"/>
        <v>0</v>
      </c>
      <c r="Q33" s="185">
        <f t="shared" si="15"/>
        <v>0</v>
      </c>
      <c r="R33" s="185">
        <f t="shared" si="15"/>
        <v>3.9391105459195784E-4</v>
      </c>
      <c r="S33" s="185">
        <f t="shared" si="15"/>
        <v>8.9139743388505464E-3</v>
      </c>
      <c r="T33" s="207"/>
      <c r="AF33" s="314" t="s">
        <v>658</v>
      </c>
      <c r="AG33" s="315"/>
      <c r="AH33" s="315"/>
      <c r="AI33" s="315"/>
      <c r="AJ33" s="316"/>
      <c r="AN33" s="314" t="s">
        <v>659</v>
      </c>
      <c r="AO33" s="315"/>
      <c r="AP33" s="315"/>
      <c r="AQ33" s="316"/>
    </row>
    <row r="34" spans="2:43" ht="18" x14ac:dyDescent="0.25">
      <c r="B34" s="134" t="s">
        <v>503</v>
      </c>
      <c r="C34" s="11" t="s">
        <v>566</v>
      </c>
      <c r="D34" s="15">
        <f t="shared" si="16"/>
        <v>215.3312213024</v>
      </c>
      <c r="E34" s="189">
        <f t="shared" si="17"/>
        <v>215.19003782999999</v>
      </c>
      <c r="F34" s="189">
        <v>0.12098804000000001</v>
      </c>
      <c r="G34" s="189">
        <v>5.5734000000000003E-4</v>
      </c>
      <c r="H34" s="189">
        <v>7.8240000000000002E-7</v>
      </c>
      <c r="I34" s="189">
        <v>7.8460999999999999E-3</v>
      </c>
      <c r="J34" s="189">
        <v>1.179121E-2</v>
      </c>
      <c r="L34" s="134" t="s">
        <v>503</v>
      </c>
      <c r="M34" s="11" t="s">
        <v>31</v>
      </c>
      <c r="N34" s="185">
        <f t="shared" si="18"/>
        <v>0.99934434276856798</v>
      </c>
      <c r="O34" s="185">
        <f t="shared" si="15"/>
        <v>5.6186947377264297E-4</v>
      </c>
      <c r="P34" s="185">
        <f t="shared" si="15"/>
        <v>2.5882916403344065E-6</v>
      </c>
      <c r="Q34" s="185">
        <f t="shared" si="15"/>
        <v>3.6334721703047327E-9</v>
      </c>
      <c r="R34" s="185">
        <f t="shared" si="15"/>
        <v>3.6437354288634919E-5</v>
      </c>
      <c r="S34" s="185">
        <f t="shared" si="15"/>
        <v>5.475847825820407E-5</v>
      </c>
      <c r="T34" s="207"/>
    </row>
    <row r="35" spans="2:43" ht="30" x14ac:dyDescent="0.25">
      <c r="B35" s="134" t="s">
        <v>504</v>
      </c>
      <c r="C35" s="11" t="s">
        <v>567</v>
      </c>
      <c r="D35" s="15">
        <f t="shared" si="16"/>
        <v>3.16167828E-2</v>
      </c>
      <c r="E35" s="189">
        <f t="shared" si="17"/>
        <v>7.2400889999999999E-3</v>
      </c>
      <c r="F35" s="189">
        <v>2.1524990000000001E-2</v>
      </c>
      <c r="G35" s="189">
        <v>2.6274599999999999E-3</v>
      </c>
      <c r="H35" s="189">
        <v>0</v>
      </c>
      <c r="I35" s="189">
        <v>1.8137999999999999E-6</v>
      </c>
      <c r="J35" s="189">
        <v>2.2243E-4</v>
      </c>
      <c r="L35" s="134" t="s">
        <v>504</v>
      </c>
      <c r="M35" s="11" t="s">
        <v>31</v>
      </c>
      <c r="N35" s="185">
        <f t="shared" si="18"/>
        <v>0.22899512090774776</v>
      </c>
      <c r="O35" s="185">
        <f t="shared" si="15"/>
        <v>0.68080899110329474</v>
      </c>
      <c r="P35" s="185">
        <f t="shared" si="15"/>
        <v>8.310333206957414E-2</v>
      </c>
      <c r="Q35" s="185">
        <f t="shared" si="15"/>
        <v>0</v>
      </c>
      <c r="R35" s="185">
        <f t="shared" si="15"/>
        <v>5.7368265818620862E-5</v>
      </c>
      <c r="S35" s="185">
        <f t="shared" si="15"/>
        <v>7.0351876535648021E-3</v>
      </c>
      <c r="T35" s="207"/>
      <c r="AF35" s="167" t="s">
        <v>646</v>
      </c>
      <c r="AG35" s="167" t="s">
        <v>492</v>
      </c>
      <c r="AH35" s="167" t="s">
        <v>494</v>
      </c>
      <c r="AI35" s="167" t="s">
        <v>493</v>
      </c>
      <c r="AJ35" s="167" t="s">
        <v>597</v>
      </c>
      <c r="AN35" s="167" t="s">
        <v>492</v>
      </c>
      <c r="AO35" s="167" t="s">
        <v>494</v>
      </c>
      <c r="AP35" s="167" t="s">
        <v>493</v>
      </c>
      <c r="AQ35" s="167" t="s">
        <v>597</v>
      </c>
    </row>
    <row r="36" spans="2:43" ht="18" x14ac:dyDescent="0.25">
      <c r="B36" s="176" t="s">
        <v>505</v>
      </c>
      <c r="C36" s="165" t="s">
        <v>578</v>
      </c>
      <c r="D36" s="195">
        <f t="shared" si="16"/>
        <v>57.684374665482096</v>
      </c>
      <c r="E36" s="196">
        <f>D55</f>
        <v>34.786835609999997</v>
      </c>
      <c r="F36" s="196">
        <v>13.9315973</v>
      </c>
      <c r="G36" s="196">
        <v>0.47771999999999998</v>
      </c>
      <c r="H36" s="196">
        <v>5.4821000000000003E-9</v>
      </c>
      <c r="I36" s="196">
        <v>6.7667284800000003</v>
      </c>
      <c r="J36" s="196">
        <v>1.7214932700000001</v>
      </c>
      <c r="L36" s="197" t="s">
        <v>505</v>
      </c>
      <c r="M36" s="198" t="s">
        <v>31</v>
      </c>
      <c r="N36" s="199">
        <f t="shared" si="18"/>
        <v>0.60305474076355348</v>
      </c>
      <c r="O36" s="199">
        <f t="shared" si="15"/>
        <v>0.24151422947359374</v>
      </c>
      <c r="P36" s="199">
        <f t="shared" si="15"/>
        <v>8.2816187706003536E-3</v>
      </c>
      <c r="Q36" s="199">
        <f t="shared" si="15"/>
        <v>9.5036134686235027E-11</v>
      </c>
      <c r="R36" s="199">
        <f t="shared" si="15"/>
        <v>0.11730609058763292</v>
      </c>
      <c r="S36" s="199">
        <f t="shared" si="15"/>
        <v>2.98433203095834E-2</v>
      </c>
      <c r="T36" s="207"/>
      <c r="AE36" s="318" t="str">
        <f>$B$24</f>
        <v>Carcinogens</v>
      </c>
      <c r="AF36" s="15">
        <f>D5</f>
        <v>3.3820000591000001</v>
      </c>
      <c r="AG36" s="15">
        <f>AN36*Calculations!$C$47</f>
        <v>2.8764646824374824</v>
      </c>
      <c r="AH36" s="15">
        <f>AO36*Calculations!$C$47</f>
        <v>2.0295744467086223</v>
      </c>
      <c r="AI36" s="15">
        <f>AP36*Calculations!$C$47</f>
        <v>1.985374121811845</v>
      </c>
      <c r="AJ36" s="15">
        <f>AQ36*Calculations!$C$47</f>
        <v>2.028627483586309</v>
      </c>
      <c r="AM36" s="318" t="str">
        <f>$B$24</f>
        <v>Carcinogens</v>
      </c>
      <c r="AN36" s="15">
        <f>D24</f>
        <v>0.94753889765799981</v>
      </c>
      <c r="AO36" s="15">
        <f>D43</f>
        <v>0.66856399999999994</v>
      </c>
      <c r="AP36" s="15">
        <f>D62</f>
        <v>0.6540039299999999</v>
      </c>
      <c r="AQ36" s="15">
        <f>D81</f>
        <v>0.66825205999999993</v>
      </c>
    </row>
    <row r="37" spans="2:43" x14ac:dyDescent="0.25">
      <c r="B37" s="134" t="s">
        <v>506</v>
      </c>
      <c r="C37" s="11" t="s">
        <v>517</v>
      </c>
      <c r="D37" s="15">
        <f t="shared" si="16"/>
        <v>1461.9467503599999</v>
      </c>
      <c r="E37" s="189">
        <f t="shared" si="17"/>
        <v>1146.51996207</v>
      </c>
      <c r="F37" s="189">
        <v>160.09291899999999</v>
      </c>
      <c r="G37" s="189">
        <v>5.5734000000000004</v>
      </c>
      <c r="H37" s="189">
        <v>0.46913758999999999</v>
      </c>
      <c r="I37" s="189">
        <v>114.23347699999999</v>
      </c>
      <c r="J37" s="189">
        <v>35.0578547</v>
      </c>
      <c r="L37" s="134" t="s">
        <v>506</v>
      </c>
      <c r="M37" s="11" t="s">
        <v>31</v>
      </c>
      <c r="N37" s="185">
        <f t="shared" si="18"/>
        <v>0.78424194437155326</v>
      </c>
      <c r="O37" s="185">
        <f t="shared" si="15"/>
        <v>0.10950666907709027</v>
      </c>
      <c r="P37" s="185">
        <f t="shared" si="15"/>
        <v>3.812313956460841E-3</v>
      </c>
      <c r="Q37" s="185">
        <f t="shared" si="15"/>
        <v>3.208992323998643E-4</v>
      </c>
      <c r="R37" s="185">
        <f t="shared" si="15"/>
        <v>7.813791916283569E-2</v>
      </c>
      <c r="S37" s="185">
        <f t="shared" si="15"/>
        <v>2.3980254199660222E-2</v>
      </c>
      <c r="T37" s="207"/>
      <c r="AE37" s="318"/>
      <c r="AF37" s="15">
        <f>AF36-AG36</f>
        <v>0.50553537666251769</v>
      </c>
      <c r="AG37" s="15">
        <f>AG36-AH36</f>
        <v>0.84689023572886013</v>
      </c>
      <c r="AH37" s="15">
        <f t="shared" ref="AH37:AJ37" si="19">AH36-AI36</f>
        <v>4.4200324896777277E-2</v>
      </c>
      <c r="AI37" s="15">
        <f t="shared" si="19"/>
        <v>-4.3253361774463928E-2</v>
      </c>
      <c r="AJ37" s="15">
        <f t="shared" si="19"/>
        <v>2.028627483586309</v>
      </c>
      <c r="AM37" s="318"/>
      <c r="AN37" s="15">
        <f>AN36-AO36</f>
        <v>0.27897489765799988</v>
      </c>
      <c r="AO37" s="15">
        <f t="shared" ref="AO37:AQ37" si="20">AO36-AP36</f>
        <v>1.4560070000000036E-2</v>
      </c>
      <c r="AP37" s="15">
        <f t="shared" si="20"/>
        <v>-1.4248130000000025E-2</v>
      </c>
      <c r="AQ37" s="15">
        <f t="shared" si="20"/>
        <v>0.66825205999999993</v>
      </c>
    </row>
    <row r="38" spans="2:43" ht="30" x14ac:dyDescent="0.25">
      <c r="B38" s="134" t="s">
        <v>507</v>
      </c>
      <c r="C38" s="11" t="s">
        <v>518</v>
      </c>
      <c r="D38" s="15">
        <f t="shared" si="16"/>
        <v>2.2935855299999997</v>
      </c>
      <c r="E38" s="189">
        <f t="shared" si="17"/>
        <v>0.64538835999999988</v>
      </c>
      <c r="F38" s="189">
        <v>1.6004039400000001</v>
      </c>
      <c r="G38" s="189">
        <v>0</v>
      </c>
      <c r="H38" s="189">
        <v>2.7814640000000002E-2</v>
      </c>
      <c r="I38" s="189">
        <v>4.2045E-4</v>
      </c>
      <c r="J38" s="189">
        <v>1.9558140000000002E-2</v>
      </c>
      <c r="L38" s="134" t="s">
        <v>507</v>
      </c>
      <c r="M38" s="11" t="s">
        <v>31</v>
      </c>
      <c r="N38" s="185">
        <f t="shared" si="18"/>
        <v>0.28138839888826817</v>
      </c>
      <c r="O38" s="185">
        <f t="shared" si="15"/>
        <v>0.69777382141053201</v>
      </c>
      <c r="P38" s="185">
        <f t="shared" si="15"/>
        <v>0</v>
      </c>
      <c r="Q38" s="185">
        <f t="shared" si="15"/>
        <v>1.2127143128601794E-2</v>
      </c>
      <c r="R38" s="185">
        <f t="shared" si="15"/>
        <v>1.8331559669370606E-4</v>
      </c>
      <c r="S38" s="185">
        <f t="shared" si="15"/>
        <v>8.5273209759044854E-3</v>
      </c>
      <c r="T38" s="207"/>
      <c r="AE38" s="134" t="s">
        <v>598</v>
      </c>
      <c r="AF38" s="193">
        <f>AF37/$AF36</f>
        <v>0.14947822821654477</v>
      </c>
      <c r="AG38" s="193">
        <f t="shared" ref="AG38:AJ38" si="21">AG37/$AF36</f>
        <v>0.25041106473375702</v>
      </c>
      <c r="AH38" s="193">
        <f t="shared" si="21"/>
        <v>1.3069285666582641E-2</v>
      </c>
      <c r="AI38" s="193">
        <f t="shared" si="21"/>
        <v>-1.2789284748260556E-2</v>
      </c>
      <c r="AJ38" s="193">
        <f t="shared" si="21"/>
        <v>0.59983070613137612</v>
      </c>
      <c r="AM38" s="186" t="s">
        <v>598</v>
      </c>
      <c r="AN38" s="193">
        <f>AN37/$AN$36</f>
        <v>0.29442052283819986</v>
      </c>
      <c r="AO38" s="193">
        <f t="shared" ref="AO38:AQ38" si="22">AO37/$AN$36</f>
        <v>1.5366197668494321E-2</v>
      </c>
      <c r="AP38" s="193">
        <f t="shared" si="22"/>
        <v>-1.5036986909156608E-2</v>
      </c>
      <c r="AQ38" s="193">
        <f t="shared" si="22"/>
        <v>0.70525026640246236</v>
      </c>
    </row>
    <row r="39" spans="2:43" x14ac:dyDescent="0.25">
      <c r="AE39" s="318" t="str">
        <f>$B$25</f>
        <v>Non-carcinogens</v>
      </c>
      <c r="AF39" s="15">
        <f>D6</f>
        <v>6.1200012600000004</v>
      </c>
      <c r="AG39" s="15">
        <f>AN39*Calculations!$C$47</f>
        <v>4.9863168562667779</v>
      </c>
      <c r="AH39" s="15">
        <f>AO39*Calculations!$C$47</f>
        <v>1.5266349677864295</v>
      </c>
      <c r="AI39" s="15">
        <f>AP39*Calculations!$C$47</f>
        <v>1.5099544342981586</v>
      </c>
      <c r="AJ39" s="15">
        <f>AQ39*Calculations!$C$47</f>
        <v>1.5283375828302861</v>
      </c>
      <c r="AM39" s="318" t="str">
        <f>$B$25</f>
        <v>Non-carcinogens</v>
      </c>
      <c r="AN39" s="15">
        <f>D25</f>
        <v>1.6425472581699998</v>
      </c>
      <c r="AO39" s="15">
        <f>D44</f>
        <v>0.50289024000000004</v>
      </c>
      <c r="AP39" s="15">
        <f>D63</f>
        <v>0.49739549</v>
      </c>
      <c r="AQ39" s="15">
        <f>D82</f>
        <v>0.50345110000000004</v>
      </c>
    </row>
    <row r="40" spans="2:43" x14ac:dyDescent="0.25">
      <c r="B40" s="320" t="s">
        <v>674</v>
      </c>
      <c r="C40" s="321"/>
      <c r="D40" s="321"/>
      <c r="E40" s="321"/>
      <c r="F40" s="321"/>
      <c r="G40" s="321"/>
      <c r="H40" s="321"/>
      <c r="I40" s="321"/>
      <c r="J40" s="321"/>
      <c r="K40" s="322"/>
      <c r="AE40" s="318"/>
      <c r="AF40" s="15">
        <f>AF39-AG39</f>
        <v>1.1336844037332225</v>
      </c>
      <c r="AG40" s="15">
        <f>AG39-AH39</f>
        <v>3.4596818884803486</v>
      </c>
      <c r="AH40" s="15">
        <f t="shared" ref="AH40:AJ40" si="23">AH39-AI39</f>
        <v>1.6680533488270921E-2</v>
      </c>
      <c r="AI40" s="15">
        <f t="shared" si="23"/>
        <v>-1.8383148532127525E-2</v>
      </c>
      <c r="AJ40" s="15">
        <f t="shared" si="23"/>
        <v>1.5283375828302861</v>
      </c>
      <c r="AM40" s="318"/>
      <c r="AN40" s="15">
        <f>AN39-AO39</f>
        <v>1.1396570181699999</v>
      </c>
      <c r="AO40" s="15">
        <f t="shared" ref="AO40:AQ40" si="24">AO39-AP39</f>
        <v>5.4947500000000482E-3</v>
      </c>
      <c r="AP40" s="15">
        <f t="shared" si="24"/>
        <v>-6.0556100000000446E-3</v>
      </c>
      <c r="AQ40" s="15">
        <f t="shared" si="24"/>
        <v>0.50345110000000004</v>
      </c>
    </row>
    <row r="41" spans="2:43" ht="30" x14ac:dyDescent="0.25">
      <c r="AE41" s="134" t="s">
        <v>598</v>
      </c>
      <c r="AF41" s="193">
        <f>AF40/$AF39</f>
        <v>0.18524251149144738</v>
      </c>
      <c r="AG41" s="193">
        <f t="shared" ref="AG41:AJ41" si="25">AG40/$AF39</f>
        <v>0.56530738173089012</v>
      </c>
      <c r="AH41" s="193">
        <f t="shared" si="25"/>
        <v>2.7255768062163636E-3</v>
      </c>
      <c r="AI41" s="193">
        <f t="shared" si="25"/>
        <v>-3.0037818214644491E-3</v>
      </c>
      <c r="AJ41" s="193">
        <f t="shared" si="25"/>
        <v>0.24972831179291063</v>
      </c>
      <c r="AM41" s="186" t="s">
        <v>598</v>
      </c>
      <c r="AN41" s="193">
        <f>AN40/$AN$39</f>
        <v>0.69383514690452097</v>
      </c>
      <c r="AO41" s="193">
        <f t="shared" ref="AO41:AQ41" si="26">AO40/$AN$39</f>
        <v>3.345261436265692E-3</v>
      </c>
      <c r="AP41" s="193">
        <f t="shared" si="26"/>
        <v>-3.686718887313319E-3</v>
      </c>
      <c r="AQ41" s="193">
        <f t="shared" si="26"/>
        <v>0.30650631054652677</v>
      </c>
    </row>
    <row r="42" spans="2:43" ht="30.95" customHeight="1" x14ac:dyDescent="0.25">
      <c r="B42" s="167" t="s">
        <v>569</v>
      </c>
      <c r="C42" s="167" t="s">
        <v>365</v>
      </c>
      <c r="D42" s="167" t="s">
        <v>223</v>
      </c>
      <c r="E42" s="167" t="s">
        <v>493</v>
      </c>
      <c r="F42" s="167" t="s">
        <v>572</v>
      </c>
      <c r="H42" s="133" t="s">
        <v>569</v>
      </c>
      <c r="I42" s="133" t="s">
        <v>365</v>
      </c>
      <c r="J42" s="167" t="s">
        <v>493</v>
      </c>
      <c r="K42" s="167" t="s">
        <v>572</v>
      </c>
      <c r="AE42" s="318" t="str">
        <f>$B$26</f>
        <v>Respiratory inorganics</v>
      </c>
      <c r="AF42" s="15">
        <f>D7</f>
        <v>0.23070001699999998</v>
      </c>
      <c r="AG42" s="15">
        <f>AN42*Calculations!$C$47</f>
        <v>0.19132625213194515</v>
      </c>
      <c r="AH42" s="15">
        <f>AO42*Calculations!$C$47</f>
        <v>0.1161877972390614</v>
      </c>
      <c r="AI42" s="15">
        <f>AP42*Calculations!$C$47</f>
        <v>0.11245768418234768</v>
      </c>
      <c r="AJ42" s="15">
        <f>AQ42*Calculations!$C$47</f>
        <v>0.11923557106065824</v>
      </c>
      <c r="AM42" s="318" t="str">
        <f>$B$26</f>
        <v>Respiratory inorganics</v>
      </c>
      <c r="AN42" s="15">
        <f>D26</f>
        <v>6.3024958083099991E-2</v>
      </c>
      <c r="AO42" s="15">
        <f>D45</f>
        <v>3.8273529999999993E-2</v>
      </c>
      <c r="AP42" s="15">
        <f>D64</f>
        <v>3.7044789999999994E-2</v>
      </c>
      <c r="AQ42" s="15">
        <f>D83</f>
        <v>3.92775E-2</v>
      </c>
    </row>
    <row r="43" spans="2:43" ht="18" x14ac:dyDescent="0.25">
      <c r="B43" s="134" t="s">
        <v>495</v>
      </c>
      <c r="C43" s="11" t="s">
        <v>564</v>
      </c>
      <c r="D43" s="15">
        <f>SUM(E43:F43)</f>
        <v>0.66856399999999994</v>
      </c>
      <c r="E43" s="189">
        <f>D62</f>
        <v>0.6540039299999999</v>
      </c>
      <c r="F43" s="189">
        <v>1.456007E-2</v>
      </c>
      <c r="H43" s="134" t="s">
        <v>495</v>
      </c>
      <c r="I43" s="11" t="s">
        <v>31</v>
      </c>
      <c r="J43" s="185">
        <f>E43/$D43</f>
        <v>0.97822187554220685</v>
      </c>
      <c r="K43" s="185">
        <f>F43/$D43</f>
        <v>2.1778124457793122E-2</v>
      </c>
      <c r="AE43" s="318"/>
      <c r="AF43" s="15">
        <f>AF42-AG42</f>
        <v>3.9373764868054828E-2</v>
      </c>
      <c r="AG43" s="15">
        <f>AG42-AH42</f>
        <v>7.5138454892883746E-2</v>
      </c>
      <c r="AH43" s="15">
        <f t="shared" ref="AH43:AJ43" si="27">AH42-AI42</f>
        <v>3.7301130567137242E-3</v>
      </c>
      <c r="AI43" s="15">
        <f t="shared" si="27"/>
        <v>-6.77788687831056E-3</v>
      </c>
      <c r="AJ43" s="15">
        <f t="shared" si="27"/>
        <v>0.11923557106065824</v>
      </c>
      <c r="AM43" s="318"/>
      <c r="AN43" s="15">
        <f>AN42-AO42</f>
        <v>2.4751428083099998E-2</v>
      </c>
      <c r="AO43" s="15">
        <f t="shared" ref="AO43:AQ43" si="28">AO42-AP42</f>
        <v>1.228739999999999E-3</v>
      </c>
      <c r="AP43" s="15">
        <f t="shared" si="28"/>
        <v>-2.2327100000000058E-3</v>
      </c>
      <c r="AQ43" s="15">
        <f t="shared" si="28"/>
        <v>3.92775E-2</v>
      </c>
    </row>
    <row r="44" spans="2:43" ht="30" x14ac:dyDescent="0.25">
      <c r="B44" s="134" t="s">
        <v>496</v>
      </c>
      <c r="C44" s="11" t="s">
        <v>564</v>
      </c>
      <c r="D44" s="15">
        <f t="shared" ref="D44:D57" si="29">SUM(E44:F44)</f>
        <v>0.50289024000000004</v>
      </c>
      <c r="E44" s="189">
        <f t="shared" ref="E44:E57" si="30">D63</f>
        <v>0.49739549</v>
      </c>
      <c r="F44" s="189">
        <v>5.4947499999999996E-3</v>
      </c>
      <c r="H44" s="134" t="s">
        <v>496</v>
      </c>
      <c r="I44" s="11" t="s">
        <v>31</v>
      </c>
      <c r="J44" s="185">
        <f t="shared" ref="J44:K57" si="31">E44/$D44</f>
        <v>0.98907365949277515</v>
      </c>
      <c r="K44" s="185">
        <f t="shared" si="31"/>
        <v>1.0926340507224795E-2</v>
      </c>
      <c r="AE44" s="134" t="s">
        <v>598</v>
      </c>
      <c r="AF44" s="193">
        <f>AF43/$AF42</f>
        <v>0.17067083643975126</v>
      </c>
      <c r="AG44" s="193">
        <f t="shared" ref="AG44:AJ44" si="32">AG43/$AF42</f>
        <v>0.32569765650638749</v>
      </c>
      <c r="AH44" s="193">
        <f t="shared" si="32"/>
        <v>1.6168672656464194E-2</v>
      </c>
      <c r="AI44" s="193">
        <f t="shared" si="32"/>
        <v>-2.9379654871505973E-2</v>
      </c>
      <c r="AJ44" s="193">
        <f t="shared" si="32"/>
        <v>0.51684248926890308</v>
      </c>
      <c r="AM44" s="186" t="s">
        <v>598</v>
      </c>
      <c r="AN44" s="193">
        <f>AN43/$AN$42</f>
        <v>0.39272422919289557</v>
      </c>
      <c r="AO44" s="193">
        <f t="shared" ref="AO44:AQ44" si="33">AO43/$AN$42</f>
        <v>1.9496085953438866E-2</v>
      </c>
      <c r="AP44" s="193">
        <f t="shared" si="33"/>
        <v>-3.5425806980404838E-2</v>
      </c>
      <c r="AQ44" s="193">
        <f t="shared" si="33"/>
        <v>0.62320549183407037</v>
      </c>
    </row>
    <row r="45" spans="2:43" x14ac:dyDescent="0.25">
      <c r="B45" s="134" t="s">
        <v>497</v>
      </c>
      <c r="C45" s="11" t="s">
        <v>512</v>
      </c>
      <c r="D45" s="15">
        <f t="shared" si="29"/>
        <v>3.8273529999999993E-2</v>
      </c>
      <c r="E45" s="189">
        <f t="shared" si="30"/>
        <v>3.7044789999999994E-2</v>
      </c>
      <c r="F45" s="189">
        <v>1.2287400000000001E-3</v>
      </c>
      <c r="H45" s="134" t="s">
        <v>497</v>
      </c>
      <c r="I45" s="11" t="s">
        <v>31</v>
      </c>
      <c r="J45" s="185">
        <f t="shared" si="31"/>
        <v>0.96789582774309035</v>
      </c>
      <c r="K45" s="185">
        <f t="shared" si="31"/>
        <v>3.2104172256909681E-2</v>
      </c>
      <c r="AE45" s="318" t="str">
        <f>$B$27</f>
        <v>Ionizing radiation</v>
      </c>
      <c r="AF45" s="15">
        <f>D8</f>
        <v>4841.0115999999998</v>
      </c>
      <c r="AG45" s="15">
        <f>AN45*Calculations!$C$47</f>
        <v>4309.6124043874652</v>
      </c>
      <c r="AH45" s="15">
        <f>AO45*Calculations!$C$47</f>
        <v>3736.6394331435395</v>
      </c>
      <c r="AI45" s="15">
        <f>AP45*Calculations!$C$47</f>
        <v>3603.4309943906346</v>
      </c>
      <c r="AJ45" s="15">
        <f>AQ45*Calculations!$C$47</f>
        <v>3520.5356464893412</v>
      </c>
      <c r="AM45" s="318" t="str">
        <f>$B$27</f>
        <v>Ionizing radiation</v>
      </c>
      <c r="AN45" s="15">
        <f>D27</f>
        <v>1419.6334173399998</v>
      </c>
      <c r="AO45" s="15">
        <f>D46</f>
        <v>1230.8898597100001</v>
      </c>
      <c r="AP45" s="15">
        <f>D65</f>
        <v>1187.0095444100002</v>
      </c>
      <c r="AQ45" s="15">
        <f>D84</f>
        <v>1159.7029110100002</v>
      </c>
    </row>
    <row r="46" spans="2:43" x14ac:dyDescent="0.25">
      <c r="B46" s="134" t="s">
        <v>561</v>
      </c>
      <c r="C46" s="11" t="s">
        <v>513</v>
      </c>
      <c r="D46" s="15">
        <f t="shared" si="29"/>
        <v>1230.8898597100001</v>
      </c>
      <c r="E46" s="189">
        <f t="shared" si="30"/>
        <v>1187.0095444100002</v>
      </c>
      <c r="F46" s="189">
        <v>43.880315299999999</v>
      </c>
      <c r="H46" s="134" t="s">
        <v>561</v>
      </c>
      <c r="I46" s="11" t="s">
        <v>31</v>
      </c>
      <c r="J46" s="185">
        <f t="shared" si="31"/>
        <v>0.96435073783909619</v>
      </c>
      <c r="K46" s="185">
        <f t="shared" si="31"/>
        <v>3.5649262160903888E-2</v>
      </c>
      <c r="AE46" s="318"/>
      <c r="AF46" s="15">
        <f>AF45-AG45</f>
        <v>531.39919561253464</v>
      </c>
      <c r="AG46" s="15">
        <f>AG45-AH45</f>
        <v>572.97297124392571</v>
      </c>
      <c r="AH46" s="15">
        <f t="shared" ref="AH46:AJ46" si="34">AH45-AI45</f>
        <v>133.20843875290484</v>
      </c>
      <c r="AI46" s="15">
        <f t="shared" si="34"/>
        <v>82.895347901293462</v>
      </c>
      <c r="AJ46" s="15">
        <f t="shared" si="34"/>
        <v>3520.5356464893412</v>
      </c>
      <c r="AM46" s="318"/>
      <c r="AN46" s="15">
        <f>AN45-AO45</f>
        <v>188.74355762999971</v>
      </c>
      <c r="AO46" s="15">
        <f t="shared" ref="AO46:AQ46" si="35">AO45-AP45</f>
        <v>43.880315299999893</v>
      </c>
      <c r="AP46" s="15">
        <f t="shared" si="35"/>
        <v>27.30663340000001</v>
      </c>
      <c r="AQ46" s="15">
        <f t="shared" si="35"/>
        <v>1159.7029110100002</v>
      </c>
    </row>
    <row r="47" spans="2:43" ht="30" x14ac:dyDescent="0.25">
      <c r="B47" s="134" t="s">
        <v>498</v>
      </c>
      <c r="C47" s="11" t="s">
        <v>514</v>
      </c>
      <c r="D47" s="15">
        <f t="shared" si="29"/>
        <v>1.1275612000000002E-5</v>
      </c>
      <c r="E47" s="189">
        <f t="shared" si="30"/>
        <v>1.1145462000000001E-5</v>
      </c>
      <c r="F47" s="189">
        <v>1.3015000000000001E-7</v>
      </c>
      <c r="H47" s="134" t="s">
        <v>498</v>
      </c>
      <c r="I47" s="11" t="s">
        <v>31</v>
      </c>
      <c r="J47" s="185">
        <f t="shared" si="31"/>
        <v>0.98845738927518956</v>
      </c>
      <c r="K47" s="185">
        <f t="shared" si="31"/>
        <v>1.1542610724810325E-2</v>
      </c>
      <c r="AE47" s="134" t="s">
        <v>598</v>
      </c>
      <c r="AF47" s="193">
        <f>AF46/$AF45</f>
        <v>0.10977027933842064</v>
      </c>
      <c r="AG47" s="193">
        <f t="shared" ref="AG47:AJ47" si="36">AG46/$AF45</f>
        <v>0.11835810747570316</v>
      </c>
      <c r="AH47" s="193">
        <f t="shared" si="36"/>
        <v>2.7516653493022996E-2</v>
      </c>
      <c r="AI47" s="193">
        <f t="shared" si="36"/>
        <v>1.7123559030780562E-2</v>
      </c>
      <c r="AJ47" s="193">
        <f t="shared" si="36"/>
        <v>0.72723140066207259</v>
      </c>
      <c r="AM47" s="186" t="s">
        <v>598</v>
      </c>
      <c r="AN47" s="193">
        <f>AN46/$AN45</f>
        <v>0.13295232087707043</v>
      </c>
      <c r="AO47" s="193">
        <f t="shared" ref="AO47:AQ47" si="37">AO46/$AN45</f>
        <v>3.090961001905651E-2</v>
      </c>
      <c r="AP47" s="193">
        <f t="shared" si="37"/>
        <v>1.9234989164431678E-2</v>
      </c>
      <c r="AQ47" s="193">
        <f t="shared" si="37"/>
        <v>0.81690307993944133</v>
      </c>
    </row>
    <row r="48" spans="2:43" ht="16.5" customHeight="1" x14ac:dyDescent="0.25">
      <c r="B48" s="134" t="s">
        <v>499</v>
      </c>
      <c r="C48" s="11" t="s">
        <v>565</v>
      </c>
      <c r="D48" s="15">
        <f t="shared" si="29"/>
        <v>1.5778709999999998E-2</v>
      </c>
      <c r="E48" s="189">
        <f t="shared" si="30"/>
        <v>1.5666529999999998E-2</v>
      </c>
      <c r="F48" s="189">
        <v>1.1218E-4</v>
      </c>
      <c r="H48" s="134" t="s">
        <v>499</v>
      </c>
      <c r="I48" s="11" t="s">
        <v>31</v>
      </c>
      <c r="J48" s="185">
        <f t="shared" si="31"/>
        <v>0.99289042006602568</v>
      </c>
      <c r="K48" s="185">
        <f t="shared" si="31"/>
        <v>7.1095799339743245E-3</v>
      </c>
      <c r="AE48" s="318" t="str">
        <f>$B$28</f>
        <v>Ozone layer depletion</v>
      </c>
      <c r="AF48" s="15">
        <f>D9</f>
        <v>5.0700000000041998E-5</v>
      </c>
      <c r="AG48" s="15">
        <f>AN48*Calculations!$C$47</f>
        <v>3.9034418242600729E-5</v>
      </c>
      <c r="AH48" s="15">
        <f>AO48*Calculations!$C$47</f>
        <v>3.4229623470903472E-5</v>
      </c>
      <c r="AI48" s="15">
        <f>AP48*Calculations!$C$47</f>
        <v>3.3834524251922E-5</v>
      </c>
      <c r="AJ48" s="15">
        <f>AQ48*Calculations!$C$47</f>
        <v>3.365105128536954E-5</v>
      </c>
      <c r="AM48" s="318" t="str">
        <f>$B$28</f>
        <v>Ozone layer depletion</v>
      </c>
      <c r="AN48" s="15">
        <f>D28</f>
        <v>1.2858363900012558E-5</v>
      </c>
      <c r="AO48" s="15">
        <f>D47</f>
        <v>1.1275612000000002E-5</v>
      </c>
      <c r="AP48" s="15">
        <f>D66</f>
        <v>1.1145462000000001E-5</v>
      </c>
      <c r="AQ48" s="15">
        <f>D85</f>
        <v>1.1085024E-5</v>
      </c>
    </row>
    <row r="49" spans="2:43" x14ac:dyDescent="0.25">
      <c r="B49" s="134" t="s">
        <v>500</v>
      </c>
      <c r="C49" s="11" t="s">
        <v>515</v>
      </c>
      <c r="D49" s="15">
        <f t="shared" si="29"/>
        <v>3277.9197110999999</v>
      </c>
      <c r="E49" s="189">
        <f t="shared" si="30"/>
        <v>3226.9431981999996</v>
      </c>
      <c r="F49" s="189">
        <v>50.976512900000003</v>
      </c>
      <c r="H49" s="134" t="s">
        <v>500</v>
      </c>
      <c r="I49" s="11" t="s">
        <v>31</v>
      </c>
      <c r="J49" s="185">
        <f t="shared" si="31"/>
        <v>0.98444851692755664</v>
      </c>
      <c r="K49" s="185">
        <f t="shared" si="31"/>
        <v>1.5551483072443337E-2</v>
      </c>
      <c r="AE49" s="318"/>
      <c r="AF49" s="15">
        <f>AF48-AG48</f>
        <v>1.166558175744127E-5</v>
      </c>
      <c r="AG49" s="15">
        <f>AG48-AH48</f>
        <v>4.8047947716972563E-6</v>
      </c>
      <c r="AH49" s="15">
        <f t="shared" ref="AH49:AJ49" si="38">AH48-AI48</f>
        <v>3.9509921898147249E-7</v>
      </c>
      <c r="AI49" s="15">
        <f t="shared" si="38"/>
        <v>1.8347296655245988E-7</v>
      </c>
      <c r="AJ49" s="15">
        <f t="shared" si="38"/>
        <v>3.365105128536954E-5</v>
      </c>
      <c r="AM49" s="318"/>
      <c r="AN49" s="15">
        <f>AN48-AO48</f>
        <v>1.5827519000125563E-6</v>
      </c>
      <c r="AO49" s="15">
        <f t="shared" ref="AO49:AQ49" si="39">AO48-AP48</f>
        <v>1.3015000000000078E-7</v>
      </c>
      <c r="AP49" s="15">
        <f t="shared" si="39"/>
        <v>6.0438000000000928E-8</v>
      </c>
      <c r="AQ49" s="15">
        <f t="shared" si="39"/>
        <v>1.1085024E-5</v>
      </c>
    </row>
    <row r="50" spans="2:43" ht="30" x14ac:dyDescent="0.25">
      <c r="B50" s="134" t="s">
        <v>562</v>
      </c>
      <c r="C50" s="11" t="s">
        <v>516</v>
      </c>
      <c r="D50" s="15">
        <f t="shared" si="29"/>
        <v>1167.3678919000001</v>
      </c>
      <c r="E50" s="189">
        <f t="shared" si="30"/>
        <v>1155.1836437000002</v>
      </c>
      <c r="F50" s="189">
        <v>12.184248200000001</v>
      </c>
      <c r="H50" s="134" t="s">
        <v>562</v>
      </c>
      <c r="I50" s="11" t="s">
        <v>31</v>
      </c>
      <c r="J50" s="185">
        <f t="shared" si="31"/>
        <v>0.98956263206779749</v>
      </c>
      <c r="K50" s="185">
        <f t="shared" si="31"/>
        <v>1.0437367932202591E-2</v>
      </c>
      <c r="AE50" s="134" t="s">
        <v>598</v>
      </c>
      <c r="AF50" s="193">
        <f>AF49/$AF48</f>
        <v>0.23009036996906521</v>
      </c>
      <c r="AG50" s="193">
        <f t="shared" ref="AG50:AJ50" si="40">AG49/$AF48</f>
        <v>9.4769127646810183E-2</v>
      </c>
      <c r="AH50" s="193">
        <f t="shared" si="40"/>
        <v>7.7928840035728832E-3</v>
      </c>
      <c r="AI50" s="193">
        <f t="shared" si="40"/>
        <v>3.6187961844636666E-3</v>
      </c>
      <c r="AJ50" s="193">
        <f t="shared" si="40"/>
        <v>0.66372882219608809</v>
      </c>
      <c r="AM50" s="186" t="s">
        <v>598</v>
      </c>
      <c r="AN50" s="193">
        <f>AN49/$AN48</f>
        <v>0.12309123558176872</v>
      </c>
      <c r="AO50" s="193">
        <f t="shared" ref="AO50:AQ50" si="41">AO49/$AN48</f>
        <v>1.0121816508854105E-2</v>
      </c>
      <c r="AP50" s="193">
        <f t="shared" si="41"/>
        <v>4.7002869470774509E-3</v>
      </c>
      <c r="AQ50" s="193">
        <f t="shared" si="41"/>
        <v>0.86208666096229969</v>
      </c>
    </row>
    <row r="51" spans="2:43" ht="18" x14ac:dyDescent="0.25">
      <c r="B51" s="134" t="s">
        <v>501</v>
      </c>
      <c r="C51" s="11" t="s">
        <v>566</v>
      </c>
      <c r="D51" s="15">
        <f t="shared" si="29"/>
        <v>0.62298538000000003</v>
      </c>
      <c r="E51" s="189">
        <f t="shared" si="30"/>
        <v>0.60382904000000004</v>
      </c>
      <c r="F51" s="189">
        <v>1.9156340000000001E-2</v>
      </c>
      <c r="H51" s="134" t="s">
        <v>501</v>
      </c>
      <c r="I51" s="11" t="s">
        <v>31</v>
      </c>
      <c r="J51" s="185">
        <f t="shared" si="31"/>
        <v>0.96925073907833925</v>
      </c>
      <c r="K51" s="185">
        <f t="shared" si="31"/>
        <v>3.0749260921660793E-2</v>
      </c>
      <c r="AE51" s="318" t="str">
        <f>$B$29</f>
        <v>Respiratory organics</v>
      </c>
      <c r="AF51" s="15">
        <f>D10</f>
        <v>9.4100298999999998E-2</v>
      </c>
      <c r="AG51" s="15">
        <f>AN51*Calculations!$C$47</f>
        <v>6.5110558257158113E-2</v>
      </c>
      <c r="AH51" s="15">
        <f>AO51*Calculations!$C$47</f>
        <v>4.7899777161237819E-2</v>
      </c>
      <c r="AI51" s="15">
        <f>AP51*Calculations!$C$47</f>
        <v>4.7559229866690443E-2</v>
      </c>
      <c r="AJ51" s="15">
        <f>AQ51*Calculations!$C$47</f>
        <v>4.7691374845578366E-2</v>
      </c>
      <c r="AM51" s="318" t="str">
        <f>$B$29</f>
        <v>Respiratory organics</v>
      </c>
      <c r="AN51" s="15">
        <f>D29</f>
        <v>2.1448129355999997E-2</v>
      </c>
      <c r="AO51" s="15">
        <f>D48</f>
        <v>1.5778709999999998E-2</v>
      </c>
      <c r="AP51" s="15">
        <f>D67</f>
        <v>1.5666529999999998E-2</v>
      </c>
      <c r="AQ51" s="15">
        <f>D86</f>
        <v>1.5710059999999998E-2</v>
      </c>
    </row>
    <row r="52" spans="2:43" x14ac:dyDescent="0.25">
      <c r="B52" s="134" t="s">
        <v>502</v>
      </c>
      <c r="C52" s="11" t="s">
        <v>563</v>
      </c>
      <c r="D52" s="15">
        <f t="shared" si="29"/>
        <v>0.68966372999999992</v>
      </c>
      <c r="E52" s="189">
        <f t="shared" si="30"/>
        <v>0.67629474999999994</v>
      </c>
      <c r="F52" s="189">
        <v>1.3368980000000001E-2</v>
      </c>
      <c r="H52" s="134" t="s">
        <v>502</v>
      </c>
      <c r="I52" s="11" t="s">
        <v>31</v>
      </c>
      <c r="J52" s="185">
        <f t="shared" si="31"/>
        <v>0.98061521953604847</v>
      </c>
      <c r="K52" s="185">
        <f t="shared" si="31"/>
        <v>1.9384780463951617E-2</v>
      </c>
      <c r="AE52" s="318"/>
      <c r="AF52" s="15">
        <f>AF51-AG51</f>
        <v>2.8989740742841885E-2</v>
      </c>
      <c r="AG52" s="15">
        <f>AG51-AH51</f>
        <v>1.7210781095920294E-2</v>
      </c>
      <c r="AH52" s="15">
        <f t="shared" ref="AH52:AJ52" si="42">AH51-AI51</f>
        <v>3.4054729454737614E-4</v>
      </c>
      <c r="AI52" s="15">
        <f t="shared" si="42"/>
        <v>-1.3214497888792281E-4</v>
      </c>
      <c r="AJ52" s="15">
        <f t="shared" si="42"/>
        <v>4.7691374845578366E-2</v>
      </c>
      <c r="AM52" s="318"/>
      <c r="AN52" s="15">
        <f>AN51-AO51</f>
        <v>5.6694193559999988E-3</v>
      </c>
      <c r="AO52" s="15">
        <f t="shared" ref="AO52:AQ52" si="43">AO51-AP51</f>
        <v>1.1217999999999992E-4</v>
      </c>
      <c r="AP52" s="15">
        <f t="shared" si="43"/>
        <v>-4.3529999999999958E-5</v>
      </c>
      <c r="AQ52" s="15">
        <f t="shared" si="43"/>
        <v>1.5710059999999998E-2</v>
      </c>
    </row>
    <row r="53" spans="2:43" ht="30" x14ac:dyDescent="0.25">
      <c r="B53" s="134" t="s">
        <v>503</v>
      </c>
      <c r="C53" s="11" t="s">
        <v>566</v>
      </c>
      <c r="D53" s="15">
        <f t="shared" si="29"/>
        <v>215.19003782999999</v>
      </c>
      <c r="E53" s="189">
        <f t="shared" si="30"/>
        <v>215.18347003</v>
      </c>
      <c r="F53" s="189">
        <v>6.5678000000000004E-3</v>
      </c>
      <c r="H53" s="134" t="s">
        <v>503</v>
      </c>
      <c r="I53" s="11" t="s">
        <v>31</v>
      </c>
      <c r="J53" s="185">
        <f t="shared" si="31"/>
        <v>0.99996947907037781</v>
      </c>
      <c r="K53" s="185">
        <f t="shared" si="31"/>
        <v>3.0520929622162892E-5</v>
      </c>
      <c r="AE53" s="134" t="s">
        <v>598</v>
      </c>
      <c r="AF53" s="193">
        <f>AF52/$AF51</f>
        <v>0.30807278033029295</v>
      </c>
      <c r="AG53" s="193">
        <f t="shared" ref="AG53:AJ53" si="44">AG52/$AF51</f>
        <v>0.18289826152327415</v>
      </c>
      <c r="AH53" s="193">
        <f t="shared" si="44"/>
        <v>3.6189820666497154E-3</v>
      </c>
      <c r="AI53" s="193">
        <f t="shared" si="44"/>
        <v>-1.4042992455095475E-3</v>
      </c>
      <c r="AJ53" s="193">
        <f t="shared" si="44"/>
        <v>0.50681427532529266</v>
      </c>
      <c r="AM53" s="186" t="s">
        <v>598</v>
      </c>
      <c r="AN53" s="193">
        <f>AN52/$AN51</f>
        <v>0.26433164691884936</v>
      </c>
      <c r="AO53" s="193">
        <f t="shared" ref="AO53:AQ53" si="45">AO52/$AN51</f>
        <v>5.2302929611256835E-3</v>
      </c>
      <c r="AP53" s="193">
        <f t="shared" si="45"/>
        <v>-2.0295476252255389E-3</v>
      </c>
      <c r="AQ53" s="193">
        <f t="shared" si="45"/>
        <v>0.73246760774525055</v>
      </c>
    </row>
    <row r="54" spans="2:43" ht="18" x14ac:dyDescent="0.25">
      <c r="B54" s="134" t="s">
        <v>504</v>
      </c>
      <c r="C54" s="11" t="s">
        <v>567</v>
      </c>
      <c r="D54" s="15">
        <f t="shared" si="29"/>
        <v>7.2400889999999999E-3</v>
      </c>
      <c r="E54" s="189">
        <f t="shared" si="30"/>
        <v>7.1161990000000001E-3</v>
      </c>
      <c r="F54" s="189">
        <v>1.2389000000000001E-4</v>
      </c>
      <c r="H54" s="134" t="s">
        <v>504</v>
      </c>
      <c r="I54" s="11" t="s">
        <v>31</v>
      </c>
      <c r="J54" s="185">
        <f t="shared" si="31"/>
        <v>0.98288833189757752</v>
      </c>
      <c r="K54" s="185">
        <f t="shared" si="31"/>
        <v>1.7111668102422498E-2</v>
      </c>
      <c r="AE54" s="318" t="str">
        <f>$B$30</f>
        <v>Aquatic ecotoxicity</v>
      </c>
      <c r="AF54" s="15">
        <f>D11</f>
        <v>19480.539000000001</v>
      </c>
      <c r="AG54" s="15">
        <f>AN54*Calculations!$C$47</f>
        <v>13915.463260612021</v>
      </c>
      <c r="AH54" s="15">
        <f>AO54*Calculations!$C$47</f>
        <v>9950.852998383205</v>
      </c>
      <c r="AI54" s="15">
        <f>AP54*Calculations!$C$47</f>
        <v>9796.1024764224767</v>
      </c>
      <c r="AJ54" s="15">
        <f>AQ54*Calculations!$C$47</f>
        <v>9796.1031117990933</v>
      </c>
      <c r="AM54" s="318" t="str">
        <f>$B$30</f>
        <v>Aquatic ecotoxicity</v>
      </c>
      <c r="AN54" s="15">
        <f>D30</f>
        <v>4583.9056529585205</v>
      </c>
      <c r="AO54" s="15">
        <f>D49</f>
        <v>3277.9197110999999</v>
      </c>
      <c r="AP54" s="15">
        <f>D68</f>
        <v>3226.9431981999996</v>
      </c>
      <c r="AQ54" s="15">
        <f>D87</f>
        <v>3226.9434074999999</v>
      </c>
    </row>
    <row r="55" spans="2:43" ht="18" x14ac:dyDescent="0.25">
      <c r="B55" s="176" t="s">
        <v>505</v>
      </c>
      <c r="C55" s="165" t="s">
        <v>578</v>
      </c>
      <c r="D55" s="195">
        <f t="shared" si="29"/>
        <v>34.786835609999997</v>
      </c>
      <c r="E55" s="196">
        <f t="shared" si="30"/>
        <v>33.82795067</v>
      </c>
      <c r="F55" s="196">
        <v>0.95888494000000002</v>
      </c>
      <c r="H55" s="134" t="s">
        <v>505</v>
      </c>
      <c r="I55" s="11" t="s">
        <v>31</v>
      </c>
      <c r="J55" s="185">
        <f t="shared" si="31"/>
        <v>0.97243540772865378</v>
      </c>
      <c r="K55" s="185">
        <f t="shared" si="31"/>
        <v>2.7564592271346295E-2</v>
      </c>
      <c r="AE55" s="318"/>
      <c r="AF55" s="15">
        <f>AF54-AG54</f>
        <v>5565.0757393879794</v>
      </c>
      <c r="AG55" s="15">
        <f>AG54-AH54</f>
        <v>3964.6102622288163</v>
      </c>
      <c r="AH55" s="15">
        <f t="shared" ref="AH55:AJ55" si="46">AH54-AI54</f>
        <v>154.75052196072829</v>
      </c>
      <c r="AI55" s="15">
        <f t="shared" si="46"/>
        <v>-6.3537661662849132E-4</v>
      </c>
      <c r="AJ55" s="15">
        <f t="shared" si="46"/>
        <v>9796.1031117990933</v>
      </c>
      <c r="AM55" s="318"/>
      <c r="AN55" s="15">
        <f>AN54-AO54</f>
        <v>1305.9859418585206</v>
      </c>
      <c r="AO55" s="15">
        <f t="shared" ref="AO55:AQ55" si="47">AO54-AP54</f>
        <v>50.976512900000216</v>
      </c>
      <c r="AP55" s="15">
        <f t="shared" si="47"/>
        <v>-2.0930000027874485E-4</v>
      </c>
      <c r="AQ55" s="15">
        <f t="shared" si="47"/>
        <v>3226.9434074999999</v>
      </c>
    </row>
    <row r="56" spans="2:43" ht="30" x14ac:dyDescent="0.25">
      <c r="B56" s="134" t="s">
        <v>506</v>
      </c>
      <c r="C56" s="11" t="s">
        <v>517</v>
      </c>
      <c r="D56" s="15">
        <f t="shared" si="29"/>
        <v>1146.51996207</v>
      </c>
      <c r="E56" s="189">
        <f t="shared" si="30"/>
        <v>1126.9924684699999</v>
      </c>
      <c r="F56" s="189">
        <v>19.5274936</v>
      </c>
      <c r="H56" s="134" t="s">
        <v>506</v>
      </c>
      <c r="I56" s="11" t="s">
        <v>31</v>
      </c>
      <c r="J56" s="185">
        <f t="shared" si="31"/>
        <v>0.98296802999858468</v>
      </c>
      <c r="K56" s="185">
        <f t="shared" si="31"/>
        <v>1.7031970001415257E-2</v>
      </c>
      <c r="AE56" s="134" t="s">
        <v>598</v>
      </c>
      <c r="AF56" s="193">
        <f>AF55/$AF54</f>
        <v>0.28567360171030071</v>
      </c>
      <c r="AG56" s="193">
        <f t="shared" ref="AG56:AJ56" si="48">AG55/$AF54</f>
        <v>0.20351645620425679</v>
      </c>
      <c r="AH56" s="193">
        <f t="shared" si="48"/>
        <v>7.9438521675775139E-3</v>
      </c>
      <c r="AI56" s="193">
        <f t="shared" si="48"/>
        <v>-3.2615966972396981E-8</v>
      </c>
      <c r="AJ56" s="193">
        <f t="shared" si="48"/>
        <v>0.50286612253383201</v>
      </c>
      <c r="AM56" s="186" t="s">
        <v>598</v>
      </c>
      <c r="AN56" s="193">
        <f>AN55/$AN54</f>
        <v>0.28490681107618737</v>
      </c>
      <c r="AO56" s="193">
        <f t="shared" ref="AO56:AQ56" si="49">AO55/$AN54</f>
        <v>1.1120759622768244E-2</v>
      </c>
      <c r="AP56" s="193">
        <f t="shared" si="49"/>
        <v>-4.5659753084939594E-8</v>
      </c>
      <c r="AQ56" s="193">
        <f t="shared" si="49"/>
        <v>0.7039724749607974</v>
      </c>
    </row>
    <row r="57" spans="2:43" x14ac:dyDescent="0.25">
      <c r="B57" s="134" t="s">
        <v>507</v>
      </c>
      <c r="C57" s="11" t="s">
        <v>518</v>
      </c>
      <c r="D57" s="15">
        <f t="shared" si="29"/>
        <v>0.64538835999999988</v>
      </c>
      <c r="E57" s="189">
        <f t="shared" si="30"/>
        <v>0.63449432999999988</v>
      </c>
      <c r="F57" s="189">
        <v>1.0894030000000001E-2</v>
      </c>
      <c r="H57" s="134" t="s">
        <v>507</v>
      </c>
      <c r="I57" s="11" t="s">
        <v>31</v>
      </c>
      <c r="J57" s="185">
        <f t="shared" si="31"/>
        <v>0.98312019448259025</v>
      </c>
      <c r="K57" s="185">
        <f t="shared" si="31"/>
        <v>1.6879805517409707E-2</v>
      </c>
      <c r="AE57" s="318" t="str">
        <f>$B$31</f>
        <v>Terrestrial ecotoxicity</v>
      </c>
      <c r="AF57" s="15">
        <f>D12</f>
        <v>8920.0001140000004</v>
      </c>
      <c r="AG57" s="15">
        <f>AN57*Calculations!$C$47</f>
        <v>4793.893419137843</v>
      </c>
      <c r="AH57" s="15">
        <f>AO57*Calculations!$C$47</f>
        <v>3543.8043976468275</v>
      </c>
      <c r="AI57" s="15">
        <f>AP57*Calculations!$C$47</f>
        <v>3506.8164072688305</v>
      </c>
      <c r="AJ57" s="15">
        <f>AQ57*Calculations!$C$47</f>
        <v>3507.9381921571253</v>
      </c>
      <c r="AM57" s="318" t="str">
        <f>$B$31</f>
        <v>Terrestrial ecotoxicity</v>
      </c>
      <c r="AN57" s="15">
        <f>D31</f>
        <v>1579.1608753599</v>
      </c>
      <c r="AO57" s="15">
        <f>D50</f>
        <v>1167.3678919000001</v>
      </c>
      <c r="AP57" s="15">
        <f>D69</f>
        <v>1155.1836437000002</v>
      </c>
      <c r="AQ57" s="15">
        <f>D88</f>
        <v>1155.5531719000001</v>
      </c>
    </row>
    <row r="58" spans="2:43" x14ac:dyDescent="0.25">
      <c r="AE58" s="318"/>
      <c r="AF58" s="15">
        <f>AF57-AG57</f>
        <v>4126.1066948621574</v>
      </c>
      <c r="AG58" s="15">
        <f>AG57-AH57</f>
        <v>1250.0890214910155</v>
      </c>
      <c r="AH58" s="15">
        <f t="shared" ref="AH58:AJ58" si="50">AH57-AI57</f>
        <v>36.987990377996994</v>
      </c>
      <c r="AI58" s="15">
        <f t="shared" si="50"/>
        <v>-1.1217848882947692</v>
      </c>
      <c r="AJ58" s="15">
        <f t="shared" si="50"/>
        <v>3507.9381921571253</v>
      </c>
      <c r="AM58" s="318"/>
      <c r="AN58" s="15">
        <f>AN57-AO57</f>
        <v>411.79298345989992</v>
      </c>
      <c r="AO58" s="15">
        <f t="shared" ref="AO58:AQ58" si="51">AO57-AP57</f>
        <v>12.184248199999956</v>
      </c>
      <c r="AP58" s="15">
        <f t="shared" si="51"/>
        <v>-0.36952819999987696</v>
      </c>
      <c r="AQ58" s="15">
        <f t="shared" si="51"/>
        <v>1155.5531719000001</v>
      </c>
    </row>
    <row r="59" spans="2:43" ht="30" x14ac:dyDescent="0.25">
      <c r="B59" s="319" t="s">
        <v>675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AE59" s="134" t="s">
        <v>598</v>
      </c>
      <c r="AF59" s="193">
        <f>AF58/$AF57</f>
        <v>0.46256800920733232</v>
      </c>
      <c r="AG59" s="193">
        <f t="shared" ref="AG59:AJ59" si="52">AG58/$AF57</f>
        <v>0.14014450734467956</v>
      </c>
      <c r="AH59" s="193">
        <f t="shared" si="52"/>
        <v>4.1466356396054407E-3</v>
      </c>
      <c r="AI59" s="193">
        <f t="shared" si="52"/>
        <v>-1.2576063609395254E-4</v>
      </c>
      <c r="AJ59" s="193">
        <f t="shared" si="52"/>
        <v>0.39326660844447664</v>
      </c>
      <c r="AM59" s="186" t="s">
        <v>598</v>
      </c>
      <c r="AN59" s="193">
        <f>AN58/$AN57</f>
        <v>0.26076696167263508</v>
      </c>
      <c r="AO59" s="193">
        <f t="shared" ref="AO59:AQ59" si="53">AO58/$AN57</f>
        <v>7.7156472086626982E-3</v>
      </c>
      <c r="AP59" s="193">
        <f t="shared" si="53"/>
        <v>-2.3400288454819988E-4</v>
      </c>
      <c r="AQ59" s="193">
        <f t="shared" si="53"/>
        <v>0.7317513940032504</v>
      </c>
    </row>
    <row r="60" spans="2:43" x14ac:dyDescent="0.25">
      <c r="AE60" s="318" t="str">
        <f>$B$32</f>
        <v>Terrestrial acid/nutri</v>
      </c>
      <c r="AF60" s="15">
        <f>D13</f>
        <v>3.6170007329999998</v>
      </c>
      <c r="AG60" s="15">
        <f>AN60*Calculations!$C$47</f>
        <v>3.0635558398699025</v>
      </c>
      <c r="AH60" s="15">
        <f>AO60*Calculations!$C$47</f>
        <v>1.8912104270063315</v>
      </c>
      <c r="AI60" s="15">
        <f>AP60*Calculations!$C$47</f>
        <v>1.8330571041285482</v>
      </c>
      <c r="AJ60" s="15">
        <f>AQ60*Calculations!$C$47</f>
        <v>1.8434312287231416</v>
      </c>
      <c r="AM60" s="318" t="str">
        <f>$B$32</f>
        <v>Terrestrial acid/nutri</v>
      </c>
      <c r="AN60" s="15">
        <f>D32</f>
        <v>1.00916876927</v>
      </c>
      <c r="AO60" s="15">
        <f>D51</f>
        <v>0.62298538000000003</v>
      </c>
      <c r="AP60" s="15">
        <f>D70</f>
        <v>0.60382904000000004</v>
      </c>
      <c r="AQ60" s="15">
        <f>D89</f>
        <v>0.60724639000000002</v>
      </c>
    </row>
    <row r="61" spans="2:43" ht="30.95" customHeight="1" x14ac:dyDescent="0.25">
      <c r="B61" s="167" t="s">
        <v>569</v>
      </c>
      <c r="C61" s="167" t="s">
        <v>365</v>
      </c>
      <c r="D61" s="167" t="s">
        <v>596</v>
      </c>
      <c r="E61" s="167" t="s">
        <v>574</v>
      </c>
      <c r="F61" s="167" t="s">
        <v>572</v>
      </c>
      <c r="G61" s="167" t="s">
        <v>363</v>
      </c>
      <c r="I61" s="133" t="s">
        <v>569</v>
      </c>
      <c r="J61" s="133" t="s">
        <v>365</v>
      </c>
      <c r="K61" s="167" t="s">
        <v>574</v>
      </c>
      <c r="L61" s="167" t="s">
        <v>572</v>
      </c>
      <c r="M61" s="167" t="s">
        <v>363</v>
      </c>
      <c r="AE61" s="318"/>
      <c r="AF61" s="15">
        <f>AF60-AG60</f>
        <v>0.55344489313009726</v>
      </c>
      <c r="AG61" s="15">
        <f>AG60-AH60</f>
        <v>1.1723454128635711</v>
      </c>
      <c r="AH61" s="15">
        <f t="shared" ref="AH61:AJ61" si="54">AH60-AI60</f>
        <v>5.8153322877783298E-2</v>
      </c>
      <c r="AI61" s="15">
        <f t="shared" si="54"/>
        <v>-1.0374124594593415E-2</v>
      </c>
      <c r="AJ61" s="15">
        <f t="shared" si="54"/>
        <v>1.8434312287231416</v>
      </c>
      <c r="AM61" s="318"/>
      <c r="AN61" s="15">
        <f>AN60-AO60</f>
        <v>0.38618338926999995</v>
      </c>
      <c r="AO61" s="15">
        <f t="shared" ref="AO61:AQ61" si="55">AO60-AP60</f>
        <v>1.9156339999999994E-2</v>
      </c>
      <c r="AP61" s="15">
        <f t="shared" si="55"/>
        <v>-3.4173499999999857E-3</v>
      </c>
      <c r="AQ61" s="15">
        <f t="shared" si="55"/>
        <v>0.60724639000000002</v>
      </c>
    </row>
    <row r="62" spans="2:43" ht="30" x14ac:dyDescent="0.25">
      <c r="B62" s="134" t="s">
        <v>495</v>
      </c>
      <c r="C62" s="11" t="s">
        <v>564</v>
      </c>
      <c r="D62" s="15">
        <f>SUM(E62:G62)</f>
        <v>0.6540039299999999</v>
      </c>
      <c r="E62" s="189">
        <f>D81</f>
        <v>0.66825205999999993</v>
      </c>
      <c r="F62" s="189">
        <v>1.3882719999999999E-2</v>
      </c>
      <c r="G62" s="189">
        <v>-2.8130849999999999E-2</v>
      </c>
      <c r="H62" s="190">
        <f>SUM(E62:F62)</f>
        <v>0.68213477999999994</v>
      </c>
      <c r="I62" s="134" t="s">
        <v>495</v>
      </c>
      <c r="J62" s="11" t="s">
        <v>31</v>
      </c>
      <c r="K62" s="185">
        <f>E62/$H62</f>
        <v>0.97964812760316955</v>
      </c>
      <c r="L62" s="185">
        <f>F62/$H62</f>
        <v>2.0351872396830433E-2</v>
      </c>
      <c r="M62" s="185">
        <f>G62/$H62</f>
        <v>-4.1239430717782785E-2</v>
      </c>
      <c r="AE62" s="134" t="s">
        <v>598</v>
      </c>
      <c r="AF62" s="193">
        <f>AF61/$AF60</f>
        <v>0.15301210422234585</v>
      </c>
      <c r="AG62" s="193">
        <f t="shared" ref="AG62:AJ62" si="56">AG61/$AF60</f>
        <v>0.32412086681862751</v>
      </c>
      <c r="AH62" s="193">
        <f t="shared" si="56"/>
        <v>1.6077774700794703E-2</v>
      </c>
      <c r="AI62" s="193">
        <f t="shared" si="56"/>
        <v>-2.8681566193626247E-3</v>
      </c>
      <c r="AJ62" s="193">
        <f t="shared" si="56"/>
        <v>0.50965741087759453</v>
      </c>
      <c r="AM62" s="186" t="s">
        <v>598</v>
      </c>
      <c r="AN62" s="193">
        <f>AN61/$AN60</f>
        <v>0.38267473293823046</v>
      </c>
      <c r="AO62" s="193">
        <f t="shared" ref="AO62:AQ62" si="57">AO61/$AN60</f>
        <v>1.8982295710416278E-2</v>
      </c>
      <c r="AP62" s="193">
        <f t="shared" si="57"/>
        <v>-3.3863017802978445E-3</v>
      </c>
      <c r="AQ62" s="193">
        <f t="shared" si="57"/>
        <v>0.60172927313165114</v>
      </c>
    </row>
    <row r="63" spans="2:43" ht="18" x14ac:dyDescent="0.25">
      <c r="B63" s="134" t="s">
        <v>496</v>
      </c>
      <c r="C63" s="11" t="s">
        <v>564</v>
      </c>
      <c r="D63" s="15">
        <f t="shared" ref="D63:D76" si="58">SUM(E63:G63)</f>
        <v>0.49739549</v>
      </c>
      <c r="E63" s="189">
        <f t="shared" ref="E63:E76" si="59">D82</f>
        <v>0.50345110000000004</v>
      </c>
      <c r="F63" s="189">
        <v>5.2391299999999998E-3</v>
      </c>
      <c r="G63" s="189">
        <v>-1.1294739999999999E-2</v>
      </c>
      <c r="H63" s="190">
        <f t="shared" ref="H63:H76" si="60">SUM(E63:F63)</f>
        <v>0.50869023000000002</v>
      </c>
      <c r="I63" s="134" t="s">
        <v>496</v>
      </c>
      <c r="J63" s="11" t="s">
        <v>31</v>
      </c>
      <c r="K63" s="185">
        <f t="shared" ref="K63:K76" si="61">E63/$H63</f>
        <v>0.98970074577606892</v>
      </c>
      <c r="L63" s="185">
        <f t="shared" ref="L63:M76" si="62">F63/$H63</f>
        <v>1.0299254223931133E-2</v>
      </c>
      <c r="M63" s="185">
        <f t="shared" si="62"/>
        <v>-2.2203571710036576E-2</v>
      </c>
      <c r="AE63" s="318" t="str">
        <f>$B$33</f>
        <v>Land occupation</v>
      </c>
      <c r="AF63" s="15">
        <f>D14</f>
        <v>10.48</v>
      </c>
      <c r="AG63" s="15">
        <f>AN63*Calculations!$C$47</f>
        <v>8.1738701995778609</v>
      </c>
      <c r="AH63" s="15">
        <f>AO63*Calculations!$C$47</f>
        <v>2.0936273613741609</v>
      </c>
      <c r="AI63" s="15">
        <f>AP63*Calculations!$C$47</f>
        <v>2.0530428546006005</v>
      </c>
      <c r="AJ63" s="15">
        <f>AQ63*Calculations!$C$47</f>
        <v>2.0619931345030782</v>
      </c>
      <c r="AM63" s="318" t="str">
        <f>$B$33</f>
        <v>Land occupation</v>
      </c>
      <c r="AN63" s="15">
        <f>D33</f>
        <v>2.69256216</v>
      </c>
      <c r="AO63" s="15">
        <f>D52</f>
        <v>0.68966372999999992</v>
      </c>
      <c r="AP63" s="15">
        <f>D71</f>
        <v>0.67629474999999994</v>
      </c>
      <c r="AQ63" s="15">
        <f>D90</f>
        <v>0.67924306999999995</v>
      </c>
    </row>
    <row r="64" spans="2:43" x14ac:dyDescent="0.25">
      <c r="B64" s="134" t="s">
        <v>497</v>
      </c>
      <c r="C64" s="11" t="s">
        <v>512</v>
      </c>
      <c r="D64" s="15">
        <f t="shared" si="58"/>
        <v>3.7044789999999994E-2</v>
      </c>
      <c r="E64" s="189">
        <f t="shared" si="59"/>
        <v>3.92775E-2</v>
      </c>
      <c r="F64" s="189">
        <v>1.17157E-3</v>
      </c>
      <c r="G64" s="189">
        <v>-3.40428E-3</v>
      </c>
      <c r="H64" s="190">
        <f t="shared" si="60"/>
        <v>4.0449069999999997E-2</v>
      </c>
      <c r="I64" s="134" t="s">
        <v>497</v>
      </c>
      <c r="J64" s="11" t="s">
        <v>31</v>
      </c>
      <c r="K64" s="185">
        <f t="shared" si="61"/>
        <v>0.97103592245754977</v>
      </c>
      <c r="L64" s="185">
        <f t="shared" si="62"/>
        <v>2.8964077542450298E-2</v>
      </c>
      <c r="M64" s="185">
        <f t="shared" si="62"/>
        <v>-8.4162132775858642E-2</v>
      </c>
      <c r="AE64" s="318"/>
      <c r="AF64" s="15">
        <f>AF63-AG63</f>
        <v>2.3061298004221396</v>
      </c>
      <c r="AG64" s="15">
        <f>AG63-AH63</f>
        <v>6.0802428382037004</v>
      </c>
      <c r="AH64" s="15">
        <f t="shared" ref="AH64:AJ64" si="63">AH63-AI63</f>
        <v>4.0584506773560403E-2</v>
      </c>
      <c r="AI64" s="15">
        <f t="shared" si="63"/>
        <v>-8.9502799024776536E-3</v>
      </c>
      <c r="AJ64" s="15">
        <f t="shared" si="63"/>
        <v>2.0619931345030782</v>
      </c>
      <c r="AM64" s="318"/>
      <c r="AN64" s="15">
        <f>AN63-AO63</f>
        <v>2.0028984300000001</v>
      </c>
      <c r="AO64" s="15">
        <f t="shared" ref="AO64:AQ64" si="64">AO63-AP63</f>
        <v>1.3368979999999975E-2</v>
      </c>
      <c r="AP64" s="15">
        <f t="shared" si="64"/>
        <v>-2.9483200000000043E-3</v>
      </c>
      <c r="AQ64" s="15">
        <f t="shared" si="64"/>
        <v>0.67924306999999995</v>
      </c>
    </row>
    <row r="65" spans="2:43" ht="30" x14ac:dyDescent="0.25">
      <c r="B65" s="134" t="s">
        <v>561</v>
      </c>
      <c r="C65" s="11" t="s">
        <v>513</v>
      </c>
      <c r="D65" s="15">
        <f t="shared" si="58"/>
        <v>1187.0095444100002</v>
      </c>
      <c r="E65" s="189">
        <f t="shared" si="59"/>
        <v>1159.7029110100002</v>
      </c>
      <c r="F65" s="189">
        <v>41.838957200000003</v>
      </c>
      <c r="G65" s="189">
        <v>-14.5323238</v>
      </c>
      <c r="H65" s="190">
        <f t="shared" si="60"/>
        <v>1201.5418682100003</v>
      </c>
      <c r="I65" s="134" t="s">
        <v>561</v>
      </c>
      <c r="J65" s="11" t="s">
        <v>31</v>
      </c>
      <c r="K65" s="185">
        <f t="shared" si="61"/>
        <v>0.96517894356662759</v>
      </c>
      <c r="L65" s="185">
        <f t="shared" si="62"/>
        <v>3.4821056433372299E-2</v>
      </c>
      <c r="M65" s="185">
        <f t="shared" si="62"/>
        <v>-1.2094729434313898E-2</v>
      </c>
      <c r="AE65" s="134" t="s">
        <v>598</v>
      </c>
      <c r="AF65" s="193">
        <f>AF64/$AF63</f>
        <v>0.22005055347539498</v>
      </c>
      <c r="AG65" s="193">
        <f t="shared" ref="AG65:AJ65" si="65">AG64/$AF63</f>
        <v>0.58017584334004768</v>
      </c>
      <c r="AH65" s="193">
        <f t="shared" si="65"/>
        <v>3.872567440225229E-3</v>
      </c>
      <c r="AI65" s="193">
        <f t="shared" si="65"/>
        <v>-8.5403434183947073E-4</v>
      </c>
      <c r="AJ65" s="193">
        <f t="shared" si="65"/>
        <v>0.19675507008617157</v>
      </c>
      <c r="AM65" s="186" t="s">
        <v>598</v>
      </c>
      <c r="AN65" s="193">
        <f>AN64/$AN63</f>
        <v>0.74386339515370747</v>
      </c>
      <c r="AO65" s="193">
        <f t="shared" ref="AO65:AQ65" si="66">AO64/$AN63</f>
        <v>4.9651518537272973E-3</v>
      </c>
      <c r="AP65" s="193">
        <f t="shared" si="66"/>
        <v>-1.0949867913170124E-3</v>
      </c>
      <c r="AQ65" s="193">
        <f t="shared" si="66"/>
        <v>0.25226643978388225</v>
      </c>
    </row>
    <row r="66" spans="2:43" x14ac:dyDescent="0.25">
      <c r="B66" s="134" t="s">
        <v>498</v>
      </c>
      <c r="C66" s="11" t="s">
        <v>514</v>
      </c>
      <c r="D66" s="15">
        <f t="shared" si="58"/>
        <v>1.1145462000000001E-5</v>
      </c>
      <c r="E66" s="189">
        <f t="shared" si="59"/>
        <v>1.1085024E-5</v>
      </c>
      <c r="F66" s="189">
        <v>1.2408999999999999E-7</v>
      </c>
      <c r="G66" s="189">
        <v>-6.3652000000000006E-8</v>
      </c>
      <c r="H66" s="190">
        <f t="shared" si="60"/>
        <v>1.1209114000000001E-5</v>
      </c>
      <c r="I66" s="134" t="s">
        <v>498</v>
      </c>
      <c r="J66" s="11" t="s">
        <v>31</v>
      </c>
      <c r="K66" s="185">
        <f t="shared" si="61"/>
        <v>0.98892954429761348</v>
      </c>
      <c r="L66" s="185">
        <f t="shared" si="62"/>
        <v>1.1070455702386468E-2</v>
      </c>
      <c r="M66" s="185">
        <f t="shared" si="62"/>
        <v>-5.6785933303916793E-3</v>
      </c>
      <c r="AE66" s="318" t="str">
        <f>$B$34</f>
        <v>Aquatic acidification</v>
      </c>
      <c r="AF66" s="15">
        <f>D15</f>
        <v>1.2250026200000002</v>
      </c>
      <c r="AG66" s="15">
        <f>AN66*Calculations!$C$47</f>
        <v>653.68572692204543</v>
      </c>
      <c r="AH66" s="15">
        <f>AO66*Calculations!$C$47</f>
        <v>653.25713314810514</v>
      </c>
      <c r="AI66" s="15">
        <f>AP66*Calculations!$C$47</f>
        <v>653.23719513311914</v>
      </c>
      <c r="AJ66" s="15">
        <f>AQ66*Calculations!$C$47</f>
        <v>653.24029952315607</v>
      </c>
      <c r="AM66" s="318" t="str">
        <f>$B$34</f>
        <v>Aquatic acidification</v>
      </c>
      <c r="AN66" s="15">
        <f>D34</f>
        <v>215.3312213024</v>
      </c>
      <c r="AO66" s="15">
        <f>D53</f>
        <v>215.19003782999999</v>
      </c>
      <c r="AP66" s="15">
        <f>D72</f>
        <v>215.18347003</v>
      </c>
      <c r="AQ66" s="15">
        <f>D91</f>
        <v>215.18449264999998</v>
      </c>
    </row>
    <row r="67" spans="2:43" ht="18" x14ac:dyDescent="0.25">
      <c r="B67" s="134" t="s">
        <v>499</v>
      </c>
      <c r="C67" s="11" t="s">
        <v>565</v>
      </c>
      <c r="D67" s="15">
        <f t="shared" si="58"/>
        <v>1.5666529999999998E-2</v>
      </c>
      <c r="E67" s="189">
        <f t="shared" si="59"/>
        <v>1.5710059999999998E-2</v>
      </c>
      <c r="F67" s="189">
        <v>1.0696000000000001E-4</v>
      </c>
      <c r="G67" s="189">
        <v>-1.5049E-4</v>
      </c>
      <c r="H67" s="190">
        <f t="shared" si="60"/>
        <v>1.5817019999999998E-2</v>
      </c>
      <c r="I67" s="134" t="s">
        <v>499</v>
      </c>
      <c r="J67" s="11" t="s">
        <v>31</v>
      </c>
      <c r="K67" s="185">
        <f t="shared" si="61"/>
        <v>0.99323766423763771</v>
      </c>
      <c r="L67" s="185">
        <f t="shared" si="62"/>
        <v>6.7623357623623178E-3</v>
      </c>
      <c r="M67" s="185">
        <f t="shared" si="62"/>
        <v>-9.514434450990138E-3</v>
      </c>
      <c r="AE67" s="318"/>
      <c r="AF67" s="15">
        <f>AF66-AG66</f>
        <v>-652.46072430204538</v>
      </c>
      <c r="AG67" s="15">
        <f>AG66-AH66</f>
        <v>0.42859377394029252</v>
      </c>
      <c r="AH67" s="15">
        <f t="shared" ref="AH67:AJ67" si="67">AH66-AI66</f>
        <v>1.9938014985996233E-2</v>
      </c>
      <c r="AI67" s="15">
        <f t="shared" si="67"/>
        <v>-3.1043900369240873E-3</v>
      </c>
      <c r="AJ67" s="15">
        <f t="shared" si="67"/>
        <v>653.24029952315607</v>
      </c>
      <c r="AM67" s="318"/>
      <c r="AN67" s="15">
        <f>AN66-AO66</f>
        <v>0.14118347240000162</v>
      </c>
      <c r="AO67" s="15">
        <f t="shared" ref="AO67:AQ67" si="68">AO66-AP66</f>
        <v>6.5677999999991243E-3</v>
      </c>
      <c r="AP67" s="15">
        <f t="shared" si="68"/>
        <v>-1.0226199999863184E-3</v>
      </c>
      <c r="AQ67" s="15">
        <f t="shared" si="68"/>
        <v>215.18449264999998</v>
      </c>
    </row>
    <row r="68" spans="2:43" ht="30" x14ac:dyDescent="0.25">
      <c r="B68" s="134" t="s">
        <v>500</v>
      </c>
      <c r="C68" s="11" t="s">
        <v>515</v>
      </c>
      <c r="D68" s="15">
        <f t="shared" si="58"/>
        <v>3226.9431981999996</v>
      </c>
      <c r="E68" s="189">
        <f t="shared" si="59"/>
        <v>3226.9434074999999</v>
      </c>
      <c r="F68" s="189">
        <v>48.605032700000002</v>
      </c>
      <c r="G68" s="189">
        <v>-48.605241999999997</v>
      </c>
      <c r="H68" s="190">
        <f t="shared" si="60"/>
        <v>3275.5484401999997</v>
      </c>
      <c r="I68" s="134" t="s">
        <v>500</v>
      </c>
      <c r="J68" s="11" t="s">
        <v>31</v>
      </c>
      <c r="K68" s="185">
        <f t="shared" si="61"/>
        <v>0.98516125357711637</v>
      </c>
      <c r="L68" s="185">
        <f t="shared" si="62"/>
        <v>1.4838746422883691E-2</v>
      </c>
      <c r="M68" s="185">
        <f t="shared" si="62"/>
        <v>-1.4838810320580159E-2</v>
      </c>
      <c r="AE68" s="134" t="s">
        <v>598</v>
      </c>
      <c r="AF68" s="193">
        <f>AF67/$AF66</f>
        <v>-532.61986027592764</v>
      </c>
      <c r="AG68" s="193">
        <f t="shared" ref="AG68:AJ68" si="69">AG67/$AF66</f>
        <v>0.3498717202256208</v>
      </c>
      <c r="AH68" s="193">
        <f t="shared" si="69"/>
        <v>1.6275895790325925E-2</v>
      </c>
      <c r="AI68" s="193">
        <f t="shared" si="69"/>
        <v>-2.5341905284448183E-3</v>
      </c>
      <c r="AJ68" s="193">
        <f t="shared" si="69"/>
        <v>533.25624685044022</v>
      </c>
      <c r="AM68" s="186" t="s">
        <v>598</v>
      </c>
      <c r="AN68" s="193">
        <f>AN67/$AN66</f>
        <v>6.5565723143199415E-4</v>
      </c>
      <c r="AO68" s="193">
        <f t="shared" ref="AO68:AQ68" si="70">AO67/$AN66</f>
        <v>3.0500918353942028E-5</v>
      </c>
      <c r="AP68" s="193">
        <f t="shared" si="70"/>
        <v>-4.7490558675195726E-6</v>
      </c>
      <c r="AQ68" s="193">
        <f t="shared" si="70"/>
        <v>0.99931859090608155</v>
      </c>
    </row>
    <row r="69" spans="2:43" x14ac:dyDescent="0.25">
      <c r="B69" s="134" t="s">
        <v>562</v>
      </c>
      <c r="C69" s="11" t="s">
        <v>516</v>
      </c>
      <c r="D69" s="15">
        <f t="shared" si="58"/>
        <v>1155.1836437000002</v>
      </c>
      <c r="E69" s="189">
        <f t="shared" si="59"/>
        <v>1155.5531719000001</v>
      </c>
      <c r="F69" s="189">
        <v>11.6174243</v>
      </c>
      <c r="G69" s="189">
        <v>-11.986952499999999</v>
      </c>
      <c r="H69" s="190">
        <f t="shared" si="60"/>
        <v>1167.1705962000001</v>
      </c>
      <c r="I69" s="134" t="s">
        <v>562</v>
      </c>
      <c r="J69" s="11" t="s">
        <v>31</v>
      </c>
      <c r="K69" s="185">
        <f t="shared" si="61"/>
        <v>0.99004650705062025</v>
      </c>
      <c r="L69" s="185">
        <f t="shared" si="62"/>
        <v>9.9534929493796977E-3</v>
      </c>
      <c r="M69" s="185">
        <f t="shared" si="62"/>
        <v>-1.0270094653709028E-2</v>
      </c>
      <c r="AE69" s="318" t="str">
        <f>$B$35</f>
        <v>Aquatic eutrophication</v>
      </c>
      <c r="AF69" s="15">
        <f>D16</f>
        <v>0.10374</v>
      </c>
      <c r="AG69" s="15">
        <f>AN69*Calculations!$C$47</f>
        <v>9.5979763280728075E-2</v>
      </c>
      <c r="AH69" s="15">
        <f>AO69*Calculations!$C$47</f>
        <v>2.1978897497167336E-2</v>
      </c>
      <c r="AI69" s="15">
        <f>AP69*Calculations!$C$47</f>
        <v>2.1602801897938645E-2</v>
      </c>
      <c r="AJ69" s="15">
        <f>AQ69*Calculations!$C$47</f>
        <v>2.2033631564921743E-2</v>
      </c>
      <c r="AM69" s="318" t="str">
        <f>$B$35</f>
        <v>Aquatic eutrophication</v>
      </c>
      <c r="AN69" s="15">
        <f>D35</f>
        <v>3.16167828E-2</v>
      </c>
      <c r="AO69" s="15">
        <f>D54</f>
        <v>7.2400889999999999E-3</v>
      </c>
      <c r="AP69" s="15">
        <f>D73</f>
        <v>7.1161990000000001E-3</v>
      </c>
      <c r="AQ69" s="15">
        <f>D92</f>
        <v>7.2581190000000004E-3</v>
      </c>
    </row>
    <row r="70" spans="2:43" ht="18" x14ac:dyDescent="0.25">
      <c r="B70" s="134" t="s">
        <v>501</v>
      </c>
      <c r="C70" s="11" t="s">
        <v>566</v>
      </c>
      <c r="D70" s="15">
        <f t="shared" si="58"/>
        <v>0.60382904000000004</v>
      </c>
      <c r="E70" s="189">
        <f t="shared" si="59"/>
        <v>0.60724639000000002</v>
      </c>
      <c r="F70" s="189">
        <v>1.8265170000000001E-2</v>
      </c>
      <c r="G70" s="189">
        <v>-2.168252E-2</v>
      </c>
      <c r="H70" s="190">
        <f t="shared" si="60"/>
        <v>0.62551156000000008</v>
      </c>
      <c r="I70" s="134" t="s">
        <v>501</v>
      </c>
      <c r="J70" s="11" t="s">
        <v>31</v>
      </c>
      <c r="K70" s="185">
        <f t="shared" si="61"/>
        <v>0.97079962838736333</v>
      </c>
      <c r="L70" s="185">
        <f t="shared" si="62"/>
        <v>2.9200371612636541E-2</v>
      </c>
      <c r="M70" s="185">
        <f t="shared" si="62"/>
        <v>-3.4663659932999476E-2</v>
      </c>
      <c r="AE70" s="318"/>
      <c r="AF70" s="15">
        <f>AF69-AG69</f>
        <v>7.7602367192719235E-3</v>
      </c>
      <c r="AG70" s="15">
        <f>AG69-AH69</f>
        <v>7.4000865783560743E-2</v>
      </c>
      <c r="AH70" s="15">
        <f t="shared" ref="AH70:AJ70" si="71">AH69-AI69</f>
        <v>3.7609559922869087E-4</v>
      </c>
      <c r="AI70" s="15">
        <f t="shared" si="71"/>
        <v>-4.3082966698309785E-4</v>
      </c>
      <c r="AJ70" s="15">
        <f t="shared" si="71"/>
        <v>2.2033631564921743E-2</v>
      </c>
      <c r="AM70" s="318"/>
      <c r="AN70" s="15">
        <f>AN69-AO69</f>
        <v>2.4376693800000002E-2</v>
      </c>
      <c r="AO70" s="15">
        <f t="shared" ref="AO70:AQ70" si="72">AO69-AP69</f>
        <v>1.2388999999999976E-4</v>
      </c>
      <c r="AP70" s="15">
        <f t="shared" si="72"/>
        <v>-1.4192000000000024E-4</v>
      </c>
      <c r="AQ70" s="15">
        <f t="shared" si="72"/>
        <v>7.2581190000000004E-3</v>
      </c>
    </row>
    <row r="71" spans="2:43" ht="30" x14ac:dyDescent="0.25">
      <c r="B71" s="134" t="s">
        <v>502</v>
      </c>
      <c r="C71" s="11" t="s">
        <v>563</v>
      </c>
      <c r="D71" s="15">
        <f t="shared" si="58"/>
        <v>0.67629474999999994</v>
      </c>
      <c r="E71" s="189">
        <f t="shared" si="59"/>
        <v>0.67924306999999995</v>
      </c>
      <c r="F71" s="189">
        <v>1.2747039999999999E-2</v>
      </c>
      <c r="G71" s="189">
        <v>-1.5695359999999998E-2</v>
      </c>
      <c r="H71" s="190">
        <f t="shared" si="60"/>
        <v>0.69199010999999999</v>
      </c>
      <c r="I71" s="134" t="s">
        <v>502</v>
      </c>
      <c r="J71" s="11" t="s">
        <v>31</v>
      </c>
      <c r="K71" s="185">
        <f t="shared" si="61"/>
        <v>0.98157915869635759</v>
      </c>
      <c r="L71" s="185">
        <f t="shared" si="62"/>
        <v>1.842084130364233E-2</v>
      </c>
      <c r="M71" s="185">
        <f t="shared" si="62"/>
        <v>-2.2681480230981911E-2</v>
      </c>
      <c r="AE71" s="134" t="s">
        <v>598</v>
      </c>
      <c r="AF71" s="193">
        <f>AF70/$AF69</f>
        <v>7.4804672443338383E-2</v>
      </c>
      <c r="AG71" s="193">
        <f t="shared" ref="AG71:AJ71" si="73">AG70/$AF69</f>
        <v>0.71333011165954063</v>
      </c>
      <c r="AH71" s="193">
        <f t="shared" si="73"/>
        <v>3.6253672568796113E-3</v>
      </c>
      <c r="AI71" s="193">
        <f t="shared" si="73"/>
        <v>-4.1529753902361469E-3</v>
      </c>
      <c r="AJ71" s="193">
        <f t="shared" si="73"/>
        <v>0.21239282403047757</v>
      </c>
      <c r="AM71" s="186" t="s">
        <v>598</v>
      </c>
      <c r="AN71" s="193">
        <f>AN70/$AN69</f>
        <v>0.77100487909225224</v>
      </c>
      <c r="AO71" s="193">
        <f t="shared" ref="AO71:AQ71" si="74">AO70/$AN69</f>
        <v>3.9184885060474829E-3</v>
      </c>
      <c r="AP71" s="193">
        <f t="shared" si="74"/>
        <v>-4.4887552569074247E-3</v>
      </c>
      <c r="AQ71" s="193">
        <f t="shared" si="74"/>
        <v>0.22956538765860771</v>
      </c>
    </row>
    <row r="72" spans="2:43" ht="18" x14ac:dyDescent="0.25">
      <c r="B72" s="134" t="s">
        <v>503</v>
      </c>
      <c r="C72" s="11" t="s">
        <v>566</v>
      </c>
      <c r="D72" s="15">
        <f t="shared" si="58"/>
        <v>215.18347003</v>
      </c>
      <c r="E72" s="189">
        <f t="shared" si="59"/>
        <v>215.18449264999998</v>
      </c>
      <c r="F72" s="189">
        <v>6.2622600000000004E-3</v>
      </c>
      <c r="G72" s="189">
        <v>-7.2848799999999997E-3</v>
      </c>
      <c r="H72" s="190">
        <f t="shared" si="60"/>
        <v>215.19075490999998</v>
      </c>
      <c r="I72" s="134" t="s">
        <v>503</v>
      </c>
      <c r="J72" s="11" t="s">
        <v>31</v>
      </c>
      <c r="K72" s="185">
        <f t="shared" si="61"/>
        <v>0.99997089902861946</v>
      </c>
      <c r="L72" s="185">
        <f t="shared" si="62"/>
        <v>2.9100971380573894E-5</v>
      </c>
      <c r="M72" s="185">
        <f t="shared" si="62"/>
        <v>-3.3853127208214783E-5</v>
      </c>
      <c r="AE72" s="318" t="str">
        <f>$B$36</f>
        <v>Global warming</v>
      </c>
      <c r="AF72" s="15">
        <f>D17</f>
        <v>237.90000001830001</v>
      </c>
      <c r="AG72" s="15">
        <f>AN72*Calculations!$C$47</f>
        <v>175.11372553028386</v>
      </c>
      <c r="AH72" s="15">
        <f>AO72*Calculations!$C$47</f>
        <v>105.60316235380539</v>
      </c>
      <c r="AI72" s="15">
        <f>AP72*Calculations!$C$47</f>
        <v>102.69225424095796</v>
      </c>
      <c r="AJ72" s="15">
        <f>AQ72*Calculations!$C$47</f>
        <v>103.99246517761476</v>
      </c>
      <c r="AM72" s="318" t="str">
        <f>$B$36</f>
        <v>Global warming</v>
      </c>
      <c r="AN72" s="15">
        <f>D36</f>
        <v>57.684374665482096</v>
      </c>
      <c r="AO72" s="15">
        <f>D55</f>
        <v>34.786835609999997</v>
      </c>
      <c r="AP72" s="15">
        <f>D74</f>
        <v>33.82795067</v>
      </c>
      <c r="AQ72" s="15">
        <f>D93</f>
        <v>34.25625436</v>
      </c>
    </row>
    <row r="73" spans="2:43" ht="18" x14ac:dyDescent="0.25">
      <c r="B73" s="134" t="s">
        <v>504</v>
      </c>
      <c r="C73" s="11" t="s">
        <v>567</v>
      </c>
      <c r="D73" s="15">
        <f t="shared" si="58"/>
        <v>7.1161990000000001E-3</v>
      </c>
      <c r="E73" s="189">
        <f t="shared" si="59"/>
        <v>7.2581190000000004E-3</v>
      </c>
      <c r="F73" s="189">
        <v>1.1813E-4</v>
      </c>
      <c r="G73" s="189">
        <v>-2.6005000000000001E-4</v>
      </c>
      <c r="H73" s="190">
        <f t="shared" si="60"/>
        <v>7.3762490000000005E-3</v>
      </c>
      <c r="I73" s="134" t="s">
        <v>504</v>
      </c>
      <c r="J73" s="11" t="s">
        <v>31</v>
      </c>
      <c r="K73" s="185">
        <f t="shared" si="61"/>
        <v>0.98398508510219762</v>
      </c>
      <c r="L73" s="185">
        <f t="shared" si="62"/>
        <v>1.601491489780239E-2</v>
      </c>
      <c r="M73" s="185">
        <f t="shared" si="62"/>
        <v>-3.525504629792188E-2</v>
      </c>
      <c r="AE73" s="318"/>
      <c r="AF73" s="15">
        <f>AF72-AG72</f>
        <v>62.786274488016147</v>
      </c>
      <c r="AG73" s="15">
        <f>AG72-AH72</f>
        <v>69.51056317647847</v>
      </c>
      <c r="AH73" s="15">
        <f t="shared" ref="AH73:AJ73" si="75">AH72-AI72</f>
        <v>2.910908112847423</v>
      </c>
      <c r="AI73" s="15">
        <f t="shared" si="75"/>
        <v>-1.3002109366567964</v>
      </c>
      <c r="AJ73" s="15">
        <f t="shared" si="75"/>
        <v>103.99246517761476</v>
      </c>
      <c r="AM73" s="318"/>
      <c r="AN73" s="15">
        <f>AN72-AO72</f>
        <v>22.897539055482099</v>
      </c>
      <c r="AO73" s="15">
        <f t="shared" ref="AO73:AQ73" si="76">AO72-AP72</f>
        <v>0.95888493999999724</v>
      </c>
      <c r="AP73" s="15">
        <f t="shared" si="76"/>
        <v>-0.4283036899999999</v>
      </c>
      <c r="AQ73" s="15">
        <f t="shared" si="76"/>
        <v>34.25625436</v>
      </c>
    </row>
    <row r="74" spans="2:43" ht="30" x14ac:dyDescent="0.25">
      <c r="B74" s="176" t="s">
        <v>505</v>
      </c>
      <c r="C74" s="165" t="s">
        <v>578</v>
      </c>
      <c r="D74" s="195">
        <f t="shared" si="58"/>
        <v>33.82795067</v>
      </c>
      <c r="E74" s="196">
        <f t="shared" si="59"/>
        <v>34.25625436</v>
      </c>
      <c r="F74" s="196">
        <v>0.91427661999999998</v>
      </c>
      <c r="G74" s="196">
        <v>-1.34258031</v>
      </c>
      <c r="H74" s="190">
        <f t="shared" si="60"/>
        <v>35.170530980000002</v>
      </c>
      <c r="I74" s="134" t="s">
        <v>505</v>
      </c>
      <c r="J74" s="11" t="s">
        <v>31</v>
      </c>
      <c r="K74" s="185">
        <f t="shared" si="61"/>
        <v>0.97400446923818373</v>
      </c>
      <c r="L74" s="185">
        <f t="shared" si="62"/>
        <v>2.5995530761816207E-2</v>
      </c>
      <c r="M74" s="185">
        <f t="shared" si="62"/>
        <v>-3.8173444431745113E-2</v>
      </c>
      <c r="AE74" s="134" t="s">
        <v>598</v>
      </c>
      <c r="AF74" s="193">
        <f>AF73/$AF72</f>
        <v>0.26391876621768151</v>
      </c>
      <c r="AG74" s="193">
        <f t="shared" ref="AG74:AJ74" si="77">AG73/$AF72</f>
        <v>0.29218395616280579</v>
      </c>
      <c r="AH74" s="193">
        <f t="shared" si="77"/>
        <v>1.2235847467942441E-2</v>
      </c>
      <c r="AI74" s="193">
        <f t="shared" si="77"/>
        <v>-5.4653675349171085E-3</v>
      </c>
      <c r="AJ74" s="193">
        <f t="shared" si="77"/>
        <v>0.43712679768648732</v>
      </c>
      <c r="AM74" s="186" t="s">
        <v>598</v>
      </c>
      <c r="AN74" s="193">
        <f>AN73/$AN72</f>
        <v>0.39694525923644652</v>
      </c>
      <c r="AO74" s="193">
        <f t="shared" ref="AO74:AQ74" si="78">AO73/$AN72</f>
        <v>1.6622958046449744E-2</v>
      </c>
      <c r="AP74" s="193">
        <f t="shared" si="78"/>
        <v>-7.4249516005639163E-3</v>
      </c>
      <c r="AQ74" s="193">
        <f t="shared" si="78"/>
        <v>0.59385673431766761</v>
      </c>
    </row>
    <row r="75" spans="2:43" x14ac:dyDescent="0.25">
      <c r="B75" s="134" t="s">
        <v>506</v>
      </c>
      <c r="C75" s="11" t="s">
        <v>517</v>
      </c>
      <c r="D75" s="15">
        <f t="shared" si="58"/>
        <v>1126.9924684699999</v>
      </c>
      <c r="E75" s="189">
        <f t="shared" si="59"/>
        <v>1125.9890710699999</v>
      </c>
      <c r="F75" s="189">
        <v>18.619054299999998</v>
      </c>
      <c r="G75" s="189">
        <v>-17.615656900000001</v>
      </c>
      <c r="H75" s="190">
        <f t="shared" si="60"/>
        <v>1144.6081253699999</v>
      </c>
      <c r="I75" s="134" t="s">
        <v>506</v>
      </c>
      <c r="J75" s="11" t="s">
        <v>31</v>
      </c>
      <c r="K75" s="185">
        <f t="shared" si="61"/>
        <v>0.98373324993304467</v>
      </c>
      <c r="L75" s="185">
        <f t="shared" si="62"/>
        <v>1.6266750066955275E-2</v>
      </c>
      <c r="M75" s="185">
        <f t="shared" si="62"/>
        <v>-1.5390120434717042E-2</v>
      </c>
      <c r="AE75" s="318" t="str">
        <f>$B$37</f>
        <v>Non-renewable energy</v>
      </c>
      <c r="AF75" s="15">
        <f>D18</f>
        <v>5471.57</v>
      </c>
      <c r="AG75" s="15">
        <f>AN75*Calculations!$C$47</f>
        <v>4438.0639205511598</v>
      </c>
      <c r="AH75" s="15">
        <f>AO75*Calculations!$C$47</f>
        <v>3480.5158782982799</v>
      </c>
      <c r="AI75" s="15">
        <f>AP75*Calculations!$C$47</f>
        <v>3421.2358362696536</v>
      </c>
      <c r="AJ75" s="15">
        <f>AQ75*Calculations!$C$47</f>
        <v>3418.189800702477</v>
      </c>
      <c r="AM75" s="318" t="str">
        <f>$B$37</f>
        <v>Non-renewable energy</v>
      </c>
      <c r="AN75" s="15">
        <f>D37</f>
        <v>1461.9467503599999</v>
      </c>
      <c r="AO75" s="15">
        <f>D56</f>
        <v>1146.51996207</v>
      </c>
      <c r="AP75" s="15">
        <f>D75</f>
        <v>1126.9924684699999</v>
      </c>
      <c r="AQ75" s="15">
        <f>D94</f>
        <v>1125.9890710699999</v>
      </c>
    </row>
    <row r="76" spans="2:43" x14ac:dyDescent="0.25">
      <c r="B76" s="134" t="s">
        <v>507</v>
      </c>
      <c r="C76" s="11" t="s">
        <v>518</v>
      </c>
      <c r="D76" s="15">
        <f t="shared" si="58"/>
        <v>0.63449432999999988</v>
      </c>
      <c r="E76" s="189">
        <f t="shared" si="59"/>
        <v>0.63685430999999992</v>
      </c>
      <c r="F76" s="189">
        <v>1.0387230000000001E-2</v>
      </c>
      <c r="G76" s="189">
        <v>-1.274721E-2</v>
      </c>
      <c r="H76" s="190">
        <f t="shared" si="60"/>
        <v>0.64724153999999989</v>
      </c>
      <c r="I76" s="134" t="s">
        <v>507</v>
      </c>
      <c r="J76" s="11" t="s">
        <v>31</v>
      </c>
      <c r="K76" s="185">
        <f t="shared" si="61"/>
        <v>0.98395153994596829</v>
      </c>
      <c r="L76" s="185">
        <f t="shared" si="62"/>
        <v>1.6048460054031766E-2</v>
      </c>
      <c r="M76" s="185">
        <f t="shared" si="62"/>
        <v>-1.9694672254812327E-2</v>
      </c>
      <c r="AE76" s="318"/>
      <c r="AF76" s="15">
        <f>AF75-AG75</f>
        <v>1033.50607944884</v>
      </c>
      <c r="AG76" s="15">
        <f>AG75-AH75</f>
        <v>957.5480422528799</v>
      </c>
      <c r="AH76" s="15">
        <f t="shared" ref="AH76:AJ76" si="79">AH75-AI75</f>
        <v>59.280042028626212</v>
      </c>
      <c r="AI76" s="15">
        <f t="shared" si="79"/>
        <v>3.0460355671766592</v>
      </c>
      <c r="AJ76" s="15">
        <f t="shared" si="79"/>
        <v>3418.189800702477</v>
      </c>
      <c r="AM76" s="318"/>
      <c r="AN76" s="15">
        <f>AN75-AO75</f>
        <v>315.42678828999988</v>
      </c>
      <c r="AO76" s="15">
        <f t="shared" ref="AO76:AQ76" si="80">AO75-AP75</f>
        <v>19.527493600000071</v>
      </c>
      <c r="AP76" s="15">
        <f t="shared" si="80"/>
        <v>1.0033974000000399</v>
      </c>
      <c r="AQ76" s="15">
        <f t="shared" si="80"/>
        <v>1125.9890710699999</v>
      </c>
    </row>
    <row r="77" spans="2:43" ht="30" x14ac:dyDescent="0.25">
      <c r="AE77" s="134" t="s">
        <v>598</v>
      </c>
      <c r="AF77" s="193">
        <f>AF76/$AF75</f>
        <v>0.18888656810546881</v>
      </c>
      <c r="AG77" s="193">
        <f t="shared" ref="AG77:AJ77" si="81">AG76/$AF75</f>
        <v>0.17500425695968067</v>
      </c>
      <c r="AH77" s="193">
        <f t="shared" si="81"/>
        <v>1.0834192385115463E-2</v>
      </c>
      <c r="AI77" s="193">
        <f t="shared" si="81"/>
        <v>5.5670229334115427E-4</v>
      </c>
      <c r="AJ77" s="193">
        <f t="shared" si="81"/>
        <v>0.62471828025639387</v>
      </c>
      <c r="AM77" s="186" t="s">
        <v>598</v>
      </c>
      <c r="AN77" s="193">
        <f>AN76/$AN75</f>
        <v>0.2157580556284468</v>
      </c>
      <c r="AO77" s="193">
        <f t="shared" ref="AO77:AQ77" si="82">AO76/$AN75</f>
        <v>1.3357185270387916E-2</v>
      </c>
      <c r="AP77" s="193">
        <f t="shared" si="82"/>
        <v>6.8634332936747271E-4</v>
      </c>
      <c r="AQ77" s="193">
        <f t="shared" si="82"/>
        <v>0.77019841577179782</v>
      </c>
    </row>
    <row r="78" spans="2:43" x14ac:dyDescent="0.25">
      <c r="B78" s="319" t="s">
        <v>676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AE78" s="318" t="str">
        <f>$B$38</f>
        <v>Mineral extraction</v>
      </c>
      <c r="AF78" s="15">
        <f>D19</f>
        <v>8.3330000000000002</v>
      </c>
      <c r="AG78" s="15">
        <f>AN78*Calculations!$C$47</f>
        <v>6.962688064311946</v>
      </c>
      <c r="AH78" s="15">
        <f>AO78*Calculations!$C$47</f>
        <v>1.9592196463751936</v>
      </c>
      <c r="AI78" s="15">
        <f>AP78*Calculations!$C$47</f>
        <v>1.9261483997784923</v>
      </c>
      <c r="AJ78" s="15">
        <f>AQ78*Calculations!$C$47</f>
        <v>1.9333126429964091</v>
      </c>
      <c r="AM78" s="318" t="str">
        <f>$B$38</f>
        <v>Mineral extraction</v>
      </c>
      <c r="AN78" s="15">
        <f>D38</f>
        <v>2.2935855299999997</v>
      </c>
      <c r="AO78" s="15">
        <f>D57</f>
        <v>0.64538835999999988</v>
      </c>
      <c r="AP78" s="15">
        <f>D76</f>
        <v>0.63449432999999988</v>
      </c>
      <c r="AQ78" s="15">
        <f>D95</f>
        <v>0.63685430999999992</v>
      </c>
    </row>
    <row r="79" spans="2:43" x14ac:dyDescent="0.25">
      <c r="AE79" s="318"/>
      <c r="AF79" s="15">
        <f>AF78-AG78</f>
        <v>1.3703119356880542</v>
      </c>
      <c r="AG79" s="15">
        <f>AG78-AH78</f>
        <v>5.0034684179367526</v>
      </c>
      <c r="AH79" s="15">
        <f t="shared" ref="AH79:AJ79" si="83">AH78-AI78</f>
        <v>3.3071246596701354E-2</v>
      </c>
      <c r="AI79" s="15">
        <f t="shared" si="83"/>
        <v>-7.1642432179168658E-3</v>
      </c>
      <c r="AJ79" s="15">
        <f t="shared" si="83"/>
        <v>1.9333126429964091</v>
      </c>
      <c r="AM79" s="318"/>
      <c r="AN79" s="15">
        <f>AN78-AO78</f>
        <v>1.6481971699999998</v>
      </c>
      <c r="AO79" s="15">
        <f t="shared" ref="AO79:AQ79" si="84">AO78-AP78</f>
        <v>1.0894029999999999E-2</v>
      </c>
      <c r="AP79" s="15">
        <f t="shared" si="84"/>
        <v>-2.3599800000000393E-3</v>
      </c>
      <c r="AQ79" s="15">
        <f t="shared" si="84"/>
        <v>0.63685430999999992</v>
      </c>
    </row>
    <row r="80" spans="2:43" ht="32.450000000000003" customHeight="1" x14ac:dyDescent="0.25">
      <c r="B80" s="167" t="s">
        <v>569</v>
      </c>
      <c r="C80" s="167" t="s">
        <v>365</v>
      </c>
      <c r="D80" s="167" t="s">
        <v>223</v>
      </c>
      <c r="E80" s="167" t="s">
        <v>597</v>
      </c>
      <c r="F80" s="167" t="s">
        <v>575</v>
      </c>
      <c r="G80" s="167" t="s">
        <v>577</v>
      </c>
      <c r="H80" s="167" t="s">
        <v>217</v>
      </c>
      <c r="I80" s="167" t="s">
        <v>576</v>
      </c>
      <c r="J80" s="167" t="s">
        <v>572</v>
      </c>
      <c r="L80" s="133" t="s">
        <v>569</v>
      </c>
      <c r="M80" s="133" t="s">
        <v>365</v>
      </c>
      <c r="N80" s="167" t="s">
        <v>597</v>
      </c>
      <c r="O80" s="167" t="s">
        <v>575</v>
      </c>
      <c r="P80" s="167" t="s">
        <v>577</v>
      </c>
      <c r="Q80" s="167" t="s">
        <v>217</v>
      </c>
      <c r="R80" s="167" t="s">
        <v>576</v>
      </c>
      <c r="S80" s="167" t="s">
        <v>572</v>
      </c>
      <c r="AE80" s="134" t="s">
        <v>598</v>
      </c>
      <c r="AF80" s="193">
        <f>AF79/$AF78</f>
        <v>0.16444401004296821</v>
      </c>
      <c r="AG80" s="193">
        <f t="shared" ref="AG80:AJ80" si="85">AG79/$AF78</f>
        <v>0.60044022776152073</v>
      </c>
      <c r="AH80" s="193">
        <f t="shared" si="85"/>
        <v>3.9687083399377598E-3</v>
      </c>
      <c r="AI80" s="193">
        <f t="shared" si="85"/>
        <v>-8.5974357589305964E-4</v>
      </c>
      <c r="AJ80" s="193">
        <f t="shared" si="85"/>
        <v>0.23200679743146635</v>
      </c>
      <c r="AM80" s="186" t="s">
        <v>598</v>
      </c>
      <c r="AN80" s="193">
        <f>AN79/$AN78</f>
        <v>0.71861160111173183</v>
      </c>
      <c r="AO80" s="193">
        <f t="shared" ref="AO80:AQ80" si="86">AO79/$AN78</f>
        <v>4.7497814480892721E-3</v>
      </c>
      <c r="AP80" s="193">
        <f t="shared" si="86"/>
        <v>-1.0289478936501835E-3</v>
      </c>
      <c r="AQ80" s="193">
        <f t="shared" si="86"/>
        <v>0.27766756533382908</v>
      </c>
    </row>
    <row r="81" spans="2:19" ht="18" x14ac:dyDescent="0.25">
      <c r="B81" s="134" t="s">
        <v>495</v>
      </c>
      <c r="C81" s="11" t="s">
        <v>564</v>
      </c>
      <c r="D81" s="15">
        <f t="shared" ref="D81:D92" si="87">SUM(F81:J81)</f>
        <v>0.66825205999999993</v>
      </c>
      <c r="E81" s="189">
        <v>0</v>
      </c>
      <c r="F81" s="189">
        <v>6.9699999999999998E-2</v>
      </c>
      <c r="G81" s="189">
        <v>0.218</v>
      </c>
      <c r="H81" s="189">
        <v>0.21027225999999999</v>
      </c>
      <c r="I81" s="189">
        <v>1.9946129999999999E-2</v>
      </c>
      <c r="J81" s="189">
        <v>0.15033367</v>
      </c>
      <c r="L81" s="134" t="s">
        <v>495</v>
      </c>
      <c r="M81" s="11" t="s">
        <v>31</v>
      </c>
      <c r="N81" s="185">
        <f t="shared" ref="N81:S81" si="88">E81/$D81</f>
        <v>0</v>
      </c>
      <c r="O81" s="185">
        <f t="shared" si="88"/>
        <v>0.10430196055063415</v>
      </c>
      <c r="P81" s="185">
        <f t="shared" si="88"/>
        <v>0.32622420946970221</v>
      </c>
      <c r="Q81" s="185">
        <f t="shared" si="88"/>
        <v>0.3146600999628793</v>
      </c>
      <c r="R81" s="185">
        <f t="shared" si="88"/>
        <v>2.984821326252253E-2</v>
      </c>
      <c r="S81" s="185">
        <f t="shared" si="88"/>
        <v>0.22496551675426188</v>
      </c>
    </row>
    <row r="82" spans="2:19" ht="18" x14ac:dyDescent="0.25">
      <c r="B82" s="134" t="s">
        <v>496</v>
      </c>
      <c r="C82" s="11" t="s">
        <v>564</v>
      </c>
      <c r="D82" s="15">
        <f t="shared" si="87"/>
        <v>0.50345110000000004</v>
      </c>
      <c r="E82" s="189">
        <v>0</v>
      </c>
      <c r="F82" s="189">
        <v>0.157</v>
      </c>
      <c r="G82" s="189">
        <v>0.12</v>
      </c>
      <c r="H82" s="189">
        <v>0.10253900000000001</v>
      </c>
      <c r="I82" s="189">
        <v>6.7178489999999993E-2</v>
      </c>
      <c r="J82" s="189">
        <v>5.6733609999999997E-2</v>
      </c>
      <c r="L82" s="134" t="s">
        <v>496</v>
      </c>
      <c r="M82" s="11" t="s">
        <v>31</v>
      </c>
      <c r="N82" s="185">
        <f t="shared" ref="N82:N95" si="89">E82/$D82</f>
        <v>0</v>
      </c>
      <c r="O82" s="185">
        <f t="shared" ref="O82:O95" si="90">F82/$D82</f>
        <v>0.31184756573180589</v>
      </c>
      <c r="P82" s="185">
        <f t="shared" ref="P82:P95" si="91">G82/$D82</f>
        <v>0.23835482731093444</v>
      </c>
      <c r="Q82" s="185">
        <f t="shared" ref="Q82:Q95" si="92">H82/$D82</f>
        <v>0.20367221364696592</v>
      </c>
      <c r="R82" s="185">
        <f t="shared" ref="R82:R95" si="93">I82/$D82</f>
        <v>0.1334359781913278</v>
      </c>
      <c r="S82" s="185">
        <f t="shared" ref="S82:S95" si="94">J82/$D82</f>
        <v>0.11268941511896585</v>
      </c>
    </row>
    <row r="83" spans="2:19" x14ac:dyDescent="0.25">
      <c r="B83" s="134" t="s">
        <v>497</v>
      </c>
      <c r="C83" s="11" t="s">
        <v>512</v>
      </c>
      <c r="D83" s="15">
        <f t="shared" si="87"/>
        <v>3.92775E-2</v>
      </c>
      <c r="E83" s="189">
        <v>0</v>
      </c>
      <c r="F83" s="189">
        <v>5.5100000000000001E-3</v>
      </c>
      <c r="G83" s="189">
        <v>1.6E-2</v>
      </c>
      <c r="H83" s="189">
        <v>4.2387400000000004E-3</v>
      </c>
      <c r="I83" s="189">
        <v>8.4197999999999999E-4</v>
      </c>
      <c r="J83" s="189">
        <v>1.268678E-2</v>
      </c>
      <c r="L83" s="134" t="s">
        <v>497</v>
      </c>
      <c r="M83" s="11" t="s">
        <v>31</v>
      </c>
      <c r="N83" s="185">
        <f t="shared" si="89"/>
        <v>0</v>
      </c>
      <c r="O83" s="185">
        <f t="shared" si="90"/>
        <v>0.14028387753803068</v>
      </c>
      <c r="P83" s="185">
        <f t="shared" si="91"/>
        <v>0.40735790210680417</v>
      </c>
      <c r="Q83" s="185">
        <f t="shared" si="92"/>
        <v>0.1079177646235122</v>
      </c>
      <c r="R83" s="185">
        <f t="shared" si="93"/>
        <v>2.1436700400992936E-2</v>
      </c>
      <c r="S83" s="185">
        <f t="shared" si="94"/>
        <v>0.32300375533066006</v>
      </c>
    </row>
    <row r="84" spans="2:19" x14ac:dyDescent="0.25">
      <c r="B84" s="134" t="s">
        <v>561</v>
      </c>
      <c r="C84" s="11" t="s">
        <v>513</v>
      </c>
      <c r="D84" s="15">
        <f t="shared" si="87"/>
        <v>1159.7029110100002</v>
      </c>
      <c r="E84" s="189">
        <v>0</v>
      </c>
      <c r="F84" s="189">
        <v>73.7</v>
      </c>
      <c r="G84" s="189">
        <v>511</v>
      </c>
      <c r="H84" s="189">
        <v>116.967382</v>
      </c>
      <c r="I84" s="189">
        <v>4.9685110100000003</v>
      </c>
      <c r="J84" s="189">
        <v>453.06701800000002</v>
      </c>
      <c r="L84" s="134" t="s">
        <v>561</v>
      </c>
      <c r="M84" s="11" t="s">
        <v>31</v>
      </c>
      <c r="N84" s="185">
        <f t="shared" si="89"/>
        <v>0</v>
      </c>
      <c r="O84" s="185">
        <f t="shared" si="90"/>
        <v>6.3550758819613307E-2</v>
      </c>
      <c r="P84" s="185">
        <f t="shared" si="91"/>
        <v>0.44063009168008688</v>
      </c>
      <c r="Q84" s="185">
        <f t="shared" si="92"/>
        <v>0.10085978131945154</v>
      </c>
      <c r="R84" s="185">
        <f t="shared" si="93"/>
        <v>4.2842964028372236E-3</v>
      </c>
      <c r="S84" s="185">
        <f t="shared" si="94"/>
        <v>0.39067507177801092</v>
      </c>
    </row>
    <row r="85" spans="2:19" x14ac:dyDescent="0.25">
      <c r="B85" s="134" t="s">
        <v>498</v>
      </c>
      <c r="C85" s="11" t="s">
        <v>514</v>
      </c>
      <c r="D85" s="15">
        <f t="shared" si="87"/>
        <v>1.1085024E-5</v>
      </c>
      <c r="E85" s="189">
        <v>0</v>
      </c>
      <c r="F85" s="189">
        <v>1.6199999999999999E-6</v>
      </c>
      <c r="G85" s="189">
        <v>7.7200000000000006E-6</v>
      </c>
      <c r="H85" s="189">
        <v>3.6693000000000002E-7</v>
      </c>
      <c r="I85" s="189">
        <v>3.4294000000000003E-8</v>
      </c>
      <c r="J85" s="189">
        <v>1.3437999999999999E-6</v>
      </c>
      <c r="L85" s="134" t="s">
        <v>498</v>
      </c>
      <c r="M85" s="11" t="s">
        <v>31</v>
      </c>
      <c r="N85" s="185">
        <f t="shared" si="89"/>
        <v>0</v>
      </c>
      <c r="O85" s="185">
        <f t="shared" si="90"/>
        <v>0.14614312066442076</v>
      </c>
      <c r="P85" s="185">
        <f t="shared" si="91"/>
        <v>0.69643511822798043</v>
      </c>
      <c r="Q85" s="185">
        <f t="shared" si="92"/>
        <v>3.3101416830491302E-2</v>
      </c>
      <c r="R85" s="185">
        <f t="shared" si="93"/>
        <v>3.0937235679417566E-3</v>
      </c>
      <c r="S85" s="185">
        <f t="shared" si="94"/>
        <v>0.1212266207091658</v>
      </c>
    </row>
    <row r="86" spans="2:19" ht="18" x14ac:dyDescent="0.25">
      <c r="B86" s="134" t="s">
        <v>499</v>
      </c>
      <c r="C86" s="11" t="s">
        <v>565</v>
      </c>
      <c r="D86" s="15">
        <f t="shared" si="87"/>
        <v>1.5710059999999998E-2</v>
      </c>
      <c r="E86" s="189">
        <v>0</v>
      </c>
      <c r="F86" s="189">
        <v>4.0299999999999997E-3</v>
      </c>
      <c r="G86" s="189">
        <v>9.0399999999999994E-3</v>
      </c>
      <c r="H86" s="189">
        <v>1.34566E-3</v>
      </c>
      <c r="I86" s="189">
        <v>1.3613000000000001E-4</v>
      </c>
      <c r="J86" s="189">
        <v>1.1582700000000001E-3</v>
      </c>
      <c r="L86" s="134" t="s">
        <v>499</v>
      </c>
      <c r="M86" s="11" t="s">
        <v>31</v>
      </c>
      <c r="N86" s="185">
        <f t="shared" si="89"/>
        <v>0</v>
      </c>
      <c r="O86" s="185">
        <f t="shared" si="90"/>
        <v>0.25652352696297787</v>
      </c>
      <c r="P86" s="185">
        <f t="shared" si="91"/>
        <v>0.57542746494921093</v>
      </c>
      <c r="Q86" s="185">
        <f t="shared" si="92"/>
        <v>8.5655942752605671E-2</v>
      </c>
      <c r="R86" s="185">
        <f t="shared" si="93"/>
        <v>8.6651483189752326E-3</v>
      </c>
      <c r="S86" s="185">
        <f t="shared" si="94"/>
        <v>7.3727917016230382E-2</v>
      </c>
    </row>
    <row r="87" spans="2:19" x14ac:dyDescent="0.25">
      <c r="B87" s="134" t="s">
        <v>500</v>
      </c>
      <c r="C87" s="11" t="s">
        <v>515</v>
      </c>
      <c r="D87" s="15">
        <f t="shared" si="87"/>
        <v>3226.9434074999999</v>
      </c>
      <c r="E87" s="189">
        <v>0</v>
      </c>
      <c r="F87" s="189">
        <v>774</v>
      </c>
      <c r="G87" s="189">
        <v>1660</v>
      </c>
      <c r="H87" s="189">
        <v>237.652613</v>
      </c>
      <c r="I87" s="189">
        <v>28.955092499999999</v>
      </c>
      <c r="J87" s="189">
        <v>526.33570199999997</v>
      </c>
      <c r="L87" s="134" t="s">
        <v>500</v>
      </c>
      <c r="M87" s="11" t="s">
        <v>31</v>
      </c>
      <c r="N87" s="185">
        <f t="shared" si="89"/>
        <v>0</v>
      </c>
      <c r="O87" s="185">
        <f t="shared" si="90"/>
        <v>0.23985546142553479</v>
      </c>
      <c r="P87" s="185">
        <f t="shared" si="91"/>
        <v>0.51441868987905393</v>
      </c>
      <c r="Q87" s="185">
        <f t="shared" si="92"/>
        <v>7.3646352907104709E-2</v>
      </c>
      <c r="R87" s="185">
        <f t="shared" si="93"/>
        <v>8.9729161139619398E-3</v>
      </c>
      <c r="S87" s="185">
        <f t="shared" si="94"/>
        <v>0.16310657967434466</v>
      </c>
    </row>
    <row r="88" spans="2:19" x14ac:dyDescent="0.25">
      <c r="B88" s="134" t="s">
        <v>562</v>
      </c>
      <c r="C88" s="11" t="s">
        <v>516</v>
      </c>
      <c r="D88" s="15">
        <f t="shared" si="87"/>
        <v>1155.5531719000001</v>
      </c>
      <c r="E88" s="189">
        <v>0</v>
      </c>
      <c r="F88" s="189">
        <v>574</v>
      </c>
      <c r="G88" s="189">
        <v>373</v>
      </c>
      <c r="H88" s="189">
        <v>72.520386299999998</v>
      </c>
      <c r="I88" s="189">
        <v>10.229657599999999</v>
      </c>
      <c r="J88" s="189">
        <v>125.803128</v>
      </c>
      <c r="L88" s="134" t="s">
        <v>562</v>
      </c>
      <c r="M88" s="11" t="s">
        <v>31</v>
      </c>
      <c r="N88" s="185">
        <f t="shared" si="89"/>
        <v>0</v>
      </c>
      <c r="O88" s="185">
        <f t="shared" si="90"/>
        <v>0.49673179387860583</v>
      </c>
      <c r="P88" s="185">
        <f t="shared" si="91"/>
        <v>0.32278912738104526</v>
      </c>
      <c r="Q88" s="185">
        <f t="shared" si="92"/>
        <v>6.275815606196597E-2</v>
      </c>
      <c r="R88" s="185">
        <f t="shared" si="93"/>
        <v>8.85260656866187E-3</v>
      </c>
      <c r="S88" s="185">
        <f t="shared" si="94"/>
        <v>0.10886831610972102</v>
      </c>
    </row>
    <row r="89" spans="2:19" ht="18" x14ac:dyDescent="0.25">
      <c r="B89" s="134" t="s">
        <v>501</v>
      </c>
      <c r="C89" s="11" t="s">
        <v>566</v>
      </c>
      <c r="D89" s="15">
        <f t="shared" si="87"/>
        <v>0.60724639000000002</v>
      </c>
      <c r="E89" s="189">
        <v>0</v>
      </c>
      <c r="F89" s="189">
        <v>7.7399999999999997E-2</v>
      </c>
      <c r="G89" s="189">
        <v>0.26300000000000001</v>
      </c>
      <c r="H89" s="189">
        <v>5.6835259999999999E-2</v>
      </c>
      <c r="I89" s="189">
        <v>1.2220679999999999E-2</v>
      </c>
      <c r="J89" s="189">
        <v>0.19779045000000001</v>
      </c>
      <c r="L89" s="134" t="s">
        <v>501</v>
      </c>
      <c r="M89" s="11" t="s">
        <v>31</v>
      </c>
      <c r="N89" s="185">
        <f t="shared" si="89"/>
        <v>0</v>
      </c>
      <c r="O89" s="185">
        <f t="shared" si="90"/>
        <v>0.12746061775682188</v>
      </c>
      <c r="P89" s="185">
        <f t="shared" si="91"/>
        <v>0.43310261589204341</v>
      </c>
      <c r="Q89" s="185">
        <f t="shared" si="92"/>
        <v>9.3595056201157489E-2</v>
      </c>
      <c r="R89" s="185">
        <f t="shared" si="93"/>
        <v>2.0124747056956566E-2</v>
      </c>
      <c r="S89" s="185">
        <f t="shared" si="94"/>
        <v>0.32571696309302062</v>
      </c>
    </row>
    <row r="90" spans="2:19" x14ac:dyDescent="0.25">
      <c r="B90" s="134" t="s">
        <v>502</v>
      </c>
      <c r="C90" s="11" t="s">
        <v>563</v>
      </c>
      <c r="D90" s="15">
        <f t="shared" si="87"/>
        <v>0.67924306999999995</v>
      </c>
      <c r="E90" s="189">
        <v>0</v>
      </c>
      <c r="F90" s="189">
        <v>0.32</v>
      </c>
      <c r="G90" s="189">
        <v>0.14499999999999999</v>
      </c>
      <c r="H90" s="189">
        <v>7.0936570000000004E-2</v>
      </c>
      <c r="I90" s="189">
        <v>5.2709300000000001E-3</v>
      </c>
      <c r="J90" s="189">
        <v>0.13803557</v>
      </c>
      <c r="L90" s="134" t="s">
        <v>502</v>
      </c>
      <c r="M90" s="11" t="s">
        <v>31</v>
      </c>
      <c r="N90" s="185">
        <f t="shared" si="89"/>
        <v>0</v>
      </c>
      <c r="O90" s="185">
        <f t="shared" si="90"/>
        <v>0.47111264602228481</v>
      </c>
      <c r="P90" s="185">
        <f t="shared" si="91"/>
        <v>0.2134729177288478</v>
      </c>
      <c r="Q90" s="185">
        <f t="shared" si="92"/>
        <v>0.10443473497639072</v>
      </c>
      <c r="R90" s="185">
        <f t="shared" si="93"/>
        <v>7.7600055603070052E-3</v>
      </c>
      <c r="S90" s="185">
        <f t="shared" si="94"/>
        <v>0.20321969571216975</v>
      </c>
    </row>
    <row r="91" spans="2:19" ht="18" x14ac:dyDescent="0.25">
      <c r="B91" s="134" t="s">
        <v>503</v>
      </c>
      <c r="C91" s="11" t="s">
        <v>566</v>
      </c>
      <c r="D91" s="15">
        <f t="shared" si="87"/>
        <v>215.18449264999998</v>
      </c>
      <c r="E91" s="189">
        <v>0</v>
      </c>
      <c r="F91" s="189">
        <v>215</v>
      </c>
      <c r="G91" s="189">
        <v>9.4700000000000006E-2</v>
      </c>
      <c r="H91" s="189">
        <v>1.8493140000000002E-2</v>
      </c>
      <c r="I91" s="189">
        <v>3.4865999999999999E-3</v>
      </c>
      <c r="J91" s="189">
        <v>6.7812910000000004E-2</v>
      </c>
      <c r="L91" s="134" t="s">
        <v>503</v>
      </c>
      <c r="M91" s="11" t="s">
        <v>31</v>
      </c>
      <c r="N91" s="185">
        <f t="shared" si="89"/>
        <v>0</v>
      </c>
      <c r="O91" s="185">
        <f t="shared" si="90"/>
        <v>0.99914263036463291</v>
      </c>
      <c r="P91" s="185">
        <f t="shared" si="91"/>
        <v>4.4008747486293367E-4</v>
      </c>
      <c r="Q91" s="185">
        <f t="shared" si="92"/>
        <v>8.5940858340936786E-5</v>
      </c>
      <c r="R91" s="185">
        <f t="shared" si="93"/>
        <v>1.6202840441996879E-5</v>
      </c>
      <c r="S91" s="185">
        <f t="shared" si="94"/>
        <v>3.1513846172130292E-4</v>
      </c>
    </row>
    <row r="92" spans="2:19" ht="18" x14ac:dyDescent="0.25">
      <c r="B92" s="134" t="s">
        <v>504</v>
      </c>
      <c r="C92" s="11" t="s">
        <v>567</v>
      </c>
      <c r="D92" s="15">
        <f t="shared" si="87"/>
        <v>7.2581190000000004E-3</v>
      </c>
      <c r="E92" s="189">
        <v>0</v>
      </c>
      <c r="F92" s="189">
        <v>1.07E-3</v>
      </c>
      <c r="G92" s="189">
        <v>3.8600000000000001E-3</v>
      </c>
      <c r="H92" s="189">
        <v>9.6997000000000001E-4</v>
      </c>
      <c r="I92" s="189">
        <v>7.8949000000000006E-5</v>
      </c>
      <c r="J92" s="189">
        <v>1.2792000000000001E-3</v>
      </c>
      <c r="L92" s="134" t="s">
        <v>504</v>
      </c>
      <c r="M92" s="11" t="s">
        <v>31</v>
      </c>
      <c r="N92" s="185">
        <f t="shared" si="89"/>
        <v>0</v>
      </c>
      <c r="O92" s="185">
        <f t="shared" si="90"/>
        <v>0.14742111558104792</v>
      </c>
      <c r="P92" s="185">
        <f t="shared" si="91"/>
        <v>0.53181823004004203</v>
      </c>
      <c r="Q92" s="185">
        <f t="shared" si="92"/>
        <v>0.13363930792537296</v>
      </c>
      <c r="R92" s="185">
        <f t="shared" si="93"/>
        <v>1.0877336125241265E-2</v>
      </c>
      <c r="S92" s="185">
        <f t="shared" si="94"/>
        <v>0.17624401032829581</v>
      </c>
    </row>
    <row r="93" spans="2:19" ht="18" x14ac:dyDescent="0.25">
      <c r="B93" s="176" t="s">
        <v>505</v>
      </c>
      <c r="C93" s="165" t="s">
        <v>578</v>
      </c>
      <c r="D93" s="195">
        <f>SUM(F93:J93)</f>
        <v>34.25625436</v>
      </c>
      <c r="E93" s="196">
        <v>0</v>
      </c>
      <c r="F93" s="196">
        <v>8.73</v>
      </c>
      <c r="G93" s="196">
        <v>11.6</v>
      </c>
      <c r="H93" s="196">
        <v>3.57763404</v>
      </c>
      <c r="I93" s="196">
        <v>0.448073</v>
      </c>
      <c r="J93" s="196">
        <v>9.9005473199999994</v>
      </c>
      <c r="L93" s="134" t="s">
        <v>505</v>
      </c>
      <c r="M93" s="11" t="s">
        <v>31</v>
      </c>
      <c r="N93" s="185">
        <f t="shared" si="89"/>
        <v>0</v>
      </c>
      <c r="O93" s="185">
        <f t="shared" si="90"/>
        <v>0.25484397413261151</v>
      </c>
      <c r="P93" s="185">
        <f t="shared" si="91"/>
        <v>0.33862429552557771</v>
      </c>
      <c r="Q93" s="185">
        <f t="shared" si="92"/>
        <v>0.10443739710718332</v>
      </c>
      <c r="R93" s="185">
        <f t="shared" si="93"/>
        <v>1.3080034824916568E-2</v>
      </c>
      <c r="S93" s="185">
        <f t="shared" si="94"/>
        <v>0.28901429840971088</v>
      </c>
    </row>
    <row r="94" spans="2:19" x14ac:dyDescent="0.25">
      <c r="B94" s="134" t="s">
        <v>506</v>
      </c>
      <c r="C94" s="11" t="s">
        <v>517</v>
      </c>
      <c r="D94" s="15">
        <f>SUM(F94:J94)</f>
        <v>1125.9890710699999</v>
      </c>
      <c r="E94" s="189">
        <v>0</v>
      </c>
      <c r="F94" s="189">
        <v>143</v>
      </c>
      <c r="G94" s="189">
        <v>711</v>
      </c>
      <c r="H94" s="189">
        <v>63.604869700000002</v>
      </c>
      <c r="I94" s="189">
        <v>6.7616013700000002</v>
      </c>
      <c r="J94" s="189">
        <v>201.62260000000001</v>
      </c>
      <c r="L94" s="134" t="s">
        <v>506</v>
      </c>
      <c r="M94" s="11" t="s">
        <v>31</v>
      </c>
      <c r="N94" s="185">
        <f t="shared" si="89"/>
        <v>0</v>
      </c>
      <c r="O94" s="185">
        <f t="shared" si="90"/>
        <v>0.12699945645485758</v>
      </c>
      <c r="P94" s="185">
        <f t="shared" si="91"/>
        <v>0.63144484992590033</v>
      </c>
      <c r="Q94" s="185">
        <f t="shared" si="92"/>
        <v>5.6487999159314975E-2</v>
      </c>
      <c r="R94" s="185">
        <f t="shared" si="93"/>
        <v>6.0050328584225201E-3</v>
      </c>
      <c r="S94" s="185">
        <f t="shared" si="94"/>
        <v>0.17906266160150469</v>
      </c>
    </row>
    <row r="95" spans="2:19" x14ac:dyDescent="0.25">
      <c r="B95" s="134" t="s">
        <v>507</v>
      </c>
      <c r="C95" s="11" t="s">
        <v>518</v>
      </c>
      <c r="D95" s="15">
        <f>SUM(F95:J95)</f>
        <v>0.63685430999999992</v>
      </c>
      <c r="E95" s="189">
        <v>0</v>
      </c>
      <c r="F95" s="189">
        <v>0.17699999999999999</v>
      </c>
      <c r="G95" s="189">
        <v>0.17499999999999999</v>
      </c>
      <c r="H95" s="189">
        <v>0.14356000999999999</v>
      </c>
      <c r="I95" s="189">
        <v>2.8812709999999998E-2</v>
      </c>
      <c r="J95" s="189">
        <v>0.11248159000000001</v>
      </c>
      <c r="L95" s="134" t="s">
        <v>507</v>
      </c>
      <c r="M95" s="11" t="s">
        <v>31</v>
      </c>
      <c r="N95" s="185">
        <f t="shared" si="89"/>
        <v>0</v>
      </c>
      <c r="O95" s="185">
        <f t="shared" si="90"/>
        <v>0.27792855794600813</v>
      </c>
      <c r="P95" s="185">
        <f t="shared" si="91"/>
        <v>0.27478812226300237</v>
      </c>
      <c r="Q95" s="185">
        <f t="shared" si="92"/>
        <v>0.22542048902833053</v>
      </c>
      <c r="R95" s="185">
        <f t="shared" si="93"/>
        <v>4.5242231304048176E-2</v>
      </c>
      <c r="S95" s="185">
        <f t="shared" si="94"/>
        <v>0.17662059945861092</v>
      </c>
    </row>
    <row r="97" spans="2:30" s="160" customFormat="1" ht="15.75" thickBot="1" x14ac:dyDescent="0.3">
      <c r="AD97" s="212"/>
    </row>
    <row r="100" spans="2:30" x14ac:dyDescent="0.25">
      <c r="B100" s="319" t="s">
        <v>677</v>
      </c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2" spans="2:30" ht="27.95" customHeight="1" x14ac:dyDescent="0.25">
      <c r="B102" s="167" t="s">
        <v>569</v>
      </c>
      <c r="C102" s="167" t="s">
        <v>365</v>
      </c>
      <c r="D102" s="167" t="s">
        <v>596</v>
      </c>
      <c r="E102" s="167" t="s">
        <v>646</v>
      </c>
      <c r="F102" s="167" t="s">
        <v>492</v>
      </c>
      <c r="G102" s="167" t="s">
        <v>568</v>
      </c>
      <c r="H102" s="167" t="s">
        <v>573</v>
      </c>
      <c r="L102" s="167" t="s">
        <v>569</v>
      </c>
      <c r="M102" s="167" t="s">
        <v>365</v>
      </c>
      <c r="N102" s="167" t="s">
        <v>646</v>
      </c>
      <c r="O102" s="167" t="s">
        <v>492</v>
      </c>
      <c r="P102" s="167" t="s">
        <v>568</v>
      </c>
      <c r="Q102" s="167" t="s">
        <v>573</v>
      </c>
    </row>
    <row r="103" spans="2:30" x14ac:dyDescent="0.25">
      <c r="B103" s="134" t="s">
        <v>508</v>
      </c>
      <c r="C103" s="11" t="s">
        <v>579</v>
      </c>
      <c r="D103" s="189">
        <f>SUM(E103:J103)</f>
        <v>1.8950001869999999E-4</v>
      </c>
      <c r="E103" s="189">
        <v>0</v>
      </c>
      <c r="F103" s="189">
        <v>1.5699999999999999E-4</v>
      </c>
      <c r="G103" s="189">
        <v>1.8700000000000001E-11</v>
      </c>
      <c r="H103" s="189">
        <v>3.2499999999999997E-5</v>
      </c>
      <c r="K103" s="190"/>
      <c r="L103" s="134" t="s">
        <v>508</v>
      </c>
      <c r="M103" s="11" t="s">
        <v>31</v>
      </c>
      <c r="N103" s="185">
        <f>E103/$D103</f>
        <v>0</v>
      </c>
      <c r="O103" s="185">
        <f t="shared" ref="O103:Q106" si="95">F103/$D103</f>
        <v>0.82849596045976537</v>
      </c>
      <c r="P103" s="185">
        <f t="shared" si="95"/>
        <v>9.8680729048392453E-8</v>
      </c>
      <c r="Q103" s="185">
        <f t="shared" si="95"/>
        <v>0.17150394085950557</v>
      </c>
    </row>
    <row r="104" spans="2:30" ht="17.25" x14ac:dyDescent="0.25">
      <c r="B104" s="134" t="s">
        <v>509</v>
      </c>
      <c r="C104" s="11" t="s">
        <v>580</v>
      </c>
      <c r="D104" s="189">
        <f t="shared" ref="D104:D106" si="96">SUM(E104:J104)</f>
        <v>86.800028700000013</v>
      </c>
      <c r="E104" s="189">
        <v>0</v>
      </c>
      <c r="F104" s="189">
        <v>50.7</v>
      </c>
      <c r="G104" s="189">
        <v>2.87E-5</v>
      </c>
      <c r="H104" s="189">
        <v>36.1</v>
      </c>
      <c r="K104" s="190"/>
      <c r="L104" s="134" t="s">
        <v>509</v>
      </c>
      <c r="M104" s="11" t="s">
        <v>31</v>
      </c>
      <c r="N104" s="185">
        <f t="shared" ref="N104:N106" si="97">E104/$D104</f>
        <v>0</v>
      </c>
      <c r="O104" s="185">
        <f t="shared" si="95"/>
        <v>0.58410118935824729</v>
      </c>
      <c r="P104" s="185">
        <f t="shared" si="95"/>
        <v>3.30645051964136E-7</v>
      </c>
      <c r="Q104" s="185">
        <f t="shared" si="95"/>
        <v>0.41589847999670071</v>
      </c>
    </row>
    <row r="105" spans="2:30" s="203" customFormat="1" ht="18" x14ac:dyDescent="0.25">
      <c r="B105" s="176" t="s">
        <v>510</v>
      </c>
      <c r="C105" s="165" t="s">
        <v>578</v>
      </c>
      <c r="D105" s="196">
        <f t="shared" si="96"/>
        <v>237.90000001830001</v>
      </c>
      <c r="E105" s="196">
        <v>0</v>
      </c>
      <c r="F105" s="196">
        <v>175</v>
      </c>
      <c r="G105" s="196">
        <v>1.8299999999999998E-8</v>
      </c>
      <c r="H105" s="196">
        <v>62.9</v>
      </c>
      <c r="I105" s="139"/>
      <c r="J105" s="139"/>
      <c r="K105" s="190"/>
      <c r="L105" s="176" t="s">
        <v>510</v>
      </c>
      <c r="M105" s="165" t="s">
        <v>31</v>
      </c>
      <c r="N105" s="202">
        <f t="shared" si="97"/>
        <v>0</v>
      </c>
      <c r="O105" s="202">
        <f t="shared" si="95"/>
        <v>0.73560319456300316</v>
      </c>
      <c r="P105" s="202">
        <f>G105/$D105</f>
        <v>7.6923076917159752E-11</v>
      </c>
      <c r="Q105" s="202">
        <f t="shared" si="95"/>
        <v>0.26439680536007371</v>
      </c>
      <c r="R105" s="139"/>
      <c r="S105" s="139"/>
      <c r="AD105" s="213"/>
    </row>
    <row r="106" spans="2:30" x14ac:dyDescent="0.25">
      <c r="B106" s="134" t="s">
        <v>511</v>
      </c>
      <c r="C106" s="11" t="s">
        <v>517</v>
      </c>
      <c r="D106" s="189">
        <f t="shared" si="96"/>
        <v>5481.66</v>
      </c>
      <c r="E106" s="189">
        <v>0</v>
      </c>
      <c r="F106" s="189">
        <v>4450</v>
      </c>
      <c r="G106" s="189">
        <v>1.66</v>
      </c>
      <c r="H106" s="189">
        <v>1030</v>
      </c>
      <c r="K106" s="190"/>
      <c r="L106" s="134" t="s">
        <v>511</v>
      </c>
      <c r="M106" s="11" t="s">
        <v>31</v>
      </c>
      <c r="N106" s="185">
        <f t="shared" si="97"/>
        <v>0</v>
      </c>
      <c r="O106" s="185">
        <f t="shared" si="95"/>
        <v>0.81179788604181946</v>
      </c>
      <c r="P106" s="185">
        <f t="shared" si="95"/>
        <v>3.0282797546728543E-4</v>
      </c>
      <c r="Q106" s="185">
        <f t="shared" si="95"/>
        <v>0.18789928598271327</v>
      </c>
    </row>
    <row r="108" spans="2:30" ht="17.25" x14ac:dyDescent="0.25">
      <c r="B108" s="319" t="s">
        <v>673</v>
      </c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</row>
    <row r="110" spans="2:30" ht="27.95" customHeight="1" x14ac:dyDescent="0.25">
      <c r="B110" s="167" t="s">
        <v>569</v>
      </c>
      <c r="C110" s="167" t="s">
        <v>365</v>
      </c>
      <c r="D110" s="167" t="s">
        <v>223</v>
      </c>
      <c r="E110" s="167" t="s">
        <v>494</v>
      </c>
      <c r="F110" s="167" t="s">
        <v>230</v>
      </c>
      <c r="G110" s="167" t="s">
        <v>570</v>
      </c>
      <c r="H110" s="167" t="s">
        <v>341</v>
      </c>
      <c r="I110" s="167" t="s">
        <v>571</v>
      </c>
      <c r="J110" s="167" t="s">
        <v>572</v>
      </c>
      <c r="L110" s="133" t="s">
        <v>569</v>
      </c>
      <c r="M110" s="133" t="s">
        <v>365</v>
      </c>
      <c r="N110" s="167" t="s">
        <v>494</v>
      </c>
      <c r="O110" s="167" t="s">
        <v>230</v>
      </c>
      <c r="P110" s="167" t="s">
        <v>570</v>
      </c>
      <c r="Q110" s="167" t="s">
        <v>341</v>
      </c>
      <c r="R110" s="167" t="s">
        <v>571</v>
      </c>
      <c r="S110" s="167" t="s">
        <v>572</v>
      </c>
    </row>
    <row r="111" spans="2:30" x14ac:dyDescent="0.25">
      <c r="B111" s="134" t="s">
        <v>508</v>
      </c>
      <c r="C111" s="11" t="s">
        <v>579</v>
      </c>
      <c r="D111" s="189">
        <f>SUM(E111:J111)</f>
        <v>5.1748770585699993E-5</v>
      </c>
      <c r="E111" s="189">
        <f>D119</f>
        <v>3.0396950000000004E-5</v>
      </c>
      <c r="F111" s="189">
        <v>1.8919999999999998E-5</v>
      </c>
      <c r="G111" s="189">
        <v>3.0855000000000001E-8</v>
      </c>
      <c r="H111" s="189">
        <v>5.5857000000000003E-12</v>
      </c>
      <c r="I111" s="189">
        <v>7.3875999999999998E-7</v>
      </c>
      <c r="J111" s="189">
        <v>1.6621999999999999E-6</v>
      </c>
      <c r="L111" s="134" t="s">
        <v>508</v>
      </c>
      <c r="M111" s="11" t="s">
        <v>31</v>
      </c>
      <c r="N111" s="185">
        <f t="shared" ref="N111:S114" si="98">E111/$D111</f>
        <v>0.58739463094413591</v>
      </c>
      <c r="O111" s="185">
        <f t="shared" si="98"/>
        <v>0.3656125505178332</v>
      </c>
      <c r="P111" s="185">
        <f t="shared" si="98"/>
        <v>5.9624604895495471E-4</v>
      </c>
      <c r="Q111" s="185">
        <f t="shared" si="98"/>
        <v>1.0793879616424214E-7</v>
      </c>
      <c r="R111" s="185">
        <f t="shared" si="98"/>
        <v>1.4275894705103301E-2</v>
      </c>
      <c r="S111" s="185">
        <f t="shared" si="98"/>
        <v>3.2120569845176659E-2</v>
      </c>
    </row>
    <row r="112" spans="2:30" ht="17.25" x14ac:dyDescent="0.25">
      <c r="B112" s="134" t="s">
        <v>509</v>
      </c>
      <c r="C112" s="11" t="s">
        <v>580</v>
      </c>
      <c r="D112" s="189">
        <f>SUM(E112:J112)</f>
        <v>16.701880075599995</v>
      </c>
      <c r="E112" s="189">
        <f t="shared" ref="E112:E114" si="99">D120</f>
        <v>10.794247059999998</v>
      </c>
      <c r="F112" s="189">
        <v>5.6318285899999996</v>
      </c>
      <c r="G112" s="189">
        <v>5.7965000000000002E-4</v>
      </c>
      <c r="H112" s="189">
        <v>8.5855999999999996E-6</v>
      </c>
      <c r="I112" s="189">
        <v>3.5666139999999999E-2</v>
      </c>
      <c r="J112" s="189">
        <v>0.23955004999999999</v>
      </c>
      <c r="L112" s="134" t="s">
        <v>509</v>
      </c>
      <c r="M112" s="11" t="s">
        <v>31</v>
      </c>
      <c r="N112" s="185">
        <f t="shared" si="98"/>
        <v>0.64628934054971821</v>
      </c>
      <c r="O112" s="185">
        <f t="shared" si="98"/>
        <v>0.33719728345000005</v>
      </c>
      <c r="P112" s="185">
        <f t="shared" si="98"/>
        <v>3.4705673695191878E-5</v>
      </c>
      <c r="Q112" s="185">
        <f t="shared" si="98"/>
        <v>5.1404991301205781E-7</v>
      </c>
      <c r="R112" s="185">
        <f t="shared" si="98"/>
        <v>2.1354565976141305E-3</v>
      </c>
      <c r="S112" s="185">
        <f t="shared" si="98"/>
        <v>1.4342699679059601E-2</v>
      </c>
    </row>
    <row r="113" spans="2:30" s="203" customFormat="1" ht="18" x14ac:dyDescent="0.25">
      <c r="B113" s="176" t="s">
        <v>510</v>
      </c>
      <c r="C113" s="165" t="s">
        <v>578</v>
      </c>
      <c r="D113" s="196">
        <f>SUM(E113:J113)</f>
        <v>57.684374665482096</v>
      </c>
      <c r="E113" s="196">
        <f t="shared" si="99"/>
        <v>34.786835609999997</v>
      </c>
      <c r="F113" s="196">
        <v>13.9315973</v>
      </c>
      <c r="G113" s="196">
        <v>0.47771999999999998</v>
      </c>
      <c r="H113" s="196">
        <v>5.4821000000000003E-9</v>
      </c>
      <c r="I113" s="196">
        <v>6.7667284800000003</v>
      </c>
      <c r="J113" s="196">
        <v>1.7214932700000001</v>
      </c>
      <c r="K113" s="139"/>
      <c r="L113" s="176" t="s">
        <v>510</v>
      </c>
      <c r="M113" s="165" t="s">
        <v>31</v>
      </c>
      <c r="N113" s="202">
        <f t="shared" si="98"/>
        <v>0.60305474076355348</v>
      </c>
      <c r="O113" s="202">
        <f t="shared" si="98"/>
        <v>0.24151422947359374</v>
      </c>
      <c r="P113" s="202">
        <f t="shared" si="98"/>
        <v>8.2816187706003536E-3</v>
      </c>
      <c r="Q113" s="202">
        <f t="shared" si="98"/>
        <v>9.5036134686235027E-11</v>
      </c>
      <c r="R113" s="202">
        <f t="shared" si="98"/>
        <v>0.11730609058763292</v>
      </c>
      <c r="S113" s="202">
        <f t="shared" si="98"/>
        <v>2.98433203095834E-2</v>
      </c>
      <c r="AD113" s="213"/>
    </row>
    <row r="114" spans="2:30" x14ac:dyDescent="0.25">
      <c r="B114" s="134" t="s">
        <v>511</v>
      </c>
      <c r="C114" s="11" t="s">
        <v>517</v>
      </c>
      <c r="D114" s="189">
        <f>SUM(E114:J114)</f>
        <v>1464.8883368100001</v>
      </c>
      <c r="E114" s="189">
        <f t="shared" si="99"/>
        <v>1147.8133507800001</v>
      </c>
      <c r="F114" s="189">
        <v>161.69332299999999</v>
      </c>
      <c r="G114" s="189">
        <v>5.5734000000000004</v>
      </c>
      <c r="H114" s="189">
        <v>0.49695222999999999</v>
      </c>
      <c r="I114" s="189">
        <v>114.233898</v>
      </c>
      <c r="J114" s="189">
        <v>35.077412799999998</v>
      </c>
      <c r="L114" s="134" t="s">
        <v>511</v>
      </c>
      <c r="M114" s="11" t="s">
        <v>31</v>
      </c>
      <c r="N114" s="185">
        <f t="shared" si="98"/>
        <v>0.7835500644912804</v>
      </c>
      <c r="O114" s="185">
        <f t="shared" si="98"/>
        <v>0.11037928211791889</v>
      </c>
      <c r="P114" s="185">
        <f t="shared" si="98"/>
        <v>3.8046585940719967E-3</v>
      </c>
      <c r="Q114" s="185">
        <f t="shared" si="98"/>
        <v>3.3924239651070146E-4</v>
      </c>
      <c r="R114" s="185">
        <f t="shared" si="98"/>
        <v>7.7981300778706686E-2</v>
      </c>
      <c r="S114" s="185">
        <f t="shared" si="98"/>
        <v>2.3945451621511293E-2</v>
      </c>
    </row>
    <row r="116" spans="2:30" x14ac:dyDescent="0.25">
      <c r="B116" s="320" t="s">
        <v>674</v>
      </c>
      <c r="C116" s="321"/>
      <c r="D116" s="321"/>
      <c r="E116" s="321"/>
      <c r="F116" s="321"/>
      <c r="G116" s="321"/>
      <c r="H116" s="321"/>
      <c r="I116" s="321"/>
      <c r="J116" s="321"/>
      <c r="K116" s="322"/>
    </row>
    <row r="118" spans="2:30" ht="28.5" customHeight="1" x14ac:dyDescent="0.25">
      <c r="B118" s="167" t="s">
        <v>569</v>
      </c>
      <c r="C118" s="167" t="s">
        <v>365</v>
      </c>
      <c r="D118" s="167" t="s">
        <v>223</v>
      </c>
      <c r="E118" s="167" t="s">
        <v>493</v>
      </c>
      <c r="F118" s="167" t="s">
        <v>572</v>
      </c>
      <c r="H118" s="133" t="s">
        <v>569</v>
      </c>
      <c r="I118" s="133" t="s">
        <v>365</v>
      </c>
      <c r="J118" s="167" t="s">
        <v>493</v>
      </c>
      <c r="K118" s="167" t="s">
        <v>572</v>
      </c>
    </row>
    <row r="119" spans="2:30" x14ac:dyDescent="0.25">
      <c r="B119" s="134" t="s">
        <v>508</v>
      </c>
      <c r="C119" s="11" t="s">
        <v>579</v>
      </c>
      <c r="D119" s="189">
        <f>SUM(E119:F119)</f>
        <v>3.0396950000000004E-5</v>
      </c>
      <c r="E119" s="189">
        <f>D127</f>
        <v>2.9471090000000002E-5</v>
      </c>
      <c r="F119" s="189">
        <v>9.2585999999999995E-7</v>
      </c>
      <c r="H119" s="134" t="s">
        <v>508</v>
      </c>
      <c r="I119" s="11" t="s">
        <v>31</v>
      </c>
      <c r="J119" s="185">
        <f>E119/$D119</f>
        <v>0.96954102303027112</v>
      </c>
      <c r="K119" s="185">
        <f>F119/$D119</f>
        <v>3.0458976969728865E-2</v>
      </c>
    </row>
    <row r="120" spans="2:30" ht="17.25" x14ac:dyDescent="0.25">
      <c r="B120" s="134" t="s">
        <v>509</v>
      </c>
      <c r="C120" s="11" t="s">
        <v>580</v>
      </c>
      <c r="D120" s="189">
        <f t="shared" ref="D120:D122" si="100">SUM(E120:F120)</f>
        <v>10.794247059999998</v>
      </c>
      <c r="E120" s="189">
        <f t="shared" ref="E120:E122" si="101">D128</f>
        <v>10.660815849999999</v>
      </c>
      <c r="F120" s="189">
        <v>0.13343120999999999</v>
      </c>
      <c r="H120" s="134" t="s">
        <v>509</v>
      </c>
      <c r="I120" s="11" t="s">
        <v>31</v>
      </c>
      <c r="J120" s="185">
        <f t="shared" ref="J120:K122" si="102">E120/$D120</f>
        <v>0.98763867370662173</v>
      </c>
      <c r="K120" s="185">
        <f t="shared" si="102"/>
        <v>1.2361326293378355E-2</v>
      </c>
    </row>
    <row r="121" spans="2:30" s="203" customFormat="1" ht="18" x14ac:dyDescent="0.25">
      <c r="B121" s="176" t="s">
        <v>510</v>
      </c>
      <c r="C121" s="165" t="s">
        <v>578</v>
      </c>
      <c r="D121" s="196">
        <f t="shared" si="100"/>
        <v>34.786835609999997</v>
      </c>
      <c r="E121" s="196">
        <f t="shared" si="101"/>
        <v>33.82795067</v>
      </c>
      <c r="F121" s="196">
        <v>0.95888494000000002</v>
      </c>
      <c r="H121" s="176" t="s">
        <v>510</v>
      </c>
      <c r="I121" s="165" t="s">
        <v>31</v>
      </c>
      <c r="J121" s="202">
        <f t="shared" si="102"/>
        <v>0.97243540772865378</v>
      </c>
      <c r="K121" s="202">
        <f t="shared" si="102"/>
        <v>2.7564592271346295E-2</v>
      </c>
      <c r="AD121" s="213"/>
    </row>
    <row r="122" spans="2:30" x14ac:dyDescent="0.25">
      <c r="B122" s="134" t="s">
        <v>511</v>
      </c>
      <c r="C122" s="11" t="s">
        <v>517</v>
      </c>
      <c r="D122" s="189">
        <f t="shared" si="100"/>
        <v>1147.8133507800001</v>
      </c>
      <c r="E122" s="189">
        <f t="shared" si="101"/>
        <v>1128.27496318</v>
      </c>
      <c r="F122" s="189">
        <v>19.5383876</v>
      </c>
      <c r="H122" s="134" t="s">
        <v>511</v>
      </c>
      <c r="I122" s="11" t="s">
        <v>31</v>
      </c>
      <c r="J122" s="185">
        <f t="shared" si="102"/>
        <v>0.98297773101635144</v>
      </c>
      <c r="K122" s="185">
        <f t="shared" si="102"/>
        <v>1.7022268983648454E-2</v>
      </c>
    </row>
    <row r="124" spans="2:30" x14ac:dyDescent="0.25">
      <c r="B124" s="319" t="s">
        <v>675</v>
      </c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6" spans="2:30" ht="28.5" customHeight="1" x14ac:dyDescent="0.25">
      <c r="B126" s="167" t="s">
        <v>569</v>
      </c>
      <c r="C126" s="167" t="s">
        <v>365</v>
      </c>
      <c r="D126" s="167" t="s">
        <v>223</v>
      </c>
      <c r="E126" s="167" t="s">
        <v>574</v>
      </c>
      <c r="F126" s="167" t="s">
        <v>572</v>
      </c>
      <c r="G126" s="167" t="s">
        <v>363</v>
      </c>
      <c r="I126" s="133" t="s">
        <v>569</v>
      </c>
      <c r="J126" s="133" t="s">
        <v>365</v>
      </c>
      <c r="K126" s="167" t="s">
        <v>574</v>
      </c>
      <c r="L126" s="167" t="s">
        <v>572</v>
      </c>
      <c r="M126" s="167" t="s">
        <v>363</v>
      </c>
    </row>
    <row r="127" spans="2:30" x14ac:dyDescent="0.25">
      <c r="B127" s="134" t="s">
        <v>508</v>
      </c>
      <c r="C127" s="11" t="s">
        <v>579</v>
      </c>
      <c r="D127" s="189">
        <f>SUM(E127:G127)</f>
        <v>2.9471090000000002E-5</v>
      </c>
      <c r="E127" s="189">
        <f>D135</f>
        <v>3.1085100000000005E-5</v>
      </c>
      <c r="F127" s="189">
        <v>8.8278999999999998E-7</v>
      </c>
      <c r="G127" s="189">
        <v>-2.4968E-6</v>
      </c>
      <c r="H127" s="190">
        <f>SUM(E127:F127)</f>
        <v>3.1967890000000002E-5</v>
      </c>
      <c r="I127" s="134" t="s">
        <v>508</v>
      </c>
      <c r="J127" s="11" t="s">
        <v>31</v>
      </c>
      <c r="K127" s="185">
        <f>E127/$H127</f>
        <v>0.97238510267646705</v>
      </c>
      <c r="L127" s="185">
        <f t="shared" ref="L127:M130" si="103">F127/$H127</f>
        <v>2.7614897323533082E-2</v>
      </c>
      <c r="M127" s="185">
        <f t="shared" si="103"/>
        <v>-7.8103371852192932E-2</v>
      </c>
    </row>
    <row r="128" spans="2:30" ht="17.25" x14ac:dyDescent="0.25">
      <c r="B128" s="134" t="s">
        <v>509</v>
      </c>
      <c r="C128" s="11" t="s">
        <v>580</v>
      </c>
      <c r="D128" s="189">
        <f t="shared" ref="D128:D130" si="104">SUM(E128:G128)</f>
        <v>10.660815849999999</v>
      </c>
      <c r="E128" s="189">
        <f t="shared" ref="E128:E130" si="105">D136</f>
        <v>10.670506549999999</v>
      </c>
      <c r="F128" s="189">
        <v>0.12722385</v>
      </c>
      <c r="G128" s="189">
        <v>-0.13691455</v>
      </c>
      <c r="H128" s="190">
        <f t="shared" ref="H128:H130" si="106">SUM(E128:F128)</f>
        <v>10.797730399999999</v>
      </c>
      <c r="I128" s="134" t="s">
        <v>509</v>
      </c>
      <c r="J128" s="11" t="s">
        <v>31</v>
      </c>
      <c r="K128" s="185">
        <f t="shared" ref="K128:K130" si="107">E128/$H128</f>
        <v>0.98821753782628241</v>
      </c>
      <c r="L128" s="185">
        <f t="shared" si="103"/>
        <v>1.1782462173717544E-2</v>
      </c>
      <c r="M128" s="185">
        <f t="shared" si="103"/>
        <v>-1.2679937813598311E-2</v>
      </c>
    </row>
    <row r="129" spans="2:30" s="203" customFormat="1" ht="18" x14ac:dyDescent="0.25">
      <c r="B129" s="176" t="s">
        <v>510</v>
      </c>
      <c r="C129" s="165" t="s">
        <v>578</v>
      </c>
      <c r="D129" s="196">
        <f t="shared" si="104"/>
        <v>33.82795067</v>
      </c>
      <c r="E129" s="196">
        <f t="shared" si="105"/>
        <v>34.25625436</v>
      </c>
      <c r="F129" s="196">
        <v>0.91427661999999998</v>
      </c>
      <c r="G129" s="196">
        <v>-1.34258031</v>
      </c>
      <c r="H129" s="190">
        <f t="shared" si="106"/>
        <v>35.170530980000002</v>
      </c>
      <c r="I129" s="176" t="s">
        <v>510</v>
      </c>
      <c r="J129" s="165" t="s">
        <v>31</v>
      </c>
      <c r="K129" s="202">
        <f>E129/$H129</f>
        <v>0.97400446923818373</v>
      </c>
      <c r="L129" s="202">
        <f t="shared" si="103"/>
        <v>2.5995530761816207E-2</v>
      </c>
      <c r="M129" s="202">
        <f>G129/$H129</f>
        <v>-3.8173444431745113E-2</v>
      </c>
      <c r="AD129" s="213"/>
    </row>
    <row r="130" spans="2:30" x14ac:dyDescent="0.25">
      <c r="B130" s="134" t="s">
        <v>511</v>
      </c>
      <c r="C130" s="11" t="s">
        <v>517</v>
      </c>
      <c r="D130" s="189">
        <f t="shared" si="104"/>
        <v>1128.27496318</v>
      </c>
      <c r="E130" s="189">
        <f t="shared" si="105"/>
        <v>1127.2739257799999</v>
      </c>
      <c r="F130" s="189">
        <v>18.629441499999999</v>
      </c>
      <c r="G130" s="189">
        <v>-17.628404100000001</v>
      </c>
      <c r="H130" s="190">
        <f t="shared" si="106"/>
        <v>1145.9033672799999</v>
      </c>
      <c r="I130" s="134" t="s">
        <v>511</v>
      </c>
      <c r="J130" s="11" t="s">
        <v>31</v>
      </c>
      <c r="K130" s="185">
        <f t="shared" si="107"/>
        <v>0.98374257198997483</v>
      </c>
      <c r="L130" s="185">
        <f t="shared" si="103"/>
        <v>1.6257428010025141E-2</v>
      </c>
      <c r="M130" s="185">
        <f t="shared" si="103"/>
        <v>-1.5383848763656286E-2</v>
      </c>
    </row>
    <row r="132" spans="2:30" x14ac:dyDescent="0.25">
      <c r="B132" s="319" t="s">
        <v>676</v>
      </c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4" spans="2:30" ht="27.95" customHeight="1" x14ac:dyDescent="0.25">
      <c r="B134" s="167" t="s">
        <v>569</v>
      </c>
      <c r="C134" s="167" t="s">
        <v>365</v>
      </c>
      <c r="D134" s="167" t="s">
        <v>223</v>
      </c>
      <c r="E134" s="167" t="s">
        <v>597</v>
      </c>
      <c r="F134" s="167" t="s">
        <v>575</v>
      </c>
      <c r="G134" s="167" t="s">
        <v>577</v>
      </c>
      <c r="H134" s="167" t="s">
        <v>217</v>
      </c>
      <c r="I134" s="167" t="s">
        <v>576</v>
      </c>
      <c r="J134" s="167" t="s">
        <v>572</v>
      </c>
      <c r="L134" s="133" t="s">
        <v>569</v>
      </c>
      <c r="M134" s="133" t="s">
        <v>365</v>
      </c>
      <c r="N134" s="167" t="s">
        <v>597</v>
      </c>
      <c r="O134" s="167" t="s">
        <v>575</v>
      </c>
      <c r="P134" s="167" t="s">
        <v>577</v>
      </c>
      <c r="Q134" s="167" t="s">
        <v>217</v>
      </c>
      <c r="R134" s="167" t="s">
        <v>576</v>
      </c>
      <c r="S134" s="167" t="s">
        <v>572</v>
      </c>
    </row>
    <row r="135" spans="2:30" x14ac:dyDescent="0.25">
      <c r="B135" s="134" t="s">
        <v>508</v>
      </c>
      <c r="C135" s="11" t="s">
        <v>579</v>
      </c>
      <c r="D135" s="189">
        <f>SUM(E135:J135)</f>
        <v>3.1085100000000005E-5</v>
      </c>
      <c r="E135" s="189">
        <v>0</v>
      </c>
      <c r="F135" s="189">
        <v>4.5199999999999999E-6</v>
      </c>
      <c r="G135" s="189">
        <v>1.2300000000000001E-5</v>
      </c>
      <c r="H135" s="189">
        <v>3.8708000000000003E-6</v>
      </c>
      <c r="I135" s="189">
        <v>8.3470000000000003E-7</v>
      </c>
      <c r="J135" s="189">
        <v>9.5596000000000008E-6</v>
      </c>
      <c r="L135" s="134" t="s">
        <v>508</v>
      </c>
      <c r="M135" s="11" t="s">
        <v>31</v>
      </c>
      <c r="N135" s="185">
        <f t="shared" ref="N135:S135" si="108">E135/$D135</f>
        <v>0</v>
      </c>
      <c r="O135" s="185">
        <f t="shared" si="108"/>
        <v>0.14540728516234463</v>
      </c>
      <c r="P135" s="185">
        <f t="shared" si="108"/>
        <v>0.39568796626036262</v>
      </c>
      <c r="Q135" s="185">
        <f t="shared" si="108"/>
        <v>0.12452268128460257</v>
      </c>
      <c r="R135" s="185">
        <f t="shared" si="108"/>
        <v>2.6852093125002006E-2</v>
      </c>
      <c r="S135" s="185">
        <f t="shared" si="108"/>
        <v>0.30752997416768801</v>
      </c>
    </row>
    <row r="136" spans="2:30" ht="17.25" x14ac:dyDescent="0.25">
      <c r="B136" s="134" t="s">
        <v>509</v>
      </c>
      <c r="C136" s="11" t="s">
        <v>580</v>
      </c>
      <c r="D136" s="189">
        <f t="shared" ref="D136:D138" si="109">SUM(E136:J136)</f>
        <v>10.670506549999999</v>
      </c>
      <c r="E136" s="189">
        <v>0</v>
      </c>
      <c r="F136" s="189">
        <v>5.01</v>
      </c>
      <c r="G136" s="189">
        <v>3.46</v>
      </c>
      <c r="H136" s="189">
        <v>0.72199595000000005</v>
      </c>
      <c r="I136" s="189">
        <v>0.10082496000000001</v>
      </c>
      <c r="J136" s="189">
        <v>1.3776856399999999</v>
      </c>
      <c r="L136" s="134" t="s">
        <v>509</v>
      </c>
      <c r="M136" s="11" t="s">
        <v>31</v>
      </c>
      <c r="N136" s="185">
        <f t="shared" ref="N136:N138" si="110">E136/$D136</f>
        <v>0</v>
      </c>
      <c r="O136" s="185">
        <f t="shared" ref="O136:S138" si="111">F136/$D136</f>
        <v>0.46951847848310446</v>
      </c>
      <c r="P136" s="185">
        <f t="shared" si="111"/>
        <v>0.32425827056916995</v>
      </c>
      <c r="Q136" s="185">
        <f t="shared" si="111"/>
        <v>6.7662762458076564E-2</v>
      </c>
      <c r="R136" s="185">
        <f t="shared" si="111"/>
        <v>9.4489384854929883E-3</v>
      </c>
      <c r="S136" s="185">
        <f t="shared" si="111"/>
        <v>0.12911155000415608</v>
      </c>
    </row>
    <row r="137" spans="2:30" s="203" customFormat="1" ht="18" x14ac:dyDescent="0.25">
      <c r="B137" s="176" t="s">
        <v>510</v>
      </c>
      <c r="C137" s="165" t="s">
        <v>578</v>
      </c>
      <c r="D137" s="196">
        <f>SUM(F137:J137)</f>
        <v>34.25625436</v>
      </c>
      <c r="E137" s="196">
        <v>0</v>
      </c>
      <c r="F137" s="196">
        <v>8.73</v>
      </c>
      <c r="G137" s="196">
        <v>11.6</v>
      </c>
      <c r="H137" s="196">
        <v>3.57763404</v>
      </c>
      <c r="I137" s="196">
        <v>0.448073</v>
      </c>
      <c r="J137" s="196">
        <v>9.9005473199999994</v>
      </c>
      <c r="L137" s="176" t="s">
        <v>510</v>
      </c>
      <c r="M137" s="165" t="s">
        <v>31</v>
      </c>
      <c r="N137" s="202">
        <f t="shared" si="110"/>
        <v>0</v>
      </c>
      <c r="O137" s="202">
        <f t="shared" si="111"/>
        <v>0.25484397413261151</v>
      </c>
      <c r="P137" s="202">
        <f t="shared" si="111"/>
        <v>0.33862429552557771</v>
      </c>
      <c r="Q137" s="202">
        <f t="shared" si="111"/>
        <v>0.10443739710718332</v>
      </c>
      <c r="R137" s="202">
        <f t="shared" si="111"/>
        <v>1.3080034824916568E-2</v>
      </c>
      <c r="S137" s="202">
        <f t="shared" si="111"/>
        <v>0.28901429840971088</v>
      </c>
      <c r="AD137" s="213"/>
    </row>
    <row r="138" spans="2:30" x14ac:dyDescent="0.25">
      <c r="B138" s="134" t="s">
        <v>511</v>
      </c>
      <c r="C138" s="11" t="s">
        <v>517</v>
      </c>
      <c r="D138" s="189">
        <f t="shared" si="109"/>
        <v>1127.2739257799999</v>
      </c>
      <c r="E138" s="189">
        <v>0</v>
      </c>
      <c r="F138" s="189">
        <v>144</v>
      </c>
      <c r="G138" s="189">
        <v>711</v>
      </c>
      <c r="H138" s="189">
        <v>63.748429700000003</v>
      </c>
      <c r="I138" s="189">
        <v>6.7904140799999997</v>
      </c>
      <c r="J138" s="189">
        <v>201.73508200000001</v>
      </c>
      <c r="L138" s="134" t="s">
        <v>511</v>
      </c>
      <c r="M138" s="11" t="s">
        <v>31</v>
      </c>
      <c r="N138" s="185">
        <f t="shared" si="110"/>
        <v>0</v>
      </c>
      <c r="O138" s="185">
        <f t="shared" si="111"/>
        <v>0.12774179966981974</v>
      </c>
      <c r="P138" s="185">
        <f t="shared" si="111"/>
        <v>0.630725135869735</v>
      </c>
      <c r="Q138" s="185">
        <f t="shared" si="111"/>
        <v>5.6550966222242968E-2</v>
      </c>
      <c r="R138" s="185">
        <f t="shared" si="111"/>
        <v>6.0237480214061345E-3</v>
      </c>
      <c r="S138" s="185">
        <f t="shared" si="111"/>
        <v>0.17895835021679626</v>
      </c>
    </row>
    <row r="140" spans="2:30" x14ac:dyDescent="0.25">
      <c r="G140" s="214"/>
    </row>
    <row r="142" spans="2:30" x14ac:dyDescent="0.25">
      <c r="C142" s="223"/>
      <c r="D142" s="224"/>
    </row>
    <row r="143" spans="2:30" x14ac:dyDescent="0.25">
      <c r="C143" s="223"/>
      <c r="D143" s="224"/>
    </row>
    <row r="144" spans="2:30" x14ac:dyDescent="0.25">
      <c r="C144" s="223"/>
      <c r="D144" s="224"/>
    </row>
    <row r="145" spans="3:4" x14ac:dyDescent="0.25">
      <c r="C145" s="223"/>
      <c r="D145" s="224"/>
    </row>
  </sheetData>
  <mergeCells count="52">
    <mergeCell ref="B132:Q132"/>
    <mergeCell ref="B78:Q78"/>
    <mergeCell ref="B2:S2"/>
    <mergeCell ref="AE5:AE6"/>
    <mergeCell ref="AM5:AM6"/>
    <mergeCell ref="AE8:AE9"/>
    <mergeCell ref="AM8:AM9"/>
    <mergeCell ref="AE11:AE12"/>
    <mergeCell ref="AM11:AM12"/>
    <mergeCell ref="AE14:AE15"/>
    <mergeCell ref="AM14:AM15"/>
    <mergeCell ref="B21:Y21"/>
    <mergeCell ref="B40:K40"/>
    <mergeCell ref="B59:M59"/>
    <mergeCell ref="AF2:AJ2"/>
    <mergeCell ref="AM48:AM49"/>
    <mergeCell ref="AN2:AQ2"/>
    <mergeCell ref="B100:S100"/>
    <mergeCell ref="B108:Y108"/>
    <mergeCell ref="B116:K116"/>
    <mergeCell ref="B124:M124"/>
    <mergeCell ref="AF33:AJ33"/>
    <mergeCell ref="AN33:AQ33"/>
    <mergeCell ref="AE36:AE37"/>
    <mergeCell ref="AM36:AM37"/>
    <mergeCell ref="AE39:AE40"/>
    <mergeCell ref="AM39:AM40"/>
    <mergeCell ref="AE42:AE43"/>
    <mergeCell ref="AM42:AM43"/>
    <mergeCell ref="AE45:AE46"/>
    <mergeCell ref="AM45:AM46"/>
    <mergeCell ref="AE48:AE49"/>
    <mergeCell ref="AE51:AE52"/>
    <mergeCell ref="AM51:AM52"/>
    <mergeCell ref="AE54:AE55"/>
    <mergeCell ref="AM54:AM55"/>
    <mergeCell ref="AE57:AE58"/>
    <mergeCell ref="AM57:AM58"/>
    <mergeCell ref="AE60:AE61"/>
    <mergeCell ref="AM60:AM61"/>
    <mergeCell ref="AE63:AE64"/>
    <mergeCell ref="AM63:AM64"/>
    <mergeCell ref="AE66:AE67"/>
    <mergeCell ref="AM66:AM67"/>
    <mergeCell ref="AE78:AE79"/>
    <mergeCell ref="AM78:AM79"/>
    <mergeCell ref="AE69:AE70"/>
    <mergeCell ref="AM69:AM70"/>
    <mergeCell ref="AE72:AE73"/>
    <mergeCell ref="AM72:AM73"/>
    <mergeCell ref="AE75:AE76"/>
    <mergeCell ref="AM75:AM76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40"/>
  <sheetViews>
    <sheetView topLeftCell="A89" zoomScale="90" zoomScaleNormal="90" workbookViewId="0">
      <selection activeCell="N102" sqref="N102"/>
    </sheetView>
  </sheetViews>
  <sheetFormatPr defaultColWidth="10.85546875" defaultRowHeight="15" x14ac:dyDescent="0.25"/>
  <cols>
    <col min="1" max="1" width="10.85546875" style="139"/>
    <col min="2" max="2" width="20.7109375" style="139" bestFit="1" customWidth="1"/>
    <col min="3" max="3" width="12.140625" style="139" bestFit="1" customWidth="1"/>
    <col min="4" max="4" width="15" style="139" bestFit="1" customWidth="1"/>
    <col min="5" max="5" width="13.5703125" style="139" customWidth="1"/>
    <col min="6" max="6" width="14.28515625" style="139" customWidth="1"/>
    <col min="7" max="7" width="12.42578125" style="139" bestFit="1" customWidth="1"/>
    <col min="8" max="8" width="19.85546875" style="139" bestFit="1" customWidth="1"/>
    <col min="9" max="9" width="20.5703125" style="139" bestFit="1" customWidth="1"/>
    <col min="10" max="10" width="12.140625" style="139" customWidth="1"/>
    <col min="11" max="11" width="20.42578125" style="139" customWidth="1"/>
    <col min="12" max="12" width="22.140625" style="139" customWidth="1"/>
    <col min="13" max="13" width="10.85546875" style="139" customWidth="1"/>
    <col min="14" max="14" width="14.28515625" style="139" customWidth="1"/>
    <col min="15" max="15" width="19.85546875" style="139" customWidth="1"/>
    <col min="16" max="16" width="10.85546875" style="139" customWidth="1"/>
    <col min="17" max="17" width="13.140625" style="139" customWidth="1"/>
    <col min="18" max="18" width="13.5703125" style="139" customWidth="1"/>
    <col min="19" max="23" width="10.85546875" style="139" customWidth="1"/>
    <col min="24" max="24" width="13.28515625" style="139" customWidth="1"/>
    <col min="25" max="25" width="13.42578125" style="139" customWidth="1"/>
    <col min="26" max="26" width="10.85546875" style="139"/>
    <col min="27" max="27" width="15.5703125" style="139" bestFit="1" customWidth="1"/>
    <col min="28" max="29" width="10.85546875" style="139"/>
    <col min="30" max="30" width="10.85546875" style="208"/>
    <col min="31" max="31" width="14.42578125" style="139" bestFit="1" customWidth="1"/>
    <col min="32" max="32" width="13.42578125" style="139" customWidth="1"/>
    <col min="33" max="33" width="14.140625" style="139" customWidth="1"/>
    <col min="34" max="34" width="13.140625" style="139" customWidth="1"/>
    <col min="35" max="38" width="10.85546875" style="139"/>
    <col min="39" max="39" width="15.5703125" style="139" bestFit="1" customWidth="1"/>
    <col min="40" max="40" width="11.85546875" style="139" customWidth="1"/>
    <col min="41" max="41" width="13.5703125" style="139" customWidth="1"/>
    <col min="42" max="16384" width="10.85546875" style="139"/>
  </cols>
  <sheetData>
    <row r="1" spans="1:44" ht="15.75" thickBot="1" x14ac:dyDescent="0.3">
      <c r="A1" s="187" t="s">
        <v>581</v>
      </c>
    </row>
    <row r="2" spans="1:44" ht="18" thickBot="1" x14ac:dyDescent="0.3">
      <c r="B2" s="319" t="s">
        <v>706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AF2" s="314" t="s">
        <v>658</v>
      </c>
      <c r="AG2" s="315"/>
      <c r="AH2" s="315"/>
      <c r="AI2" s="315"/>
      <c r="AJ2" s="316"/>
      <c r="AN2" s="314" t="s">
        <v>659</v>
      </c>
      <c r="AO2" s="315"/>
      <c r="AP2" s="315"/>
      <c r="AQ2" s="316"/>
    </row>
    <row r="4" spans="1:44" ht="30" customHeight="1" x14ac:dyDescent="0.25">
      <c r="B4" s="167" t="s">
        <v>569</v>
      </c>
      <c r="C4" s="167" t="s">
        <v>365</v>
      </c>
      <c r="D4" s="167" t="s">
        <v>596</v>
      </c>
      <c r="E4" s="167" t="s">
        <v>646</v>
      </c>
      <c r="F4" s="167" t="s">
        <v>492</v>
      </c>
      <c r="G4" s="167" t="s">
        <v>568</v>
      </c>
      <c r="H4" s="167" t="s">
        <v>573</v>
      </c>
      <c r="L4" s="167" t="s">
        <v>569</v>
      </c>
      <c r="M4" s="167" t="s">
        <v>365</v>
      </c>
      <c r="N4" s="167" t="s">
        <v>646</v>
      </c>
      <c r="O4" s="167" t="s">
        <v>492</v>
      </c>
      <c r="P4" s="167" t="s">
        <v>568</v>
      </c>
      <c r="Q4" s="167" t="s">
        <v>573</v>
      </c>
      <c r="AF4" s="167" t="s">
        <v>646</v>
      </c>
      <c r="AG4" s="167" t="s">
        <v>492</v>
      </c>
      <c r="AH4" s="167" t="s">
        <v>494</v>
      </c>
      <c r="AI4" s="167" t="s">
        <v>493</v>
      </c>
      <c r="AJ4" s="167" t="s">
        <v>597</v>
      </c>
      <c r="AM4" s="209" t="s">
        <v>611</v>
      </c>
      <c r="AN4" s="167" t="s">
        <v>492</v>
      </c>
      <c r="AO4" s="167" t="s">
        <v>494</v>
      </c>
      <c r="AP4" s="167" t="s">
        <v>493</v>
      </c>
      <c r="AQ4" s="167" t="s">
        <v>597</v>
      </c>
    </row>
    <row r="5" spans="1:44" ht="18" x14ac:dyDescent="0.25">
      <c r="B5" s="134" t="s">
        <v>495</v>
      </c>
      <c r="C5" s="11" t="s">
        <v>564</v>
      </c>
      <c r="D5" s="15">
        <f>SUM(E5:J5)</f>
        <v>4.3920000590999999</v>
      </c>
      <c r="E5" s="189">
        <v>0</v>
      </c>
      <c r="F5" s="189">
        <v>3.89</v>
      </c>
      <c r="G5" s="189">
        <v>5.91E-8</v>
      </c>
      <c r="H5" s="189">
        <v>0.502</v>
      </c>
      <c r="K5" s="190"/>
      <c r="L5" s="134" t="s">
        <v>495</v>
      </c>
      <c r="M5" s="11" t="s">
        <v>31</v>
      </c>
      <c r="N5" s="185">
        <f>E5/$D5</f>
        <v>0</v>
      </c>
      <c r="O5" s="185">
        <f t="shared" ref="O5:Q19" si="0">F5/$D5</f>
        <v>0.88570126312728947</v>
      </c>
      <c r="P5" s="185">
        <f t="shared" si="0"/>
        <v>1.3456283971933884E-8</v>
      </c>
      <c r="Q5" s="185">
        <f t="shared" si="0"/>
        <v>0.11429872341642656</v>
      </c>
      <c r="T5" s="207"/>
      <c r="AE5" s="317" t="s">
        <v>505</v>
      </c>
      <c r="AF5" s="15">
        <f>D105</f>
        <v>257.89999999999998</v>
      </c>
      <c r="AG5" s="15">
        <f>AN5*Calculations!$C$47</f>
        <v>195.45306296536529</v>
      </c>
      <c r="AH5" s="15">
        <f>AO5*Calculations!$C$47</f>
        <v>125.94249978888681</v>
      </c>
      <c r="AI5" s="15">
        <f>AP5*Calculations!$C$47</f>
        <v>123.03159167603938</v>
      </c>
      <c r="AJ5" s="15">
        <f>AQ5*Calculations!$C$47</f>
        <v>124.33180261269618</v>
      </c>
      <c r="AM5" s="317" t="s">
        <v>505</v>
      </c>
      <c r="AN5" s="15">
        <f>D113</f>
        <v>64.384374665482099</v>
      </c>
      <c r="AO5" s="15">
        <f>D121</f>
        <v>41.48683561</v>
      </c>
      <c r="AP5" s="15">
        <f>D129</f>
        <v>40.527950670000003</v>
      </c>
      <c r="AQ5" s="15">
        <f>D137</f>
        <v>40.956254360000003</v>
      </c>
    </row>
    <row r="6" spans="1:44" ht="18" x14ac:dyDescent="0.25">
      <c r="B6" s="134" t="s">
        <v>496</v>
      </c>
      <c r="C6" s="11" t="s">
        <v>564</v>
      </c>
      <c r="D6" s="15">
        <f t="shared" ref="D6:D19" si="1">SUM(E6:J6)</f>
        <v>6.1200012600000004</v>
      </c>
      <c r="E6" s="189">
        <v>0</v>
      </c>
      <c r="F6" s="189">
        <v>4.99</v>
      </c>
      <c r="G6" s="189">
        <v>1.26E-6</v>
      </c>
      <c r="H6" s="189">
        <v>1.1299999999999999</v>
      </c>
      <c r="K6" s="190"/>
      <c r="L6" s="134" t="s">
        <v>496</v>
      </c>
      <c r="M6" s="11" t="s">
        <v>31</v>
      </c>
      <c r="N6" s="185">
        <f t="shared" ref="N6:N19" si="2">E6/$D6</f>
        <v>0</v>
      </c>
      <c r="O6" s="185">
        <f t="shared" si="0"/>
        <v>0.8153593092560899</v>
      </c>
      <c r="P6" s="185">
        <f t="shared" si="0"/>
        <v>2.0588231055364194E-7</v>
      </c>
      <c r="Q6" s="185">
        <f t="shared" si="0"/>
        <v>0.18464048486159948</v>
      </c>
      <c r="T6" s="207"/>
      <c r="AE6" s="317"/>
      <c r="AF6" s="15">
        <f t="shared" ref="AF6:AI6" si="3">AF5-AG5</f>
        <v>62.446937034634686</v>
      </c>
      <c r="AG6" s="15">
        <f t="shared" si="3"/>
        <v>69.510563176478485</v>
      </c>
      <c r="AH6" s="15">
        <f t="shared" si="3"/>
        <v>2.910908112847423</v>
      </c>
      <c r="AI6" s="15">
        <f t="shared" si="3"/>
        <v>-1.3002109366567964</v>
      </c>
      <c r="AJ6" s="15">
        <f>AJ5-AK5</f>
        <v>124.33180261269618</v>
      </c>
      <c r="AM6" s="317"/>
      <c r="AN6" s="15">
        <f t="shared" ref="AN6:AP6" si="4">AN5-AO5</f>
        <v>22.897539055482099</v>
      </c>
      <c r="AO6" s="15">
        <f t="shared" si="4"/>
        <v>0.95888493999999724</v>
      </c>
      <c r="AP6" s="15">
        <f t="shared" si="4"/>
        <v>-0.4283036899999999</v>
      </c>
      <c r="AQ6" s="15">
        <f>AQ5-AR5</f>
        <v>40.956254360000003</v>
      </c>
    </row>
    <row r="7" spans="1:44" x14ac:dyDescent="0.25">
      <c r="B7" s="134" t="s">
        <v>497</v>
      </c>
      <c r="C7" s="11" t="s">
        <v>512</v>
      </c>
      <c r="D7" s="15">
        <f t="shared" si="1"/>
        <v>0.23170001699999998</v>
      </c>
      <c r="E7" s="189">
        <v>0</v>
      </c>
      <c r="F7" s="189">
        <v>0.192</v>
      </c>
      <c r="G7" s="189">
        <v>1.7E-8</v>
      </c>
      <c r="H7" s="189">
        <v>3.9699999999999999E-2</v>
      </c>
      <c r="K7" s="190"/>
      <c r="L7" s="134" t="s">
        <v>497</v>
      </c>
      <c r="M7" s="11" t="s">
        <v>31</v>
      </c>
      <c r="N7" s="185">
        <f t="shared" si="2"/>
        <v>0</v>
      </c>
      <c r="O7" s="185">
        <f t="shared" si="0"/>
        <v>0.82865768628752423</v>
      </c>
      <c r="P7" s="185">
        <f t="shared" si="0"/>
        <v>7.3370732640041199E-8</v>
      </c>
      <c r="Q7" s="185">
        <f t="shared" si="0"/>
        <v>0.17134224034174328</v>
      </c>
      <c r="T7" s="207"/>
      <c r="AE7" s="134" t="s">
        <v>598</v>
      </c>
      <c r="AF7" s="191">
        <f>AF6/$AF$5</f>
        <v>0.24213624286403526</v>
      </c>
      <c r="AG7" s="191">
        <f>AG6/$AF$5</f>
        <v>0.26952525465869909</v>
      </c>
      <c r="AH7" s="191">
        <f>AH6/$AF$5</f>
        <v>1.128696437707415E-2</v>
      </c>
      <c r="AI7" s="191">
        <f>AI6/$AF$5</f>
        <v>-5.0415313557843995E-3</v>
      </c>
      <c r="AJ7" s="191">
        <f>AJ6/$AF$5</f>
        <v>0.48209306945597591</v>
      </c>
      <c r="AK7" s="192">
        <f>SUM(AF7:AJ7)</f>
        <v>1</v>
      </c>
      <c r="AM7" s="134" t="s">
        <v>598</v>
      </c>
      <c r="AN7" s="193">
        <f>AN6/$AN$5</f>
        <v>0.35563813696179269</v>
      </c>
      <c r="AO7" s="193">
        <f t="shared" ref="AO7:AQ7" si="5">AO6/$AN$5</f>
        <v>1.4893131213621569E-2</v>
      </c>
      <c r="AP7" s="193">
        <f t="shared" si="5"/>
        <v>-6.6522924579963819E-3</v>
      </c>
      <c r="AQ7" s="193">
        <f t="shared" si="5"/>
        <v>0.6361210242825821</v>
      </c>
      <c r="AR7" s="194">
        <f>SUM(AN7:AQ7)</f>
        <v>1</v>
      </c>
    </row>
    <row r="8" spans="1:44" x14ac:dyDescent="0.25">
      <c r="B8" s="134" t="s">
        <v>561</v>
      </c>
      <c r="C8" s="11" t="s">
        <v>513</v>
      </c>
      <c r="D8" s="15">
        <f t="shared" si="1"/>
        <v>3981.0115999999998</v>
      </c>
      <c r="E8" s="189">
        <v>0</v>
      </c>
      <c r="F8" s="189">
        <v>3450</v>
      </c>
      <c r="G8" s="189">
        <v>1.1599999999999999E-2</v>
      </c>
      <c r="H8" s="189">
        <v>531</v>
      </c>
      <c r="K8" s="190"/>
      <c r="L8" s="134" t="s">
        <v>561</v>
      </c>
      <c r="M8" s="11" t="s">
        <v>31</v>
      </c>
      <c r="N8" s="185">
        <f t="shared" si="2"/>
        <v>0</v>
      </c>
      <c r="O8" s="185">
        <f t="shared" si="0"/>
        <v>0.86661390285825846</v>
      </c>
      <c r="P8" s="185">
        <f t="shared" si="0"/>
        <v>2.9138322530886369E-6</v>
      </c>
      <c r="Q8" s="185">
        <f t="shared" si="0"/>
        <v>0.13338318330948848</v>
      </c>
      <c r="T8" s="207"/>
      <c r="AE8" s="317" t="s">
        <v>508</v>
      </c>
      <c r="AF8" s="189">
        <f>D103</f>
        <v>1.9250001870000001E-4</v>
      </c>
      <c r="AG8" s="189">
        <f>AN8*Calculations!$C$47</f>
        <v>1.5982703141563298E-4</v>
      </c>
      <c r="AH8" s="189">
        <f>AO8*Calculations!$C$47</f>
        <v>9.5008839811771824E-5</v>
      </c>
      <c r="AI8" s="189">
        <f>AP8*Calculations!$C$47</f>
        <v>9.2198186236003982E-5</v>
      </c>
      <c r="AJ8" s="189">
        <f>AQ8*Calculations!$C$47</f>
        <v>9.7097871909675003E-5</v>
      </c>
      <c r="AM8" s="317" t="s">
        <v>508</v>
      </c>
      <c r="AN8" s="189">
        <f>D111</f>
        <v>5.2648770585699987E-5</v>
      </c>
      <c r="AO8" s="189">
        <f>D119</f>
        <v>3.1296949999999999E-5</v>
      </c>
      <c r="AP8" s="189">
        <f>D127</f>
        <v>3.0371089999999997E-5</v>
      </c>
      <c r="AQ8" s="189">
        <f>D135</f>
        <v>3.19851E-5</v>
      </c>
    </row>
    <row r="9" spans="1:44" x14ac:dyDescent="0.25">
      <c r="B9" s="134" t="s">
        <v>498</v>
      </c>
      <c r="C9" s="11" t="s">
        <v>514</v>
      </c>
      <c r="D9" s="15">
        <f t="shared" si="1"/>
        <v>3.3200000000042E-5</v>
      </c>
      <c r="E9" s="189">
        <v>0</v>
      </c>
      <c r="F9" s="189">
        <v>2.1500000000000001E-5</v>
      </c>
      <c r="G9" s="189">
        <v>4.1999999999999998E-17</v>
      </c>
      <c r="H9" s="189">
        <v>1.17E-5</v>
      </c>
      <c r="K9" s="190"/>
      <c r="L9" s="134" t="s">
        <v>498</v>
      </c>
      <c r="M9" s="11" t="s">
        <v>31</v>
      </c>
      <c r="N9" s="185">
        <f t="shared" si="2"/>
        <v>0</v>
      </c>
      <c r="O9" s="185">
        <f t="shared" si="0"/>
        <v>0.64759036144496396</v>
      </c>
      <c r="P9" s="185">
        <f t="shared" si="0"/>
        <v>1.2650602409622549E-12</v>
      </c>
      <c r="Q9" s="185">
        <f t="shared" si="0"/>
        <v>0.35240963855377105</v>
      </c>
      <c r="T9" s="207"/>
      <c r="AE9" s="317"/>
      <c r="AF9" s="189">
        <f t="shared" ref="AF9:AI9" si="6">AF8-AG8</f>
        <v>3.2672987284367027E-5</v>
      </c>
      <c r="AG9" s="189">
        <f t="shared" si="6"/>
        <v>6.4818191603861156E-5</v>
      </c>
      <c r="AH9" s="189">
        <f t="shared" si="6"/>
        <v>2.810653575767842E-6</v>
      </c>
      <c r="AI9" s="189">
        <f t="shared" si="6"/>
        <v>-4.8996856736710211E-6</v>
      </c>
      <c r="AJ9" s="189">
        <f>AJ8-AK8</f>
        <v>9.7097871909675003E-5</v>
      </c>
      <c r="AM9" s="317"/>
      <c r="AN9" s="189">
        <f t="shared" ref="AN9:AP9" si="7">AN8-AO8</f>
        <v>2.1351820585699989E-5</v>
      </c>
      <c r="AO9" s="189">
        <f t="shared" si="7"/>
        <v>9.2586000000000133E-7</v>
      </c>
      <c r="AP9" s="189">
        <f t="shared" si="7"/>
        <v>-1.6140100000000025E-6</v>
      </c>
      <c r="AQ9" s="189">
        <f>AQ8-AR8</f>
        <v>3.19851E-5</v>
      </c>
    </row>
    <row r="10" spans="1:44" ht="18" x14ac:dyDescent="0.25">
      <c r="B10" s="134" t="s">
        <v>499</v>
      </c>
      <c r="C10" s="11" t="s">
        <v>565</v>
      </c>
      <c r="D10" s="15">
        <f t="shared" si="1"/>
        <v>8.4300299000000009E-2</v>
      </c>
      <c r="E10" s="189">
        <v>0</v>
      </c>
      <c r="F10" s="189">
        <v>5.5300000000000002E-2</v>
      </c>
      <c r="G10" s="189">
        <v>2.9900000000000002E-7</v>
      </c>
      <c r="H10" s="189">
        <v>2.9000000000000001E-2</v>
      </c>
      <c r="K10" s="190"/>
      <c r="L10" s="134" t="s">
        <v>499</v>
      </c>
      <c r="M10" s="11" t="s">
        <v>31</v>
      </c>
      <c r="N10" s="185">
        <f t="shared" si="2"/>
        <v>0</v>
      </c>
      <c r="O10" s="185">
        <f t="shared" si="0"/>
        <v>0.65598818338710752</v>
      </c>
      <c r="P10" s="185">
        <f t="shared" si="0"/>
        <v>3.5468438848597677E-6</v>
      </c>
      <c r="Q10" s="185">
        <f t="shared" si="0"/>
        <v>0.34400826976900756</v>
      </c>
      <c r="T10" s="207"/>
      <c r="AE10" s="134" t="s">
        <v>598</v>
      </c>
      <c r="AF10" s="191">
        <f>AF9/$AF$8</f>
        <v>0.1697297875865974</v>
      </c>
      <c r="AG10" s="191">
        <f>AG9/$AF$8</f>
        <v>0.33671784575188279</v>
      </c>
      <c r="AH10" s="191">
        <f>AH9/$AF$8</f>
        <v>1.4600796377833505E-2</v>
      </c>
      <c r="AI10" s="191">
        <f>AI9/$AF$8</f>
        <v>-2.5452910117930397E-2</v>
      </c>
      <c r="AJ10" s="191">
        <f>AJ9/$AF$8</f>
        <v>0.50440448040161667</v>
      </c>
      <c r="AK10" s="192">
        <f>SUM(AF10:AJ10)</f>
        <v>1</v>
      </c>
      <c r="AM10" s="134" t="s">
        <v>598</v>
      </c>
      <c r="AN10" s="193">
        <f>AN9/$AN$8</f>
        <v>0.40555212112587086</v>
      </c>
      <c r="AO10" s="193">
        <f t="shared" ref="AO10:AQ10" si="8">AO9/$AN$8</f>
        <v>1.7585595821139183E-2</v>
      </c>
      <c r="AP10" s="193">
        <f t="shared" si="8"/>
        <v>-3.0656176431940962E-2</v>
      </c>
      <c r="AQ10" s="193">
        <f t="shared" si="8"/>
        <v>0.60751845948493088</v>
      </c>
      <c r="AR10" s="194">
        <f>SUM(AN10:AQ10)</f>
        <v>1</v>
      </c>
    </row>
    <row r="11" spans="1:44" x14ac:dyDescent="0.25">
      <c r="B11" s="134" t="s">
        <v>500</v>
      </c>
      <c r="C11" s="11" t="s">
        <v>515</v>
      </c>
      <c r="D11" s="15">
        <f t="shared" si="1"/>
        <v>23780.539000000001</v>
      </c>
      <c r="E11" s="189">
        <v>0</v>
      </c>
      <c r="F11" s="189">
        <v>18200</v>
      </c>
      <c r="G11" s="189">
        <v>0.53900000000000003</v>
      </c>
      <c r="H11" s="189">
        <v>5580</v>
      </c>
      <c r="K11" s="190"/>
      <c r="L11" s="134" t="s">
        <v>500</v>
      </c>
      <c r="M11" s="11" t="s">
        <v>31</v>
      </c>
      <c r="N11" s="185">
        <f t="shared" si="2"/>
        <v>0</v>
      </c>
      <c r="O11" s="185">
        <f t="shared" si="0"/>
        <v>0.76533168571158117</v>
      </c>
      <c r="P11" s="185">
        <f t="shared" si="0"/>
        <v>2.2665592230689139E-5</v>
      </c>
      <c r="Q11" s="185">
        <f t="shared" si="0"/>
        <v>0.23464564869618809</v>
      </c>
      <c r="T11" s="207"/>
      <c r="AE11" s="318" t="s">
        <v>509</v>
      </c>
      <c r="AF11" s="15">
        <f>D104</f>
        <v>83.700028700000004</v>
      </c>
      <c r="AG11" s="15">
        <f>AN11*Calculations!$C$47</f>
        <v>47.605828428971407</v>
      </c>
      <c r="AH11" s="15">
        <f>AO11*Calculations!$C$47</f>
        <v>29.671896884655585</v>
      </c>
      <c r="AI11" s="15">
        <f>AP11*Calculations!$C$47</f>
        <v>29.266836824273316</v>
      </c>
      <c r="AJ11" s="15">
        <f>AQ11*Calculations!$C$47</f>
        <v>29.296255095509458</v>
      </c>
      <c r="AM11" s="318" t="s">
        <v>509</v>
      </c>
      <c r="AN11" s="15">
        <f>D112</f>
        <v>15.681880075599999</v>
      </c>
      <c r="AO11" s="15">
        <f>D120</f>
        <v>9.7742470599999987</v>
      </c>
      <c r="AP11" s="15">
        <f>D128</f>
        <v>9.6408158499999992</v>
      </c>
      <c r="AQ11" s="15">
        <f>D136</f>
        <v>9.6505065499999994</v>
      </c>
    </row>
    <row r="12" spans="1:44" x14ac:dyDescent="0.25">
      <c r="B12" s="134" t="s">
        <v>562</v>
      </c>
      <c r="C12" s="11" t="s">
        <v>516</v>
      </c>
      <c r="D12" s="15">
        <f t="shared" si="1"/>
        <v>8510.0001140000004</v>
      </c>
      <c r="E12" s="189">
        <v>0</v>
      </c>
      <c r="F12" s="189">
        <v>4380</v>
      </c>
      <c r="G12" s="189">
        <v>1.1400000000000001E-4</v>
      </c>
      <c r="H12" s="189">
        <v>4130</v>
      </c>
      <c r="K12" s="190"/>
      <c r="L12" s="134" t="s">
        <v>562</v>
      </c>
      <c r="M12" s="11" t="s">
        <v>31</v>
      </c>
      <c r="N12" s="185">
        <f t="shared" si="2"/>
        <v>0</v>
      </c>
      <c r="O12" s="185">
        <f t="shared" si="0"/>
        <v>0.51468859475035256</v>
      </c>
      <c r="P12" s="185">
        <f t="shared" si="0"/>
        <v>1.3396004520899588E-8</v>
      </c>
      <c r="Q12" s="185">
        <f t="shared" si="0"/>
        <v>0.48531139185364291</v>
      </c>
      <c r="T12" s="207"/>
      <c r="AE12" s="318"/>
      <c r="AF12" s="15">
        <f t="shared" ref="AF12:AI12" si="9">AF11-AG11</f>
        <v>36.094200271028598</v>
      </c>
      <c r="AG12" s="15">
        <f t="shared" si="9"/>
        <v>17.933931544315822</v>
      </c>
      <c r="AH12" s="15">
        <f t="shared" si="9"/>
        <v>0.40506006038226872</v>
      </c>
      <c r="AI12" s="15">
        <f t="shared" si="9"/>
        <v>-2.9418271236142601E-2</v>
      </c>
      <c r="AJ12" s="15">
        <f>AJ11-AK11</f>
        <v>29.296255095509458</v>
      </c>
      <c r="AM12" s="318"/>
      <c r="AN12" s="15">
        <f t="shared" ref="AN12:AP12" si="10">AN11-AO11</f>
        <v>5.9076330156000001</v>
      </c>
      <c r="AO12" s="15">
        <f t="shared" si="10"/>
        <v>0.13343120999999947</v>
      </c>
      <c r="AP12" s="15">
        <f t="shared" si="10"/>
        <v>-9.6907000000001631E-3</v>
      </c>
      <c r="AQ12" s="15">
        <f>AQ11-AR11</f>
        <v>9.6505065499999994</v>
      </c>
    </row>
    <row r="13" spans="1:44" ht="18" x14ac:dyDescent="0.25">
      <c r="B13" s="134" t="s">
        <v>501</v>
      </c>
      <c r="C13" s="11" t="s">
        <v>566</v>
      </c>
      <c r="D13" s="15">
        <f t="shared" si="1"/>
        <v>3.5870007329999996</v>
      </c>
      <c r="E13" s="189">
        <v>0</v>
      </c>
      <c r="F13" s="189">
        <v>3.03</v>
      </c>
      <c r="G13" s="189">
        <v>7.3300000000000001E-7</v>
      </c>
      <c r="H13" s="189">
        <v>0.55700000000000005</v>
      </c>
      <c r="K13" s="190"/>
      <c r="L13" s="134" t="s">
        <v>501</v>
      </c>
      <c r="M13" s="11" t="s">
        <v>31</v>
      </c>
      <c r="N13" s="185">
        <f t="shared" si="2"/>
        <v>0</v>
      </c>
      <c r="O13" s="185">
        <f t="shared" si="0"/>
        <v>0.84471686111584643</v>
      </c>
      <c r="P13" s="185">
        <f t="shared" si="0"/>
        <v>2.0434899643495559E-7</v>
      </c>
      <c r="Q13" s="185">
        <f t="shared" si="0"/>
        <v>0.15528293453515726</v>
      </c>
      <c r="T13" s="207"/>
      <c r="AE13" s="134" t="s">
        <v>598</v>
      </c>
      <c r="AF13" s="191">
        <f>AF12/$AF$11</f>
        <v>0.43123283028251336</v>
      </c>
      <c r="AG13" s="191">
        <f>AG12/$AF$11</f>
        <v>0.2142643416359524</v>
      </c>
      <c r="AH13" s="191">
        <f>AH12/$AF$11</f>
        <v>4.839425585313673E-3</v>
      </c>
      <c r="AI13" s="191">
        <f>AI12/$AF$11</f>
        <v>-3.5147265410845194E-4</v>
      </c>
      <c r="AJ13" s="191">
        <f>AJ12/$AF$11</f>
        <v>0.35001487515032903</v>
      </c>
      <c r="AK13" s="192">
        <f>SUM(AF13:AJ13)</f>
        <v>1</v>
      </c>
      <c r="AM13" s="134" t="s">
        <v>598</v>
      </c>
      <c r="AN13" s="193">
        <f>AN12/$AN$11</f>
        <v>0.37671714023574882</v>
      </c>
      <c r="AO13" s="193">
        <f t="shared" ref="AO13:AQ13" si="11">AO12/$AN$11</f>
        <v>8.5086232873065951E-3</v>
      </c>
      <c r="AP13" s="193">
        <f t="shared" si="11"/>
        <v>-6.1795524218287272E-4</v>
      </c>
      <c r="AQ13" s="193">
        <f t="shared" si="11"/>
        <v>0.6153921917191274</v>
      </c>
      <c r="AR13" s="194">
        <f>SUM(AN13:AQ13)</f>
        <v>1</v>
      </c>
    </row>
    <row r="14" spans="1:44" x14ac:dyDescent="0.25">
      <c r="B14" s="134" t="s">
        <v>502</v>
      </c>
      <c r="C14" s="11" t="s">
        <v>563</v>
      </c>
      <c r="D14" s="15">
        <f t="shared" si="1"/>
        <v>10.42</v>
      </c>
      <c r="E14" s="189">
        <v>0</v>
      </c>
      <c r="F14" s="189">
        <v>8.11</v>
      </c>
      <c r="G14" s="189">
        <v>0</v>
      </c>
      <c r="H14" s="189">
        <v>2.31</v>
      </c>
      <c r="K14" s="190"/>
      <c r="L14" s="134" t="s">
        <v>502</v>
      </c>
      <c r="M14" s="11" t="s">
        <v>31</v>
      </c>
      <c r="N14" s="185">
        <f t="shared" si="2"/>
        <v>0</v>
      </c>
      <c r="O14" s="185">
        <f t="shared" si="0"/>
        <v>0.77831094049904026</v>
      </c>
      <c r="P14" s="185">
        <f t="shared" si="0"/>
        <v>0</v>
      </c>
      <c r="Q14" s="185">
        <f t="shared" si="0"/>
        <v>0.22168905950095971</v>
      </c>
      <c r="T14" s="207"/>
      <c r="AE14" s="317" t="s">
        <v>511</v>
      </c>
      <c r="AF14" s="15">
        <f>D106</f>
        <v>4461.66</v>
      </c>
      <c r="AG14" s="15">
        <f>AN14*Calculations!$C$47</f>
        <v>3430.0268875136585</v>
      </c>
      <c r="AH14" s="15">
        <f>AO14*Calculations!$C$47</f>
        <v>2467.4753751124795</v>
      </c>
      <c r="AI14" s="15">
        <f>AP14*Calculations!$C$47</f>
        <v>2408.1622619283289</v>
      </c>
      <c r="AJ14" s="15">
        <f>AQ14*Calculations!$C$47</f>
        <v>2405.1233906650846</v>
      </c>
      <c r="AM14" s="317" t="s">
        <v>511</v>
      </c>
      <c r="AN14" s="15">
        <f>D114</f>
        <v>1129.8883368100001</v>
      </c>
      <c r="AO14" s="15">
        <f>D122</f>
        <v>812.81335077999995</v>
      </c>
      <c r="AP14" s="15">
        <f>D130</f>
        <v>793.27496317999999</v>
      </c>
      <c r="AQ14" s="15">
        <f>D138</f>
        <v>792.27392578000001</v>
      </c>
    </row>
    <row r="15" spans="1:44" ht="18" x14ac:dyDescent="0.25">
      <c r="B15" s="134" t="s">
        <v>503</v>
      </c>
      <c r="C15" s="11" t="s">
        <v>566</v>
      </c>
      <c r="D15" s="15">
        <f t="shared" si="1"/>
        <v>1.1850026200000001</v>
      </c>
      <c r="E15" s="189">
        <v>0</v>
      </c>
      <c r="F15" s="189">
        <v>1.03</v>
      </c>
      <c r="G15" s="189">
        <v>2.6199999999999999E-6</v>
      </c>
      <c r="H15" s="189">
        <v>0.155</v>
      </c>
      <c r="K15" s="190"/>
      <c r="L15" s="134" t="s">
        <v>503</v>
      </c>
      <c r="M15" s="11" t="s">
        <v>31</v>
      </c>
      <c r="N15" s="185">
        <f t="shared" si="2"/>
        <v>0</v>
      </c>
      <c r="O15" s="185">
        <f t="shared" si="0"/>
        <v>0.86919639046873998</v>
      </c>
      <c r="P15" s="185">
        <f t="shared" si="0"/>
        <v>2.2109655757554355E-6</v>
      </c>
      <c r="Q15" s="185">
        <f t="shared" si="0"/>
        <v>0.13080139856568418</v>
      </c>
      <c r="T15" s="207"/>
      <c r="AE15" s="317"/>
      <c r="AF15" s="15">
        <f t="shared" ref="AF15:AI15" si="12">AF14-AG14</f>
        <v>1031.6331124863414</v>
      </c>
      <c r="AG15" s="15">
        <f t="shared" si="12"/>
        <v>962.55151240117902</v>
      </c>
      <c r="AH15" s="15">
        <f t="shared" si="12"/>
        <v>59.313113184150552</v>
      </c>
      <c r="AI15" s="15">
        <f t="shared" si="12"/>
        <v>3.0388712632443458</v>
      </c>
      <c r="AJ15" s="15">
        <f>AJ14-AK14</f>
        <v>2405.1233906650846</v>
      </c>
      <c r="AM15" s="317"/>
      <c r="AN15" s="15">
        <f t="shared" ref="AN15:AP15" si="13">AN14-AO14</f>
        <v>317.0749860300001</v>
      </c>
      <c r="AO15" s="15">
        <f t="shared" si="13"/>
        <v>19.538387599999965</v>
      </c>
      <c r="AP15" s="15">
        <f t="shared" si="13"/>
        <v>1.0010373999999729</v>
      </c>
      <c r="AQ15" s="15">
        <f>AQ14-AR14</f>
        <v>792.27392578000001</v>
      </c>
    </row>
    <row r="16" spans="1:44" ht="18" x14ac:dyDescent="0.25">
      <c r="B16" s="134" t="s">
        <v>504</v>
      </c>
      <c r="C16" s="11" t="s">
        <v>567</v>
      </c>
      <c r="D16" s="15">
        <f t="shared" si="1"/>
        <v>9.9839999999999998E-2</v>
      </c>
      <c r="E16" s="189">
        <v>0</v>
      </c>
      <c r="F16" s="189">
        <v>9.2100000000000001E-2</v>
      </c>
      <c r="G16" s="189">
        <v>0</v>
      </c>
      <c r="H16" s="189">
        <v>7.7400000000000004E-3</v>
      </c>
      <c r="K16" s="190"/>
      <c r="L16" s="134" t="s">
        <v>504</v>
      </c>
      <c r="M16" s="11" t="s">
        <v>31</v>
      </c>
      <c r="N16" s="185">
        <f t="shared" si="2"/>
        <v>0</v>
      </c>
      <c r="O16" s="185">
        <f t="shared" si="0"/>
        <v>0.92247596153846156</v>
      </c>
      <c r="P16" s="185">
        <f t="shared" si="0"/>
        <v>0</v>
      </c>
      <c r="Q16" s="185">
        <f t="shared" si="0"/>
        <v>7.7524038461538464E-2</v>
      </c>
      <c r="T16" s="207"/>
      <c r="AE16" s="134" t="s">
        <v>598</v>
      </c>
      <c r="AF16" s="191">
        <f>AF15/$AF$14</f>
        <v>0.23122181261825003</v>
      </c>
      <c r="AG16" s="191">
        <f>AG15/$AF$14</f>
        <v>0.21573842749137745</v>
      </c>
      <c r="AH16" s="191">
        <f>AH15/$AF$14</f>
        <v>1.3293956326602779E-2</v>
      </c>
      <c r="AI16" s="191">
        <f>AI15/$AF$14</f>
        <v>6.8110776330880117E-4</v>
      </c>
      <c r="AJ16" s="191">
        <f>AJ15/$AF$14</f>
        <v>0.53906469580046101</v>
      </c>
      <c r="AK16" s="192">
        <f>SUM(AF16:AJ16)</f>
        <v>1</v>
      </c>
      <c r="AM16" s="134" t="s">
        <v>598</v>
      </c>
      <c r="AN16" s="193">
        <f>AN15/$AN$14</f>
        <v>0.28062506329182407</v>
      </c>
      <c r="AO16" s="193">
        <f t="shared" ref="AO16:AQ16" si="14">AO15/$AN$14</f>
        <v>1.7292317270184817E-2</v>
      </c>
      <c r="AP16" s="193">
        <f t="shared" si="14"/>
        <v>8.8596135333708246E-4</v>
      </c>
      <c r="AQ16" s="193">
        <f t="shared" si="14"/>
        <v>0.70119665808465403</v>
      </c>
      <c r="AR16" s="194">
        <f>SUM(AN16:AQ16)</f>
        <v>1</v>
      </c>
    </row>
    <row r="17" spans="2:45" ht="18" x14ac:dyDescent="0.25">
      <c r="B17" s="176" t="s">
        <v>505</v>
      </c>
      <c r="C17" s="165" t="s">
        <v>578</v>
      </c>
      <c r="D17" s="195">
        <f t="shared" si="1"/>
        <v>257.90000001829998</v>
      </c>
      <c r="E17" s="196">
        <v>0</v>
      </c>
      <c r="F17" s="196">
        <v>195</v>
      </c>
      <c r="G17" s="196">
        <v>1.8299999999999998E-8</v>
      </c>
      <c r="H17" s="196">
        <v>62.9</v>
      </c>
      <c r="K17" s="190"/>
      <c r="L17" s="197" t="s">
        <v>505</v>
      </c>
      <c r="M17" s="198" t="s">
        <v>31</v>
      </c>
      <c r="N17" s="199">
        <f t="shared" si="2"/>
        <v>0</v>
      </c>
      <c r="O17" s="199">
        <f t="shared" si="0"/>
        <v>0.75610701817046633</v>
      </c>
      <c r="P17" s="199">
        <f t="shared" si="0"/>
        <v>7.0957735551382218E-11</v>
      </c>
      <c r="Q17" s="199">
        <f t="shared" si="0"/>
        <v>0.24389298175857604</v>
      </c>
      <c r="T17" s="207"/>
    </row>
    <row r="18" spans="2:45" x14ac:dyDescent="0.25">
      <c r="B18" s="134" t="s">
        <v>506</v>
      </c>
      <c r="C18" s="11" t="s">
        <v>517</v>
      </c>
      <c r="D18" s="15">
        <f t="shared" si="1"/>
        <v>4451.57</v>
      </c>
      <c r="E18" s="189">
        <v>0</v>
      </c>
      <c r="F18" s="189">
        <v>3420</v>
      </c>
      <c r="G18" s="189">
        <v>1.57</v>
      </c>
      <c r="H18" s="189">
        <v>1030</v>
      </c>
      <c r="K18" s="190"/>
      <c r="L18" s="134" t="s">
        <v>506</v>
      </c>
      <c r="M18" s="11" t="s">
        <v>31</v>
      </c>
      <c r="N18" s="185">
        <f t="shared" si="2"/>
        <v>0</v>
      </c>
      <c r="O18" s="185">
        <f t="shared" si="0"/>
        <v>0.76826827388988606</v>
      </c>
      <c r="P18" s="185">
        <f t="shared" si="0"/>
        <v>3.5268455848161439E-4</v>
      </c>
      <c r="Q18" s="185">
        <f t="shared" si="0"/>
        <v>0.23137904155163236</v>
      </c>
      <c r="T18" s="207"/>
    </row>
    <row r="19" spans="2:45" x14ac:dyDescent="0.25">
      <c r="B19" s="134" t="s">
        <v>507</v>
      </c>
      <c r="C19" s="11" t="s">
        <v>518</v>
      </c>
      <c r="D19" s="15">
        <f t="shared" si="1"/>
        <v>9.1829999999999998</v>
      </c>
      <c r="E19" s="189">
        <v>0</v>
      </c>
      <c r="F19" s="189">
        <v>7.81</v>
      </c>
      <c r="G19" s="189">
        <v>9.2999999999999999E-2</v>
      </c>
      <c r="H19" s="189">
        <v>1.28</v>
      </c>
      <c r="K19" s="190"/>
      <c r="L19" s="134" t="s">
        <v>507</v>
      </c>
      <c r="M19" s="11" t="s">
        <v>31</v>
      </c>
      <c r="N19" s="185">
        <f t="shared" si="2"/>
        <v>0</v>
      </c>
      <c r="O19" s="185">
        <f t="shared" si="0"/>
        <v>0.85048459109223562</v>
      </c>
      <c r="P19" s="185">
        <f t="shared" si="0"/>
        <v>1.0127409343351846E-2</v>
      </c>
      <c r="Q19" s="185">
        <f t="shared" si="0"/>
        <v>0.1393879995644125</v>
      </c>
      <c r="T19" s="207"/>
    </row>
    <row r="21" spans="2:45" ht="17.25" x14ac:dyDescent="0.25">
      <c r="B21" s="319" t="s">
        <v>679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3" spans="2:45" ht="30.95" customHeight="1" x14ac:dyDescent="0.25">
      <c r="B23" s="167" t="s">
        <v>569</v>
      </c>
      <c r="C23" s="167" t="s">
        <v>365</v>
      </c>
      <c r="D23" s="167" t="s">
        <v>223</v>
      </c>
      <c r="E23" s="167" t="s">
        <v>494</v>
      </c>
      <c r="F23" s="167" t="s">
        <v>230</v>
      </c>
      <c r="G23" s="167" t="s">
        <v>570</v>
      </c>
      <c r="H23" s="167" t="s">
        <v>341</v>
      </c>
      <c r="I23" s="167" t="s">
        <v>571</v>
      </c>
      <c r="J23" s="167" t="s">
        <v>572</v>
      </c>
      <c r="L23" s="133" t="s">
        <v>569</v>
      </c>
      <c r="M23" s="133" t="s">
        <v>365</v>
      </c>
      <c r="N23" s="167" t="s">
        <v>494</v>
      </c>
      <c r="O23" s="167" t="s">
        <v>230</v>
      </c>
      <c r="P23" s="167" t="s">
        <v>570</v>
      </c>
      <c r="Q23" s="167" t="s">
        <v>341</v>
      </c>
      <c r="R23" s="167" t="s">
        <v>571</v>
      </c>
      <c r="S23" s="167" t="s">
        <v>572</v>
      </c>
    </row>
    <row r="24" spans="2:45" ht="18" x14ac:dyDescent="0.25">
      <c r="B24" s="134" t="s">
        <v>495</v>
      </c>
      <c r="C24" s="11" t="s">
        <v>564</v>
      </c>
      <c r="D24" s="15">
        <f>SUM(E24:J24)</f>
        <v>1.2805388976580001</v>
      </c>
      <c r="E24" s="189">
        <f>D43</f>
        <v>1.0015640000000001</v>
      </c>
      <c r="F24" s="189">
        <v>0.25269651999999998</v>
      </c>
      <c r="G24" s="189">
        <v>0</v>
      </c>
      <c r="H24" s="189">
        <v>1.7657999999999998E-8</v>
      </c>
      <c r="I24" s="189">
        <v>1.3855000000000001E-4</v>
      </c>
      <c r="J24" s="189">
        <v>2.6139809999999999E-2</v>
      </c>
      <c r="L24" s="134" t="s">
        <v>495</v>
      </c>
      <c r="M24" s="11" t="s">
        <v>31</v>
      </c>
      <c r="N24" s="185">
        <f>E24/$D24</f>
        <v>0.78214258218299959</v>
      </c>
      <c r="O24" s="185">
        <f t="shared" ref="O24:S38" si="15">F24/$D24</f>
        <v>0.19733607504009526</v>
      </c>
      <c r="P24" s="185">
        <f t="shared" si="15"/>
        <v>0</v>
      </c>
      <c r="Q24" s="185">
        <f t="shared" si="15"/>
        <v>1.3789506927353025E-8</v>
      </c>
      <c r="R24" s="185">
        <f t="shared" si="15"/>
        <v>1.0819663522396431E-4</v>
      </c>
      <c r="S24" s="185">
        <f t="shared" si="15"/>
        <v>2.0413132352174193E-2</v>
      </c>
      <c r="T24" s="207"/>
    </row>
    <row r="25" spans="2:45" ht="18" x14ac:dyDescent="0.25">
      <c r="B25" s="134" t="s">
        <v>496</v>
      </c>
      <c r="C25" s="11" t="s">
        <v>564</v>
      </c>
      <c r="D25" s="15">
        <f t="shared" ref="D25:D38" si="16">SUM(E25:J25)</f>
        <v>1.64454725817</v>
      </c>
      <c r="E25" s="189">
        <f t="shared" ref="E25:E38" si="17">D44</f>
        <v>0.50489024000000005</v>
      </c>
      <c r="F25" s="189">
        <v>1.1292310299999999</v>
      </c>
      <c r="G25" s="189">
        <v>0</v>
      </c>
      <c r="H25" s="189">
        <v>3.7817E-7</v>
      </c>
      <c r="I25" s="189">
        <v>5.6085E-4</v>
      </c>
      <c r="J25" s="189">
        <v>9.8647600000000002E-3</v>
      </c>
      <c r="L25" s="134" t="s">
        <v>496</v>
      </c>
      <c r="M25" s="11" t="s">
        <v>31</v>
      </c>
      <c r="N25" s="185">
        <f t="shared" ref="N25:N38" si="18">E25/$D25</f>
        <v>0.30700865389652948</v>
      </c>
      <c r="O25" s="185">
        <f t="shared" si="15"/>
        <v>0.68665161453406476</v>
      </c>
      <c r="P25" s="185">
        <f t="shared" si="15"/>
        <v>0</v>
      </c>
      <c r="Q25" s="185">
        <f t="shared" si="15"/>
        <v>2.2995386609978941E-7</v>
      </c>
      <c r="R25" s="185">
        <f t="shared" si="15"/>
        <v>3.4103611022044818E-4</v>
      </c>
      <c r="S25" s="185">
        <f t="shared" si="15"/>
        <v>5.9984655053191916E-3</v>
      </c>
      <c r="T25" s="207"/>
      <c r="AS25" s="139" t="s">
        <v>505</v>
      </c>
    </row>
    <row r="26" spans="2:45" x14ac:dyDescent="0.25">
      <c r="B26" s="134" t="s">
        <v>497</v>
      </c>
      <c r="C26" s="11" t="s">
        <v>512</v>
      </c>
      <c r="D26" s="15">
        <f t="shared" si="16"/>
        <v>6.3124958083100008E-2</v>
      </c>
      <c r="E26" s="189">
        <f t="shared" si="17"/>
        <v>3.8373529999999996E-2</v>
      </c>
      <c r="F26" s="189">
        <v>2.145611E-2</v>
      </c>
      <c r="G26" s="189">
        <v>4.3473000000000002E-5</v>
      </c>
      <c r="H26" s="189">
        <v>5.0831000000000004E-9</v>
      </c>
      <c r="I26" s="189">
        <v>1.0458799999999999E-3</v>
      </c>
      <c r="J26" s="189">
        <v>2.2059599999999999E-3</v>
      </c>
      <c r="L26" s="134" t="s">
        <v>497</v>
      </c>
      <c r="M26" s="11" t="s">
        <v>31</v>
      </c>
      <c r="N26" s="185">
        <f t="shared" si="18"/>
        <v>0.6078979086130033</v>
      </c>
      <c r="O26" s="185">
        <f t="shared" si="15"/>
        <v>0.33989899798039297</v>
      </c>
      <c r="P26" s="185">
        <f t="shared" si="15"/>
        <v>6.8868164542415305E-4</v>
      </c>
      <c r="Q26" s="185">
        <f t="shared" si="15"/>
        <v>8.0524409906275439E-8</v>
      </c>
      <c r="R26" s="185">
        <f t="shared" si="15"/>
        <v>1.6568407041524926E-2</v>
      </c>
      <c r="S26" s="185">
        <f t="shared" si="15"/>
        <v>3.4945924195244504E-2</v>
      </c>
      <c r="T26" s="207"/>
      <c r="AS26" s="139" t="s">
        <v>508</v>
      </c>
    </row>
    <row r="27" spans="2:45" x14ac:dyDescent="0.25">
      <c r="B27" s="134" t="s">
        <v>561</v>
      </c>
      <c r="C27" s="11" t="s">
        <v>513</v>
      </c>
      <c r="D27" s="15">
        <f t="shared" si="16"/>
        <v>1136.6334173399998</v>
      </c>
      <c r="E27" s="189">
        <f t="shared" si="17"/>
        <v>947.88985971</v>
      </c>
      <c r="F27" s="189">
        <v>108.956751</v>
      </c>
      <c r="G27" s="189">
        <v>0</v>
      </c>
      <c r="H27" s="189">
        <v>3.4710700000000001E-3</v>
      </c>
      <c r="I27" s="189">
        <v>1.00467876</v>
      </c>
      <c r="J27" s="189">
        <v>78.778656799999993</v>
      </c>
      <c r="L27" s="134" t="s">
        <v>561</v>
      </c>
      <c r="M27" s="11" t="s">
        <v>31</v>
      </c>
      <c r="N27" s="185">
        <f t="shared" si="18"/>
        <v>0.83394509192620259</v>
      </c>
      <c r="O27" s="185">
        <f t="shared" si="15"/>
        <v>9.5859183214044019E-2</v>
      </c>
      <c r="P27" s="185">
        <f t="shared" si="15"/>
        <v>0</v>
      </c>
      <c r="Q27" s="185">
        <f t="shared" si="15"/>
        <v>3.053816601770475E-6</v>
      </c>
      <c r="R27" s="185">
        <f t="shared" si="15"/>
        <v>8.8390746275188181E-4</v>
      </c>
      <c r="S27" s="185">
        <f t="shared" si="15"/>
        <v>6.9308763580399835E-2</v>
      </c>
      <c r="T27" s="207"/>
      <c r="AS27" s="139" t="s">
        <v>509</v>
      </c>
    </row>
    <row r="28" spans="2:45" x14ac:dyDescent="0.25">
      <c r="B28" s="134" t="s">
        <v>498</v>
      </c>
      <c r="C28" s="11" t="s">
        <v>514</v>
      </c>
      <c r="D28" s="15">
        <f t="shared" si="16"/>
        <v>7.0783639000125562E-6</v>
      </c>
      <c r="E28" s="189">
        <f t="shared" si="17"/>
        <v>5.4956119999999999E-6</v>
      </c>
      <c r="F28" s="189">
        <v>1.3468E-6</v>
      </c>
      <c r="G28" s="189">
        <v>0</v>
      </c>
      <c r="H28" s="189">
        <v>1.2556E-17</v>
      </c>
      <c r="I28" s="189">
        <v>2.2918999999999999E-9</v>
      </c>
      <c r="J28" s="189">
        <v>2.3365999999999999E-7</v>
      </c>
      <c r="L28" s="134" t="s">
        <v>498</v>
      </c>
      <c r="M28" s="11" t="s">
        <v>31</v>
      </c>
      <c r="N28" s="185">
        <f t="shared" si="18"/>
        <v>0.77639579959858396</v>
      </c>
      <c r="O28" s="185">
        <f t="shared" si="15"/>
        <v>0.19026995772251987</v>
      </c>
      <c r="P28" s="185">
        <f t="shared" si="15"/>
        <v>0</v>
      </c>
      <c r="Q28" s="185">
        <f t="shared" si="15"/>
        <v>1.7738562438104839E-12</v>
      </c>
      <c r="R28" s="185">
        <f t="shared" si="15"/>
        <v>3.2378951299691367E-4</v>
      </c>
      <c r="S28" s="185">
        <f t="shared" si="15"/>
        <v>3.3010453164125327E-2</v>
      </c>
      <c r="T28" s="207"/>
      <c r="AS28" s="139" t="s">
        <v>511</v>
      </c>
    </row>
    <row r="29" spans="2:45" ht="18" x14ac:dyDescent="0.25">
      <c r="B29" s="134" t="s">
        <v>499</v>
      </c>
      <c r="C29" s="11" t="s">
        <v>565</v>
      </c>
      <c r="D29" s="15">
        <f t="shared" si="16"/>
        <v>1.8208129355999997E-2</v>
      </c>
      <c r="E29" s="189">
        <f t="shared" si="17"/>
        <v>1.2538709999999998E-2</v>
      </c>
      <c r="F29" s="189">
        <v>3.17205E-3</v>
      </c>
      <c r="G29" s="189">
        <v>1.9904999999999999E-4</v>
      </c>
      <c r="H29" s="189">
        <v>8.9355999999999996E-8</v>
      </c>
      <c r="I29" s="189">
        <v>2.09683E-3</v>
      </c>
      <c r="J29" s="189">
        <v>2.0139999999999999E-4</v>
      </c>
      <c r="L29" s="134" t="s">
        <v>499</v>
      </c>
      <c r="M29" s="11" t="s">
        <v>31</v>
      </c>
      <c r="N29" s="185">
        <f t="shared" si="18"/>
        <v>0.68863251984027696</v>
      </c>
      <c r="O29" s="185">
        <f t="shared" si="15"/>
        <v>0.17421064723239879</v>
      </c>
      <c r="P29" s="185">
        <f t="shared" si="15"/>
        <v>1.0931930244355851E-2</v>
      </c>
      <c r="Q29" s="185">
        <f t="shared" si="15"/>
        <v>4.9074783165770485E-6</v>
      </c>
      <c r="R29" s="185">
        <f t="shared" si="15"/>
        <v>0.11515900172957891</v>
      </c>
      <c r="S29" s="185">
        <f t="shared" si="15"/>
        <v>1.1060993475072939E-2</v>
      </c>
      <c r="T29" s="207"/>
    </row>
    <row r="30" spans="2:45" x14ac:dyDescent="0.25">
      <c r="B30" s="134" t="s">
        <v>500</v>
      </c>
      <c r="C30" s="11" t="s">
        <v>515</v>
      </c>
      <c r="D30" s="15">
        <f t="shared" si="16"/>
        <v>6013.9056529585214</v>
      </c>
      <c r="E30" s="189">
        <f t="shared" si="17"/>
        <v>4707.9197111000012</v>
      </c>
      <c r="F30" s="189">
        <v>1213.7295899999999</v>
      </c>
      <c r="G30" s="189">
        <v>3.6852000000000002E-7</v>
      </c>
      <c r="H30" s="189">
        <v>0.16112594</v>
      </c>
      <c r="I30" s="189">
        <v>0.57671265000000005</v>
      </c>
      <c r="J30" s="189">
        <v>91.518512900000005</v>
      </c>
      <c r="L30" s="134" t="s">
        <v>500</v>
      </c>
      <c r="M30" s="11" t="s">
        <v>31</v>
      </c>
      <c r="N30" s="185">
        <f t="shared" si="18"/>
        <v>0.78283897067523089</v>
      </c>
      <c r="O30" s="185">
        <f t="shared" si="15"/>
        <v>0.20182052397228906</v>
      </c>
      <c r="P30" s="185">
        <f t="shared" si="15"/>
        <v>6.1277981608957867E-11</v>
      </c>
      <c r="Q30" s="185">
        <f t="shared" si="15"/>
        <v>2.6792229425936308E-5</v>
      </c>
      <c r="R30" s="185">
        <f t="shared" si="15"/>
        <v>9.5896524368700091E-5</v>
      </c>
      <c r="S30" s="185">
        <f t="shared" si="15"/>
        <v>1.5217816537407395E-2</v>
      </c>
      <c r="T30" s="207"/>
    </row>
    <row r="31" spans="2:45" x14ac:dyDescent="0.25">
      <c r="B31" s="134" t="s">
        <v>562</v>
      </c>
      <c r="C31" s="11" t="s">
        <v>516</v>
      </c>
      <c r="D31" s="15">
        <f t="shared" si="16"/>
        <v>1444.1608753599</v>
      </c>
      <c r="E31" s="189">
        <f t="shared" si="17"/>
        <v>1032.3678919000001</v>
      </c>
      <c r="F31" s="189">
        <v>389.18070999999998</v>
      </c>
      <c r="G31" s="189">
        <v>1.4599E-6</v>
      </c>
      <c r="H31" s="189">
        <v>3.4010000000000001E-5</v>
      </c>
      <c r="I31" s="189">
        <v>0.73776668999999995</v>
      </c>
      <c r="J31" s="189">
        <v>21.8744713</v>
      </c>
      <c r="L31" s="134" t="s">
        <v>562</v>
      </c>
      <c r="M31" s="11" t="s">
        <v>31</v>
      </c>
      <c r="N31" s="185">
        <f t="shared" si="18"/>
        <v>0.71485657139321357</v>
      </c>
      <c r="O31" s="185">
        <f t="shared" si="15"/>
        <v>0.26948570387146936</v>
      </c>
      <c r="P31" s="185">
        <f t="shared" si="15"/>
        <v>1.0108984566114752E-9</v>
      </c>
      <c r="Q31" s="185">
        <f t="shared" si="15"/>
        <v>2.3550007883660711E-8</v>
      </c>
      <c r="R31" s="185">
        <f t="shared" si="15"/>
        <v>5.1086184551021071E-4</v>
      </c>
      <c r="S31" s="185">
        <f t="shared" si="15"/>
        <v>1.5146838328900616E-2</v>
      </c>
      <c r="T31" s="207"/>
    </row>
    <row r="32" spans="2:45" ht="18.75" thickBot="1" x14ac:dyDescent="0.3">
      <c r="B32" s="134" t="s">
        <v>501</v>
      </c>
      <c r="C32" s="11" t="s">
        <v>566</v>
      </c>
      <c r="D32" s="15">
        <f t="shared" si="16"/>
        <v>0.99916876926999998</v>
      </c>
      <c r="E32" s="189">
        <f t="shared" si="17"/>
        <v>0.61298538000000002</v>
      </c>
      <c r="F32" s="189">
        <v>0.32369068000000001</v>
      </c>
      <c r="G32" s="189">
        <v>5.5734000000000003E-4</v>
      </c>
      <c r="H32" s="189">
        <v>2.1927E-7</v>
      </c>
      <c r="I32" s="189">
        <v>2.7543620000000001E-2</v>
      </c>
      <c r="J32" s="189">
        <v>3.4391529999999997E-2</v>
      </c>
      <c r="L32" s="134" t="s">
        <v>501</v>
      </c>
      <c r="M32" s="11" t="s">
        <v>31</v>
      </c>
      <c r="N32" s="185">
        <f t="shared" si="18"/>
        <v>0.61349533617614138</v>
      </c>
      <c r="O32" s="185">
        <f t="shared" si="15"/>
        <v>0.32395996547859557</v>
      </c>
      <c r="P32" s="185">
        <f t="shared" si="15"/>
        <v>5.5780366354644647E-4</v>
      </c>
      <c r="Q32" s="185">
        <f t="shared" si="15"/>
        <v>2.1945241559161249E-7</v>
      </c>
      <c r="R32" s="185">
        <f t="shared" si="15"/>
        <v>2.7566534150305331E-2</v>
      </c>
      <c r="S32" s="185">
        <f t="shared" si="15"/>
        <v>3.4420141078995797E-2</v>
      </c>
      <c r="T32" s="207"/>
    </row>
    <row r="33" spans="2:43" ht="18" thickBot="1" x14ac:dyDescent="0.3">
      <c r="B33" s="134" t="s">
        <v>502</v>
      </c>
      <c r="C33" s="11" t="s">
        <v>563</v>
      </c>
      <c r="D33" s="15">
        <f t="shared" si="16"/>
        <v>2.67256216</v>
      </c>
      <c r="E33" s="189">
        <f t="shared" si="17"/>
        <v>0.66966373000000001</v>
      </c>
      <c r="F33" s="189">
        <v>1.9778363699999999</v>
      </c>
      <c r="G33" s="189">
        <v>0</v>
      </c>
      <c r="H33" s="189">
        <v>0</v>
      </c>
      <c r="I33" s="189">
        <v>1.0606299999999999E-3</v>
      </c>
      <c r="J33" s="189">
        <v>2.4001430000000001E-2</v>
      </c>
      <c r="L33" s="134" t="s">
        <v>502</v>
      </c>
      <c r="M33" s="11" t="s">
        <v>31</v>
      </c>
      <c r="N33" s="185">
        <f t="shared" si="18"/>
        <v>0.25056993622928492</v>
      </c>
      <c r="O33" s="185">
        <f t="shared" si="15"/>
        <v>0.74005252323111537</v>
      </c>
      <c r="P33" s="185">
        <f t="shared" si="15"/>
        <v>0</v>
      </c>
      <c r="Q33" s="185">
        <f t="shared" si="15"/>
        <v>0</v>
      </c>
      <c r="R33" s="185">
        <f t="shared" si="15"/>
        <v>3.968588704406411E-4</v>
      </c>
      <c r="S33" s="185">
        <f t="shared" si="15"/>
        <v>8.9806816691590068E-3</v>
      </c>
      <c r="T33" s="207"/>
      <c r="AF33" s="314" t="s">
        <v>658</v>
      </c>
      <c r="AG33" s="315"/>
      <c r="AH33" s="315"/>
      <c r="AI33" s="315"/>
      <c r="AJ33" s="316"/>
      <c r="AN33" s="314" t="s">
        <v>659</v>
      </c>
      <c r="AO33" s="315"/>
      <c r="AP33" s="315"/>
      <c r="AQ33" s="316"/>
    </row>
    <row r="34" spans="2:43" ht="18" x14ac:dyDescent="0.25">
      <c r="B34" s="134" t="s">
        <v>503</v>
      </c>
      <c r="C34" s="11" t="s">
        <v>566</v>
      </c>
      <c r="D34" s="15">
        <f t="shared" si="16"/>
        <v>215.3184213024</v>
      </c>
      <c r="E34" s="189">
        <f t="shared" si="17"/>
        <v>215.17723783</v>
      </c>
      <c r="F34" s="189">
        <v>0.12098804000000001</v>
      </c>
      <c r="G34" s="189">
        <v>5.5734000000000003E-4</v>
      </c>
      <c r="H34" s="189">
        <v>7.8240000000000002E-7</v>
      </c>
      <c r="I34" s="189">
        <v>7.8460999999999999E-3</v>
      </c>
      <c r="J34" s="189">
        <v>1.179121E-2</v>
      </c>
      <c r="L34" s="134" t="s">
        <v>503</v>
      </c>
      <c r="M34" s="11" t="s">
        <v>31</v>
      </c>
      <c r="N34" s="185">
        <f t="shared" si="18"/>
        <v>0.99934430379181671</v>
      </c>
      <c r="O34" s="185">
        <f t="shared" si="15"/>
        <v>5.6190287513802908E-4</v>
      </c>
      <c r="P34" s="185">
        <f t="shared" si="15"/>
        <v>2.5884455060965458E-6</v>
      </c>
      <c r="Q34" s="185">
        <f t="shared" si="15"/>
        <v>3.633688168747869E-9</v>
      </c>
      <c r="R34" s="185">
        <f t="shared" si="15"/>
        <v>3.6439520374249301E-5</v>
      </c>
      <c r="S34" s="185">
        <f t="shared" si="15"/>
        <v>5.4761733476765801E-5</v>
      </c>
      <c r="T34" s="207"/>
    </row>
    <row r="35" spans="2:43" ht="30" x14ac:dyDescent="0.25">
      <c r="B35" s="134" t="s">
        <v>504</v>
      </c>
      <c r="C35" s="11" t="s">
        <v>567</v>
      </c>
      <c r="D35" s="15">
        <f t="shared" si="16"/>
        <v>3.0326782799999997E-2</v>
      </c>
      <c r="E35" s="189">
        <f t="shared" si="17"/>
        <v>5.9500889999999996E-3</v>
      </c>
      <c r="F35" s="189">
        <v>2.1524990000000001E-2</v>
      </c>
      <c r="G35" s="189">
        <v>2.6274599999999999E-3</v>
      </c>
      <c r="H35" s="189">
        <v>0</v>
      </c>
      <c r="I35" s="189">
        <v>1.8137999999999999E-6</v>
      </c>
      <c r="J35" s="189">
        <v>2.2243E-4</v>
      </c>
      <c r="L35" s="134" t="s">
        <v>504</v>
      </c>
      <c r="M35" s="11" t="s">
        <v>31</v>
      </c>
      <c r="N35" s="185">
        <f t="shared" si="18"/>
        <v>0.19619914974957384</v>
      </c>
      <c r="O35" s="185">
        <f t="shared" si="15"/>
        <v>0.70976833058599287</v>
      </c>
      <c r="P35" s="185">
        <f t="shared" si="15"/>
        <v>8.6638270116802502E-2</v>
      </c>
      <c r="Q35" s="185">
        <f t="shared" si="15"/>
        <v>0</v>
      </c>
      <c r="R35" s="185">
        <f t="shared" si="15"/>
        <v>5.9808520144114995E-5</v>
      </c>
      <c r="S35" s="185">
        <f t="shared" si="15"/>
        <v>7.3344410274867669E-3</v>
      </c>
      <c r="T35" s="207"/>
      <c r="AF35" s="167" t="s">
        <v>646</v>
      </c>
      <c r="AG35" s="167" t="s">
        <v>492</v>
      </c>
      <c r="AH35" s="167" t="s">
        <v>494</v>
      </c>
      <c r="AI35" s="167" t="s">
        <v>493</v>
      </c>
      <c r="AJ35" s="167" t="s">
        <v>597</v>
      </c>
      <c r="AN35" s="167" t="s">
        <v>492</v>
      </c>
      <c r="AO35" s="167" t="s">
        <v>494</v>
      </c>
      <c r="AP35" s="167" t="s">
        <v>493</v>
      </c>
      <c r="AQ35" s="167" t="s">
        <v>597</v>
      </c>
    </row>
    <row r="36" spans="2:43" ht="18" x14ac:dyDescent="0.25">
      <c r="B36" s="176" t="s">
        <v>505</v>
      </c>
      <c r="C36" s="165" t="s">
        <v>578</v>
      </c>
      <c r="D36" s="195">
        <f t="shared" si="16"/>
        <v>64.384374665482099</v>
      </c>
      <c r="E36" s="196">
        <f>D55</f>
        <v>41.48683561</v>
      </c>
      <c r="F36" s="196">
        <v>13.9315973</v>
      </c>
      <c r="G36" s="196">
        <v>0.47771999999999998</v>
      </c>
      <c r="H36" s="196">
        <v>5.4821000000000003E-9</v>
      </c>
      <c r="I36" s="196">
        <v>6.7667284800000003</v>
      </c>
      <c r="J36" s="196">
        <v>1.7214932700000001</v>
      </c>
      <c r="L36" s="197" t="s">
        <v>505</v>
      </c>
      <c r="M36" s="198" t="s">
        <v>31</v>
      </c>
      <c r="N36" s="199">
        <f t="shared" si="18"/>
        <v>0.64436186303820731</v>
      </c>
      <c r="O36" s="199">
        <f t="shared" si="15"/>
        <v>0.21638165117520416</v>
      </c>
      <c r="P36" s="199">
        <f t="shared" si="15"/>
        <v>7.4198126871940617E-3</v>
      </c>
      <c r="Q36" s="199">
        <f t="shared" si="15"/>
        <v>8.5146435427586385E-11</v>
      </c>
      <c r="R36" s="199">
        <f t="shared" si="15"/>
        <v>0.10509892369317046</v>
      </c>
      <c r="S36" s="199">
        <f t="shared" si="15"/>
        <v>2.6737749321077604E-2</v>
      </c>
      <c r="T36" s="207"/>
      <c r="AE36" s="318" t="str">
        <f>$B$24</f>
        <v>Carcinogens</v>
      </c>
      <c r="AF36" s="15">
        <f>D5</f>
        <v>4.3920000590999999</v>
      </c>
      <c r="AG36" s="15">
        <f>AN36*Calculations!$C$47</f>
        <v>3.8873601101810817</v>
      </c>
      <c r="AH36" s="15">
        <f>AO36*Calculations!$C$47</f>
        <v>3.0404698744522212</v>
      </c>
      <c r="AI36" s="15">
        <f>AP36*Calculations!$C$47</f>
        <v>2.9962695495554441</v>
      </c>
      <c r="AJ36" s="15">
        <f>AQ36*Calculations!$C$47</f>
        <v>3.0395229113299078</v>
      </c>
      <c r="AM36" s="318" t="str">
        <f>$B$24</f>
        <v>Carcinogens</v>
      </c>
      <c r="AN36" s="15">
        <f>D24</f>
        <v>1.2805388976580001</v>
      </c>
      <c r="AO36" s="15">
        <f>D43</f>
        <v>1.0015640000000001</v>
      </c>
      <c r="AP36" s="15">
        <f>D62</f>
        <v>0.98700393000000008</v>
      </c>
      <c r="AQ36" s="15">
        <f>D81</f>
        <v>1.0012520600000001</v>
      </c>
    </row>
    <row r="37" spans="2:43" x14ac:dyDescent="0.25">
      <c r="B37" s="134" t="s">
        <v>506</v>
      </c>
      <c r="C37" s="11" t="s">
        <v>517</v>
      </c>
      <c r="D37" s="15">
        <f t="shared" si="16"/>
        <v>1125.9467503599999</v>
      </c>
      <c r="E37" s="189">
        <f t="shared" si="17"/>
        <v>810.51996207000002</v>
      </c>
      <c r="F37" s="189">
        <v>160.09291899999999</v>
      </c>
      <c r="G37" s="189">
        <v>5.5734000000000004</v>
      </c>
      <c r="H37" s="189">
        <v>0.46913758999999999</v>
      </c>
      <c r="I37" s="189">
        <v>114.23347699999999</v>
      </c>
      <c r="J37" s="189">
        <v>35.0578547</v>
      </c>
      <c r="L37" s="134" t="s">
        <v>506</v>
      </c>
      <c r="M37" s="11" t="s">
        <v>31</v>
      </c>
      <c r="N37" s="185">
        <f t="shared" si="18"/>
        <v>0.71985638913283578</v>
      </c>
      <c r="O37" s="185">
        <f t="shared" si="15"/>
        <v>0.14218516013196303</v>
      </c>
      <c r="P37" s="185">
        <f t="shared" si="15"/>
        <v>4.9499676589661208E-3</v>
      </c>
      <c r="Q37" s="185">
        <f t="shared" si="15"/>
        <v>4.1666054797884737E-4</v>
      </c>
      <c r="R37" s="185">
        <f t="shared" si="15"/>
        <v>0.10145548798242549</v>
      </c>
      <c r="S37" s="185">
        <f t="shared" si="15"/>
        <v>3.1136334545830806E-2</v>
      </c>
      <c r="T37" s="207"/>
      <c r="AE37" s="318"/>
      <c r="AF37" s="15">
        <f>AF36-AG36</f>
        <v>0.50463994891891817</v>
      </c>
      <c r="AG37" s="15">
        <f>AG36-AH36</f>
        <v>0.84689023572886057</v>
      </c>
      <c r="AH37" s="15">
        <f t="shared" ref="AH37:AJ37" si="19">AH36-AI36</f>
        <v>4.4200324896777055E-2</v>
      </c>
      <c r="AI37" s="15">
        <f t="shared" si="19"/>
        <v>-4.3253361774463706E-2</v>
      </c>
      <c r="AJ37" s="15">
        <f t="shared" si="19"/>
        <v>3.0395229113299078</v>
      </c>
      <c r="AM37" s="318"/>
      <c r="AN37" s="15">
        <f>AN36-AO36</f>
        <v>0.27897489765799999</v>
      </c>
      <c r="AO37" s="15">
        <f t="shared" ref="AO37:AQ37" si="20">AO36-AP36</f>
        <v>1.4560070000000036E-2</v>
      </c>
      <c r="AP37" s="15">
        <f t="shared" si="20"/>
        <v>-1.4248130000000025E-2</v>
      </c>
      <c r="AQ37" s="15">
        <f t="shared" si="20"/>
        <v>1.0012520600000001</v>
      </c>
    </row>
    <row r="38" spans="2:43" ht="30" x14ac:dyDescent="0.25">
      <c r="B38" s="134" t="s">
        <v>507</v>
      </c>
      <c r="C38" s="11" t="s">
        <v>518</v>
      </c>
      <c r="D38" s="15">
        <f t="shared" si="16"/>
        <v>2.5735855299999999</v>
      </c>
      <c r="E38" s="189">
        <f t="shared" si="17"/>
        <v>0.92538835999999991</v>
      </c>
      <c r="F38" s="189">
        <v>1.6004039400000001</v>
      </c>
      <c r="G38" s="189">
        <v>0</v>
      </c>
      <c r="H38" s="189">
        <v>2.7814640000000002E-2</v>
      </c>
      <c r="I38" s="189">
        <v>4.2045E-4</v>
      </c>
      <c r="J38" s="189">
        <v>1.9558140000000002E-2</v>
      </c>
      <c r="L38" s="134" t="s">
        <v>507</v>
      </c>
      <c r="M38" s="11" t="s">
        <v>31</v>
      </c>
      <c r="N38" s="185">
        <f t="shared" si="18"/>
        <v>0.35957163623001875</v>
      </c>
      <c r="O38" s="185">
        <f t="shared" si="15"/>
        <v>0.62185768506399708</v>
      </c>
      <c r="P38" s="185">
        <f t="shared" si="15"/>
        <v>0</v>
      </c>
      <c r="Q38" s="185">
        <f t="shared" si="15"/>
        <v>1.0807738727066904E-2</v>
      </c>
      <c r="R38" s="185">
        <f t="shared" si="15"/>
        <v>1.6337129467774091E-4</v>
      </c>
      <c r="S38" s="185">
        <f t="shared" si="15"/>
        <v>7.5995686842395332E-3</v>
      </c>
      <c r="T38" s="207"/>
      <c r="AE38" s="134" t="s">
        <v>598</v>
      </c>
      <c r="AF38" s="193">
        <f>AF37/$AF36</f>
        <v>0.11489980467402999</v>
      </c>
      <c r="AG38" s="193">
        <f t="shared" ref="AG38:AJ38" si="21">AG37/$AF36</f>
        <v>0.19282564306303851</v>
      </c>
      <c r="AH38" s="193">
        <f t="shared" si="21"/>
        <v>1.0063826116121341E-2</v>
      </c>
      <c r="AI38" s="193">
        <f t="shared" si="21"/>
        <v>-9.8482152077491326E-3</v>
      </c>
      <c r="AJ38" s="193">
        <f t="shared" si="21"/>
        <v>0.69205894135455925</v>
      </c>
      <c r="AM38" s="186" t="s">
        <v>598</v>
      </c>
      <c r="AN38" s="193">
        <f>AN37/$AN$36</f>
        <v>0.21785741781700035</v>
      </c>
      <c r="AO38" s="193">
        <f t="shared" ref="AO38:AQ38" si="22">AO37/$AN$36</f>
        <v>1.1370267647963839E-2</v>
      </c>
      <c r="AP38" s="193">
        <f t="shared" si="22"/>
        <v>-1.1126667082162579E-2</v>
      </c>
      <c r="AQ38" s="193">
        <f t="shared" si="22"/>
        <v>0.7818989816171984</v>
      </c>
    </row>
    <row r="39" spans="2:43" x14ac:dyDescent="0.25">
      <c r="AE39" s="318" t="str">
        <f>$B$25</f>
        <v>Non-carcinogens</v>
      </c>
      <c r="AF39" s="15">
        <f>D6</f>
        <v>6.1200012600000004</v>
      </c>
      <c r="AG39" s="15">
        <f>AN39*Calculations!$C$47</f>
        <v>4.9923883002772502</v>
      </c>
      <c r="AH39" s="15">
        <f>AO39*Calculations!$C$47</f>
        <v>1.5327064117969016</v>
      </c>
      <c r="AI39" s="15">
        <f>AP39*Calculations!$C$47</f>
        <v>1.5160258783086307</v>
      </c>
      <c r="AJ39" s="15">
        <f>AQ39*Calculations!$C$47</f>
        <v>1.5344090268407582</v>
      </c>
      <c r="AM39" s="318" t="str">
        <f>$B$25</f>
        <v>Non-carcinogens</v>
      </c>
      <c r="AN39" s="15">
        <f>D25</f>
        <v>1.64454725817</v>
      </c>
      <c r="AO39" s="15">
        <f>D44</f>
        <v>0.50489024000000005</v>
      </c>
      <c r="AP39" s="15">
        <f>D63</f>
        <v>0.49939549</v>
      </c>
      <c r="AQ39" s="15">
        <f>D82</f>
        <v>0.50545110000000004</v>
      </c>
    </row>
    <row r="40" spans="2:43" x14ac:dyDescent="0.25">
      <c r="B40" s="320" t="s">
        <v>680</v>
      </c>
      <c r="C40" s="321"/>
      <c r="D40" s="321"/>
      <c r="E40" s="321"/>
      <c r="F40" s="321"/>
      <c r="G40" s="321"/>
      <c r="H40" s="321"/>
      <c r="I40" s="321"/>
      <c r="J40" s="321"/>
      <c r="K40" s="322"/>
      <c r="AE40" s="318"/>
      <c r="AF40" s="15">
        <f>AF39-AG39</f>
        <v>1.1276129597227502</v>
      </c>
      <c r="AG40" s="15">
        <f>AG39-AH39</f>
        <v>3.4596818884803486</v>
      </c>
      <c r="AH40" s="15">
        <f t="shared" ref="AH40:AJ40" si="23">AH39-AI39</f>
        <v>1.6680533488270921E-2</v>
      </c>
      <c r="AI40" s="15">
        <f t="shared" si="23"/>
        <v>-1.8383148532127525E-2</v>
      </c>
      <c r="AJ40" s="15">
        <f t="shared" si="23"/>
        <v>1.5344090268407582</v>
      </c>
      <c r="AM40" s="318"/>
      <c r="AN40" s="15">
        <f>AN39-AO39</f>
        <v>1.1396570181699999</v>
      </c>
      <c r="AO40" s="15">
        <f t="shared" ref="AO40:AQ40" si="24">AO39-AP39</f>
        <v>5.4947500000000482E-3</v>
      </c>
      <c r="AP40" s="15">
        <f t="shared" si="24"/>
        <v>-6.0556100000000446E-3</v>
      </c>
      <c r="AQ40" s="15">
        <f t="shared" si="24"/>
        <v>0.50545110000000004</v>
      </c>
    </row>
    <row r="41" spans="2:43" ht="30" x14ac:dyDescent="0.25">
      <c r="AE41" s="134" t="s">
        <v>598</v>
      </c>
      <c r="AF41" s="193">
        <f>AF40/$AF39</f>
        <v>0.18425044568091317</v>
      </c>
      <c r="AG41" s="193">
        <f t="shared" ref="AG41:AJ41" si="25">AG40/$AF39</f>
        <v>0.56530738173089012</v>
      </c>
      <c r="AH41" s="193">
        <f t="shared" si="25"/>
        <v>2.7255768062163636E-3</v>
      </c>
      <c r="AI41" s="193">
        <f t="shared" si="25"/>
        <v>-3.0037818214644491E-3</v>
      </c>
      <c r="AJ41" s="193">
        <f t="shared" si="25"/>
        <v>0.25072037760344484</v>
      </c>
      <c r="AM41" s="186" t="s">
        <v>598</v>
      </c>
      <c r="AN41" s="193">
        <f>AN40/$AN$39</f>
        <v>0.69299134610347046</v>
      </c>
      <c r="AO41" s="193">
        <f t="shared" ref="AO41:AQ41" si="26">AO40/$AN$39</f>
        <v>3.3411931294175345E-3</v>
      </c>
      <c r="AP41" s="193">
        <f t="shared" si="26"/>
        <v>-3.6822353203388846E-3</v>
      </c>
      <c r="AQ41" s="193">
        <f t="shared" si="26"/>
        <v>0.30734969608745083</v>
      </c>
    </row>
    <row r="42" spans="2:43" ht="30.95" customHeight="1" x14ac:dyDescent="0.25">
      <c r="B42" s="167" t="s">
        <v>569</v>
      </c>
      <c r="C42" s="167" t="s">
        <v>365</v>
      </c>
      <c r="D42" s="167" t="s">
        <v>223</v>
      </c>
      <c r="E42" s="167" t="s">
        <v>493</v>
      </c>
      <c r="F42" s="167" t="s">
        <v>572</v>
      </c>
      <c r="H42" s="133" t="s">
        <v>569</v>
      </c>
      <c r="I42" s="133" t="s">
        <v>365</v>
      </c>
      <c r="J42" s="167" t="s">
        <v>493</v>
      </c>
      <c r="K42" s="167" t="s">
        <v>572</v>
      </c>
      <c r="AE42" s="318" t="str">
        <f>$B$26</f>
        <v>Respiratory inorganics</v>
      </c>
      <c r="AF42" s="15">
        <f>D7</f>
        <v>0.23170001699999998</v>
      </c>
      <c r="AG42" s="15">
        <f>AN42*Calculations!$C$47</f>
        <v>0.19162982433246881</v>
      </c>
      <c r="AH42" s="15">
        <f>AO42*Calculations!$C$47</f>
        <v>0.11649136943958502</v>
      </c>
      <c r="AI42" s="15">
        <f>AP42*Calculations!$C$47</f>
        <v>0.11276125638287129</v>
      </c>
      <c r="AJ42" s="15">
        <f>AQ42*Calculations!$C$47</f>
        <v>0.11953914326118185</v>
      </c>
      <c r="AM42" s="318" t="str">
        <f>$B$26</f>
        <v>Respiratory inorganics</v>
      </c>
      <c r="AN42" s="15">
        <f>D26</f>
        <v>6.3124958083100008E-2</v>
      </c>
      <c r="AO42" s="15">
        <f>D45</f>
        <v>3.8373529999999996E-2</v>
      </c>
      <c r="AP42" s="15">
        <f>D64</f>
        <v>3.7144789999999997E-2</v>
      </c>
      <c r="AQ42" s="15">
        <f>D83</f>
        <v>3.9377500000000003E-2</v>
      </c>
    </row>
    <row r="43" spans="2:43" ht="18" x14ac:dyDescent="0.25">
      <c r="B43" s="134" t="s">
        <v>495</v>
      </c>
      <c r="C43" s="11" t="s">
        <v>564</v>
      </c>
      <c r="D43" s="15">
        <f>SUM(E43:F43)</f>
        <v>1.0015640000000001</v>
      </c>
      <c r="E43" s="189">
        <f>D62</f>
        <v>0.98700393000000008</v>
      </c>
      <c r="F43" s="189">
        <v>1.456007E-2</v>
      </c>
      <c r="H43" s="134" t="s">
        <v>495</v>
      </c>
      <c r="I43" s="11" t="s">
        <v>31</v>
      </c>
      <c r="J43" s="185">
        <f>E43/$D43</f>
        <v>0.98546266638976632</v>
      </c>
      <c r="K43" s="185">
        <f>F43/$D43</f>
        <v>1.4537333610233592E-2</v>
      </c>
      <c r="AE43" s="318"/>
      <c r="AF43" s="15">
        <f>AF42-AG42</f>
        <v>4.0070192667531174E-2</v>
      </c>
      <c r="AG43" s="15">
        <f>AG42-AH42</f>
        <v>7.5138454892883788E-2</v>
      </c>
      <c r="AH43" s="15">
        <f t="shared" ref="AH43:AJ43" si="27">AH42-AI42</f>
        <v>3.7301130567137242E-3</v>
      </c>
      <c r="AI43" s="15">
        <f t="shared" si="27"/>
        <v>-6.77788687831056E-3</v>
      </c>
      <c r="AJ43" s="15">
        <f t="shared" si="27"/>
        <v>0.11953914326118185</v>
      </c>
      <c r="AM43" s="318"/>
      <c r="AN43" s="15">
        <f>AN42-AO42</f>
        <v>2.4751428083100012E-2</v>
      </c>
      <c r="AO43" s="15">
        <f t="shared" ref="AO43:AQ43" si="28">AO42-AP42</f>
        <v>1.228739999999999E-3</v>
      </c>
      <c r="AP43" s="15">
        <f t="shared" si="28"/>
        <v>-2.2327100000000058E-3</v>
      </c>
      <c r="AQ43" s="15">
        <f t="shared" si="28"/>
        <v>3.9377500000000003E-2</v>
      </c>
    </row>
    <row r="44" spans="2:43" ht="30" x14ac:dyDescent="0.25">
      <c r="B44" s="134" t="s">
        <v>496</v>
      </c>
      <c r="C44" s="11" t="s">
        <v>564</v>
      </c>
      <c r="D44" s="15">
        <f t="shared" ref="D44:D57" si="29">SUM(E44:F44)</f>
        <v>0.50489024000000005</v>
      </c>
      <c r="E44" s="189">
        <f t="shared" ref="E44:E57" si="30">D63</f>
        <v>0.49939549</v>
      </c>
      <c r="F44" s="189">
        <v>5.4947499999999996E-3</v>
      </c>
      <c r="H44" s="134" t="s">
        <v>496</v>
      </c>
      <c r="I44" s="11" t="s">
        <v>31</v>
      </c>
      <c r="J44" s="185">
        <f t="shared" ref="J44:K57" si="31">E44/$D44</f>
        <v>0.98911694153564933</v>
      </c>
      <c r="K44" s="185">
        <f t="shared" si="31"/>
        <v>1.0883058464350587E-2</v>
      </c>
      <c r="AE44" s="134" t="s">
        <v>598</v>
      </c>
      <c r="AF44" s="193">
        <f>AF43/$AF42</f>
        <v>0.17293996429672759</v>
      </c>
      <c r="AG44" s="193">
        <f t="shared" ref="AG44:AJ44" si="32">AG43/$AF42</f>
        <v>0.3242919697018572</v>
      </c>
      <c r="AH44" s="193">
        <f t="shared" si="32"/>
        <v>1.6098889870662911E-2</v>
      </c>
      <c r="AI44" s="193">
        <f t="shared" si="32"/>
        <v>-2.9252854471351033E-2</v>
      </c>
      <c r="AJ44" s="193">
        <f t="shared" si="32"/>
        <v>0.51592203060210329</v>
      </c>
      <c r="AM44" s="186" t="s">
        <v>598</v>
      </c>
      <c r="AN44" s="193">
        <f>AN43/$AN$42</f>
        <v>0.39210209138699664</v>
      </c>
      <c r="AO44" s="193">
        <f t="shared" ref="AO44:AQ44" si="33">AO43/$AN$42</f>
        <v>1.9465201044291239E-2</v>
      </c>
      <c r="AP44" s="193">
        <f t="shared" si="33"/>
        <v>-3.5369686852873387E-2</v>
      </c>
      <c r="AQ44" s="193">
        <f t="shared" si="33"/>
        <v>0.62380239442158547</v>
      </c>
    </row>
    <row r="45" spans="2:43" x14ac:dyDescent="0.25">
      <c r="B45" s="134" t="s">
        <v>497</v>
      </c>
      <c r="C45" s="11" t="s">
        <v>512</v>
      </c>
      <c r="D45" s="15">
        <f t="shared" si="29"/>
        <v>3.8373529999999996E-2</v>
      </c>
      <c r="E45" s="189">
        <f t="shared" si="30"/>
        <v>3.7144789999999997E-2</v>
      </c>
      <c r="F45" s="189">
        <v>1.2287400000000001E-3</v>
      </c>
      <c r="H45" s="134" t="s">
        <v>497</v>
      </c>
      <c r="I45" s="11" t="s">
        <v>31</v>
      </c>
      <c r="J45" s="185">
        <f t="shared" si="31"/>
        <v>0.96797949002867345</v>
      </c>
      <c r="K45" s="185">
        <f t="shared" si="31"/>
        <v>3.2020509971326591E-2</v>
      </c>
      <c r="AE45" s="318" t="str">
        <f>$B$27</f>
        <v>Ionizing radiation</v>
      </c>
      <c r="AF45" s="15">
        <f>D8</f>
        <v>3981.0115999999998</v>
      </c>
      <c r="AG45" s="15">
        <f>AN45*Calculations!$C$47</f>
        <v>3450.5030769056675</v>
      </c>
      <c r="AH45" s="15">
        <f>AO45*Calculations!$C$47</f>
        <v>2877.5301056617423</v>
      </c>
      <c r="AI45" s="15">
        <f>AP45*Calculations!$C$47</f>
        <v>2744.321666908837</v>
      </c>
      <c r="AJ45" s="15">
        <f>AQ45*Calculations!$C$47</f>
        <v>2661.4263190075435</v>
      </c>
      <c r="AM45" s="318" t="str">
        <f>$B$27</f>
        <v>Ionizing radiation</v>
      </c>
      <c r="AN45" s="15">
        <f>D27</f>
        <v>1136.6334173399998</v>
      </c>
      <c r="AO45" s="15">
        <f>D46</f>
        <v>947.88985971</v>
      </c>
      <c r="AP45" s="15">
        <f>D65</f>
        <v>904.00954440999999</v>
      </c>
      <c r="AQ45" s="15">
        <f>D84</f>
        <v>876.70291100999998</v>
      </c>
    </row>
    <row r="46" spans="2:43" x14ac:dyDescent="0.25">
      <c r="B46" s="134" t="s">
        <v>561</v>
      </c>
      <c r="C46" s="11" t="s">
        <v>513</v>
      </c>
      <c r="D46" s="15">
        <f t="shared" si="29"/>
        <v>947.88985971</v>
      </c>
      <c r="E46" s="189">
        <f t="shared" si="30"/>
        <v>904.00954440999999</v>
      </c>
      <c r="F46" s="189">
        <v>43.880315299999999</v>
      </c>
      <c r="H46" s="134" t="s">
        <v>561</v>
      </c>
      <c r="I46" s="11" t="s">
        <v>31</v>
      </c>
      <c r="J46" s="185">
        <f t="shared" si="31"/>
        <v>0.95370736921542254</v>
      </c>
      <c r="K46" s="185">
        <f t="shared" si="31"/>
        <v>4.6292630784577508E-2</v>
      </c>
      <c r="AE46" s="318"/>
      <c r="AF46" s="15">
        <f>AF45-AG45</f>
        <v>530.5085230943323</v>
      </c>
      <c r="AG46" s="15">
        <f>AG45-AH45</f>
        <v>572.97297124392526</v>
      </c>
      <c r="AH46" s="15">
        <f t="shared" ref="AH46:AJ46" si="34">AH45-AI45</f>
        <v>133.20843875290529</v>
      </c>
      <c r="AI46" s="15">
        <f t="shared" si="34"/>
        <v>82.895347901293462</v>
      </c>
      <c r="AJ46" s="15">
        <f t="shared" si="34"/>
        <v>2661.4263190075435</v>
      </c>
      <c r="AM46" s="318"/>
      <c r="AN46" s="15">
        <f>AN45-AO45</f>
        <v>188.74355762999983</v>
      </c>
      <c r="AO46" s="15">
        <f t="shared" ref="AO46:AQ46" si="35">AO45-AP45</f>
        <v>43.880315300000007</v>
      </c>
      <c r="AP46" s="15">
        <f t="shared" si="35"/>
        <v>27.30663340000001</v>
      </c>
      <c r="AQ46" s="15">
        <f t="shared" si="35"/>
        <v>876.70291100999998</v>
      </c>
    </row>
    <row r="47" spans="2:43" ht="30" x14ac:dyDescent="0.25">
      <c r="B47" s="134" t="s">
        <v>498</v>
      </c>
      <c r="C47" s="11" t="s">
        <v>514</v>
      </c>
      <c r="D47" s="15">
        <f t="shared" si="29"/>
        <v>5.4956119999999999E-6</v>
      </c>
      <c r="E47" s="189">
        <f t="shared" si="30"/>
        <v>5.3654619999999999E-6</v>
      </c>
      <c r="F47" s="189">
        <v>1.3015000000000001E-7</v>
      </c>
      <c r="H47" s="134" t="s">
        <v>498</v>
      </c>
      <c r="I47" s="11" t="s">
        <v>31</v>
      </c>
      <c r="J47" s="185">
        <f t="shared" si="31"/>
        <v>0.97631746928276597</v>
      </c>
      <c r="K47" s="185">
        <f t="shared" si="31"/>
        <v>2.3682530717234043E-2</v>
      </c>
      <c r="AE47" s="134" t="s">
        <v>598</v>
      </c>
      <c r="AF47" s="193">
        <f>AF46/$AF45</f>
        <v>0.13325972802850722</v>
      </c>
      <c r="AG47" s="193">
        <f t="shared" ref="AG47:AJ47" si="36">AG46/$AF45</f>
        <v>0.14392647618608428</v>
      </c>
      <c r="AH47" s="193">
        <f t="shared" si="36"/>
        <v>3.3460952174292909E-2</v>
      </c>
      <c r="AI47" s="193">
        <f t="shared" si="36"/>
        <v>2.0822684340154513E-2</v>
      </c>
      <c r="AJ47" s="193">
        <f t="shared" si="36"/>
        <v>0.66853015927096104</v>
      </c>
      <c r="AM47" s="186" t="s">
        <v>598</v>
      </c>
      <c r="AN47" s="193">
        <f>AN46/$AN45</f>
        <v>0.16605490807379736</v>
      </c>
      <c r="AO47" s="193">
        <f t="shared" ref="AO47:AQ47" si="37">AO46/$AN45</f>
        <v>3.8605512235150255E-2</v>
      </c>
      <c r="AP47" s="193">
        <f t="shared" si="37"/>
        <v>2.4024133888218956E-2</v>
      </c>
      <c r="AQ47" s="193">
        <f t="shared" si="37"/>
        <v>0.7713154458028334</v>
      </c>
    </row>
    <row r="48" spans="2:43" ht="16.5" customHeight="1" x14ac:dyDescent="0.25">
      <c r="B48" s="134" t="s">
        <v>499</v>
      </c>
      <c r="C48" s="11" t="s">
        <v>565</v>
      </c>
      <c r="D48" s="15">
        <f t="shared" si="29"/>
        <v>1.2538709999999998E-2</v>
      </c>
      <c r="E48" s="189">
        <f t="shared" si="30"/>
        <v>1.2426529999999998E-2</v>
      </c>
      <c r="F48" s="189">
        <v>1.1218E-4</v>
      </c>
      <c r="H48" s="134" t="s">
        <v>499</v>
      </c>
      <c r="I48" s="11" t="s">
        <v>31</v>
      </c>
      <c r="J48" s="185">
        <f t="shared" si="31"/>
        <v>0.99105330612160258</v>
      </c>
      <c r="K48" s="185">
        <f t="shared" si="31"/>
        <v>8.9466938783973812E-3</v>
      </c>
      <c r="AE48" s="318" t="str">
        <f>$B$28</f>
        <v>Ozone layer depletion</v>
      </c>
      <c r="AF48" s="15">
        <f>D9</f>
        <v>3.3200000000042E-5</v>
      </c>
      <c r="AG48" s="15">
        <f>AN48*Calculations!$C$47</f>
        <v>2.1487945052336456E-5</v>
      </c>
      <c r="AH48" s="15">
        <f>AO48*Calculations!$C$47</f>
        <v>1.66831502806392E-5</v>
      </c>
      <c r="AI48" s="15">
        <f>AP48*Calculations!$C$47</f>
        <v>1.6288051061657731E-5</v>
      </c>
      <c r="AJ48" s="15">
        <f>AQ48*Calculations!$C$47</f>
        <v>1.6104578095105274E-5</v>
      </c>
      <c r="AM48" s="318" t="str">
        <f>$B$28</f>
        <v>Ozone layer depletion</v>
      </c>
      <c r="AN48" s="15">
        <f>D28</f>
        <v>7.0783639000125562E-6</v>
      </c>
      <c r="AO48" s="15">
        <f>D47</f>
        <v>5.4956119999999999E-6</v>
      </c>
      <c r="AP48" s="15">
        <f>D66</f>
        <v>5.3654619999999999E-6</v>
      </c>
      <c r="AQ48" s="15">
        <f>D85</f>
        <v>5.3050239999999998E-6</v>
      </c>
    </row>
    <row r="49" spans="2:43" x14ac:dyDescent="0.25">
      <c r="B49" s="134" t="s">
        <v>500</v>
      </c>
      <c r="C49" s="11" t="s">
        <v>515</v>
      </c>
      <c r="D49" s="15">
        <f t="shared" si="29"/>
        <v>4707.9197111000012</v>
      </c>
      <c r="E49" s="189">
        <f t="shared" si="30"/>
        <v>4656.9431982000015</v>
      </c>
      <c r="F49" s="189">
        <v>50.976512900000003</v>
      </c>
      <c r="H49" s="134" t="s">
        <v>500</v>
      </c>
      <c r="I49" s="11" t="s">
        <v>31</v>
      </c>
      <c r="J49" s="185">
        <f t="shared" si="31"/>
        <v>0.98917217879060026</v>
      </c>
      <c r="K49" s="185">
        <f t="shared" si="31"/>
        <v>1.0827821209399806E-2</v>
      </c>
      <c r="AE49" s="318"/>
      <c r="AF49" s="15">
        <f>AF48-AG48</f>
        <v>1.1712054947705544E-5</v>
      </c>
      <c r="AG49" s="15">
        <f>AG48-AH48</f>
        <v>4.8047947716972563E-6</v>
      </c>
      <c r="AH49" s="15">
        <f t="shared" ref="AH49:AJ49" si="38">AH48-AI48</f>
        <v>3.950992189814691E-7</v>
      </c>
      <c r="AI49" s="15">
        <f t="shared" si="38"/>
        <v>1.8347296655245649E-7</v>
      </c>
      <c r="AJ49" s="15">
        <f t="shared" si="38"/>
        <v>1.6104578095105274E-5</v>
      </c>
      <c r="AM49" s="318"/>
      <c r="AN49" s="15">
        <f>AN48-AO48</f>
        <v>1.5827519000125563E-6</v>
      </c>
      <c r="AO49" s="15">
        <f t="shared" ref="AO49:AQ49" si="39">AO48-AP48</f>
        <v>1.3014999999999993E-7</v>
      </c>
      <c r="AP49" s="15">
        <f t="shared" si="39"/>
        <v>6.0438000000000081E-8</v>
      </c>
      <c r="AQ49" s="15">
        <f t="shared" si="39"/>
        <v>5.3050239999999998E-6</v>
      </c>
    </row>
    <row r="50" spans="2:43" ht="30" x14ac:dyDescent="0.25">
      <c r="B50" s="134" t="s">
        <v>562</v>
      </c>
      <c r="C50" s="11" t="s">
        <v>516</v>
      </c>
      <c r="D50" s="15">
        <f t="shared" si="29"/>
        <v>1032.3678919000001</v>
      </c>
      <c r="E50" s="189">
        <f t="shared" si="30"/>
        <v>1020.1836437000001</v>
      </c>
      <c r="F50" s="189">
        <v>12.184248200000001</v>
      </c>
      <c r="H50" s="134" t="s">
        <v>562</v>
      </c>
      <c r="I50" s="11" t="s">
        <v>31</v>
      </c>
      <c r="J50" s="185">
        <f t="shared" si="31"/>
        <v>0.98819776525829772</v>
      </c>
      <c r="K50" s="185">
        <f t="shared" si="31"/>
        <v>1.180223474170216E-2</v>
      </c>
      <c r="AE50" s="134" t="s">
        <v>598</v>
      </c>
      <c r="AF50" s="193">
        <f>AF49/$AF48</f>
        <v>0.35277273938827491</v>
      </c>
      <c r="AG50" s="193">
        <f t="shared" ref="AG50:AJ50" si="40">AG49/$AF48</f>
        <v>0.14472273408708367</v>
      </c>
      <c r="AH50" s="193">
        <f t="shared" si="40"/>
        <v>1.1900578884968954E-2</v>
      </c>
      <c r="AI50" s="193">
        <f t="shared" si="40"/>
        <v>5.5262941732597704E-3</v>
      </c>
      <c r="AJ50" s="193">
        <f t="shared" si="40"/>
        <v>0.48507765346641268</v>
      </c>
      <c r="AM50" s="186" t="s">
        <v>598</v>
      </c>
      <c r="AN50" s="193">
        <f>AN49/$AN48</f>
        <v>0.22360420040141601</v>
      </c>
      <c r="AO50" s="193">
        <f t="shared" ref="AO50:AQ50" si="41">AO49/$AN48</f>
        <v>1.838701737272494E-2</v>
      </c>
      <c r="AP50" s="193">
        <f t="shared" si="41"/>
        <v>8.538413799252801E-3</v>
      </c>
      <c r="AQ50" s="193">
        <f t="shared" si="41"/>
        <v>0.74947036842660619</v>
      </c>
    </row>
    <row r="51" spans="2:43" ht="18" x14ac:dyDescent="0.25">
      <c r="B51" s="134" t="s">
        <v>501</v>
      </c>
      <c r="C51" s="11" t="s">
        <v>566</v>
      </c>
      <c r="D51" s="15">
        <f t="shared" si="29"/>
        <v>0.61298538000000002</v>
      </c>
      <c r="E51" s="189">
        <f t="shared" si="30"/>
        <v>0.59382904000000003</v>
      </c>
      <c r="F51" s="189">
        <v>1.9156340000000001E-2</v>
      </c>
      <c r="H51" s="134" t="s">
        <v>501</v>
      </c>
      <c r="I51" s="11" t="s">
        <v>31</v>
      </c>
      <c r="J51" s="185">
        <f t="shared" si="31"/>
        <v>0.96874910784984791</v>
      </c>
      <c r="K51" s="185">
        <f t="shared" si="31"/>
        <v>3.1250892150152094E-2</v>
      </c>
      <c r="AE51" s="318" t="str">
        <f>$B$29</f>
        <v>Respiratory organics</v>
      </c>
      <c r="AF51" s="15">
        <f>D10</f>
        <v>8.4300299000000009E-2</v>
      </c>
      <c r="AG51" s="15">
        <f>AN51*Calculations!$C$47</f>
        <v>5.5274818960193366E-2</v>
      </c>
      <c r="AH51" s="15">
        <f>AO51*Calculations!$C$47</f>
        <v>3.8064037864273079E-2</v>
      </c>
      <c r="AI51" s="15">
        <f>AP51*Calculations!$C$47</f>
        <v>3.7723490569725703E-2</v>
      </c>
      <c r="AJ51" s="15">
        <f>AQ51*Calculations!$C$47</f>
        <v>3.7855635548613625E-2</v>
      </c>
      <c r="AM51" s="318" t="str">
        <f>$B$29</f>
        <v>Respiratory organics</v>
      </c>
      <c r="AN51" s="15">
        <f>D29</f>
        <v>1.8208129355999997E-2</v>
      </c>
      <c r="AO51" s="15">
        <f>D48</f>
        <v>1.2538709999999998E-2</v>
      </c>
      <c r="AP51" s="15">
        <f>D67</f>
        <v>1.2426529999999998E-2</v>
      </c>
      <c r="AQ51" s="15">
        <f>D86</f>
        <v>1.2470059999999998E-2</v>
      </c>
    </row>
    <row r="52" spans="2:43" x14ac:dyDescent="0.25">
      <c r="B52" s="134" t="s">
        <v>502</v>
      </c>
      <c r="C52" s="11" t="s">
        <v>563</v>
      </c>
      <c r="D52" s="15">
        <f t="shared" si="29"/>
        <v>0.66966373000000001</v>
      </c>
      <c r="E52" s="189">
        <f t="shared" si="30"/>
        <v>0.65629475000000004</v>
      </c>
      <c r="F52" s="189">
        <v>1.3368980000000001E-2</v>
      </c>
      <c r="H52" s="134" t="s">
        <v>502</v>
      </c>
      <c r="I52" s="11" t="s">
        <v>31</v>
      </c>
      <c r="J52" s="185">
        <f t="shared" si="31"/>
        <v>0.98003627880518485</v>
      </c>
      <c r="K52" s="185">
        <f t="shared" si="31"/>
        <v>1.9963721194815195E-2</v>
      </c>
      <c r="AE52" s="318"/>
      <c r="AF52" s="15">
        <f>AF51-AG51</f>
        <v>2.9025480039806643E-2</v>
      </c>
      <c r="AG52" s="15">
        <f>AG51-AH51</f>
        <v>1.7210781095920287E-2</v>
      </c>
      <c r="AH52" s="15">
        <f t="shared" ref="AH52:AJ52" si="42">AH51-AI51</f>
        <v>3.4054729454737614E-4</v>
      </c>
      <c r="AI52" s="15">
        <f t="shared" si="42"/>
        <v>-1.3214497888792281E-4</v>
      </c>
      <c r="AJ52" s="15">
        <f t="shared" si="42"/>
        <v>3.7855635548613625E-2</v>
      </c>
      <c r="AM52" s="318"/>
      <c r="AN52" s="15">
        <f>AN51-AO51</f>
        <v>5.6694193559999988E-3</v>
      </c>
      <c r="AO52" s="15">
        <f t="shared" ref="AO52:AQ52" si="43">AO51-AP51</f>
        <v>1.1217999999999992E-4</v>
      </c>
      <c r="AP52" s="15">
        <f t="shared" si="43"/>
        <v>-4.3529999999999958E-5</v>
      </c>
      <c r="AQ52" s="15">
        <f t="shared" si="43"/>
        <v>1.2470059999999998E-2</v>
      </c>
    </row>
    <row r="53" spans="2:43" ht="30" x14ac:dyDescent="0.25">
      <c r="B53" s="134" t="s">
        <v>503</v>
      </c>
      <c r="C53" s="11" t="s">
        <v>566</v>
      </c>
      <c r="D53" s="15">
        <f t="shared" si="29"/>
        <v>215.17723783</v>
      </c>
      <c r="E53" s="189">
        <f t="shared" si="30"/>
        <v>215.17067003</v>
      </c>
      <c r="F53" s="189">
        <v>6.5678000000000004E-3</v>
      </c>
      <c r="H53" s="134" t="s">
        <v>503</v>
      </c>
      <c r="I53" s="11" t="s">
        <v>31</v>
      </c>
      <c r="J53" s="185">
        <f t="shared" si="31"/>
        <v>0.99996947725481455</v>
      </c>
      <c r="K53" s="185">
        <f t="shared" si="31"/>
        <v>3.0522745185477598E-5</v>
      </c>
      <c r="AE53" s="134" t="s">
        <v>598</v>
      </c>
      <c r="AF53" s="193">
        <f>AF52/$AF51</f>
        <v>0.3443105230244396</v>
      </c>
      <c r="AG53" s="193">
        <f t="shared" ref="AG53:AJ53" si="44">AG52/$AF51</f>
        <v>0.20416038021312694</v>
      </c>
      <c r="AH53" s="193">
        <f t="shared" si="44"/>
        <v>4.0396926059227392E-3</v>
      </c>
      <c r="AI53" s="193">
        <f t="shared" si="44"/>
        <v>-1.5675505360653917E-3</v>
      </c>
      <c r="AJ53" s="193">
        <f t="shared" si="44"/>
        <v>0.44905695469257612</v>
      </c>
      <c r="AM53" s="186" t="s">
        <v>598</v>
      </c>
      <c r="AN53" s="193">
        <f>AN52/$AN51</f>
        <v>0.31136748015972299</v>
      </c>
      <c r="AO53" s="193">
        <f t="shared" ref="AO53:AQ53" si="45">AO52/$AN51</f>
        <v>6.1609843497203642E-3</v>
      </c>
      <c r="AP53" s="193">
        <f t="shared" si="45"/>
        <v>-2.390690397070132E-3</v>
      </c>
      <c r="AQ53" s="193">
        <f t="shared" si="45"/>
        <v>0.6848622258876268</v>
      </c>
    </row>
    <row r="54" spans="2:43" ht="18" x14ac:dyDescent="0.25">
      <c r="B54" s="134" t="s">
        <v>504</v>
      </c>
      <c r="C54" s="11" t="s">
        <v>567</v>
      </c>
      <c r="D54" s="15">
        <f t="shared" si="29"/>
        <v>5.9500889999999996E-3</v>
      </c>
      <c r="E54" s="189">
        <f t="shared" si="30"/>
        <v>5.8261989999999998E-3</v>
      </c>
      <c r="F54" s="189">
        <v>1.2389000000000001E-4</v>
      </c>
      <c r="H54" s="134" t="s">
        <v>504</v>
      </c>
      <c r="I54" s="11" t="s">
        <v>31</v>
      </c>
      <c r="J54" s="185">
        <f t="shared" si="31"/>
        <v>0.97917846270870912</v>
      </c>
      <c r="K54" s="185">
        <f t="shared" si="31"/>
        <v>2.082153729129094E-2</v>
      </c>
      <c r="AE54" s="318" t="str">
        <f>$B$30</f>
        <v>Aquatic ecotoxicity</v>
      </c>
      <c r="AF54" s="15">
        <f>D11</f>
        <v>23780.539000000001</v>
      </c>
      <c r="AG54" s="15">
        <f>AN54*Calculations!$C$47</f>
        <v>18256.545728099551</v>
      </c>
      <c r="AH54" s="15">
        <f>AO54*Calculations!$C$47</f>
        <v>14291.935465870736</v>
      </c>
      <c r="AI54" s="15">
        <f>AP54*Calculations!$C$47</f>
        <v>14137.184943910008</v>
      </c>
      <c r="AJ54" s="15">
        <f>AQ54*Calculations!$C$47</f>
        <v>14137.185579286621</v>
      </c>
      <c r="AM54" s="318" t="str">
        <f>$B$30</f>
        <v>Aquatic ecotoxicity</v>
      </c>
      <c r="AN54" s="15">
        <f>D30</f>
        <v>6013.9056529585214</v>
      </c>
      <c r="AO54" s="15">
        <f>D49</f>
        <v>4707.9197111000012</v>
      </c>
      <c r="AP54" s="15">
        <f>D68</f>
        <v>4656.9431982000015</v>
      </c>
      <c r="AQ54" s="15">
        <f>D87</f>
        <v>4656.9434075000008</v>
      </c>
    </row>
    <row r="55" spans="2:43" ht="18" x14ac:dyDescent="0.25">
      <c r="B55" s="176" t="s">
        <v>505</v>
      </c>
      <c r="C55" s="165" t="s">
        <v>578</v>
      </c>
      <c r="D55" s="195">
        <f t="shared" si="29"/>
        <v>41.48683561</v>
      </c>
      <c r="E55" s="196">
        <f t="shared" si="30"/>
        <v>40.527950670000003</v>
      </c>
      <c r="F55" s="196">
        <v>0.95888494000000002</v>
      </c>
      <c r="H55" s="134" t="s">
        <v>505</v>
      </c>
      <c r="I55" s="11" t="s">
        <v>31</v>
      </c>
      <c r="J55" s="185">
        <f t="shared" si="31"/>
        <v>0.9768870070252148</v>
      </c>
      <c r="K55" s="185">
        <f t="shared" si="31"/>
        <v>2.3112992974785238E-2</v>
      </c>
      <c r="AE55" s="318"/>
      <c r="AF55" s="15">
        <f>AF54-AG54</f>
        <v>5523.9932719004501</v>
      </c>
      <c r="AG55" s="15">
        <f>AG54-AH54</f>
        <v>3964.6102622288145</v>
      </c>
      <c r="AH55" s="15">
        <f t="shared" ref="AH55:AJ55" si="46">AH54-AI54</f>
        <v>154.75052196072829</v>
      </c>
      <c r="AI55" s="15">
        <f t="shared" si="46"/>
        <v>-6.3537661299051251E-4</v>
      </c>
      <c r="AJ55" s="15">
        <f t="shared" si="46"/>
        <v>14137.185579286621</v>
      </c>
      <c r="AM55" s="318"/>
      <c r="AN55" s="15">
        <f>AN54-AO54</f>
        <v>1305.9859418585202</v>
      </c>
      <c r="AO55" s="15">
        <f t="shared" ref="AO55:AQ55" si="47">AO54-AP54</f>
        <v>50.976512899999761</v>
      </c>
      <c r="AP55" s="15">
        <f t="shared" si="47"/>
        <v>-2.0929999936925014E-4</v>
      </c>
      <c r="AQ55" s="15">
        <f t="shared" si="47"/>
        <v>4656.9434075000008</v>
      </c>
    </row>
    <row r="56" spans="2:43" ht="30" x14ac:dyDescent="0.25">
      <c r="B56" s="134" t="s">
        <v>506</v>
      </c>
      <c r="C56" s="11" t="s">
        <v>517</v>
      </c>
      <c r="D56" s="15">
        <f t="shared" si="29"/>
        <v>810.51996207000002</v>
      </c>
      <c r="E56" s="189">
        <f t="shared" si="30"/>
        <v>790.99246847000006</v>
      </c>
      <c r="F56" s="189">
        <v>19.5274936</v>
      </c>
      <c r="H56" s="134" t="s">
        <v>506</v>
      </c>
      <c r="I56" s="11" t="s">
        <v>31</v>
      </c>
      <c r="J56" s="185">
        <f t="shared" si="31"/>
        <v>0.97590744890461623</v>
      </c>
      <c r="K56" s="185">
        <f t="shared" si="31"/>
        <v>2.4092551095383781E-2</v>
      </c>
      <c r="AE56" s="134" t="s">
        <v>598</v>
      </c>
      <c r="AF56" s="193">
        <f>AF55/$AF54</f>
        <v>0.23229049904631893</v>
      </c>
      <c r="AG56" s="193">
        <f t="shared" ref="AG56:AJ56" si="48">AG55/$AF54</f>
        <v>0.16671658544950618</v>
      </c>
      <c r="AH56" s="193">
        <f t="shared" si="48"/>
        <v>6.5074438371951239E-3</v>
      </c>
      <c r="AI56" s="193">
        <f t="shared" si="48"/>
        <v>-2.671834364185406E-8</v>
      </c>
      <c r="AJ56" s="193">
        <f t="shared" si="48"/>
        <v>0.59448549838532339</v>
      </c>
      <c r="AM56" s="186" t="s">
        <v>598</v>
      </c>
      <c r="AN56" s="193">
        <f>AN55/$AN54</f>
        <v>0.21716102932476911</v>
      </c>
      <c r="AO56" s="193">
        <f t="shared" ref="AO56:AQ56" si="49">AO55/$AN54</f>
        <v>8.476440410221938E-3</v>
      </c>
      <c r="AP56" s="193">
        <f t="shared" si="49"/>
        <v>-3.4802674243199292E-8</v>
      </c>
      <c r="AQ56" s="193">
        <f t="shared" si="49"/>
        <v>0.7743625650676832</v>
      </c>
    </row>
    <row r="57" spans="2:43" x14ac:dyDescent="0.25">
      <c r="B57" s="134" t="s">
        <v>507</v>
      </c>
      <c r="C57" s="11" t="s">
        <v>518</v>
      </c>
      <c r="D57" s="15">
        <f t="shared" si="29"/>
        <v>0.92538835999999991</v>
      </c>
      <c r="E57" s="189">
        <f t="shared" si="30"/>
        <v>0.91449432999999991</v>
      </c>
      <c r="F57" s="189">
        <v>1.0894030000000001E-2</v>
      </c>
      <c r="H57" s="134" t="s">
        <v>507</v>
      </c>
      <c r="I57" s="11" t="s">
        <v>31</v>
      </c>
      <c r="J57" s="185">
        <f t="shared" si="31"/>
        <v>0.98822761289108929</v>
      </c>
      <c r="K57" s="185">
        <f t="shared" si="31"/>
        <v>1.1772387108910687E-2</v>
      </c>
      <c r="AE57" s="318" t="str">
        <f>$B$31</f>
        <v>Terrestrial ecotoxicity</v>
      </c>
      <c r="AF57" s="15">
        <f>D12</f>
        <v>8510.0001140000004</v>
      </c>
      <c r="AG57" s="15">
        <f>AN57*Calculations!$C$47</f>
        <v>4384.0709484309791</v>
      </c>
      <c r="AH57" s="15">
        <f>AO57*Calculations!$C$47</f>
        <v>3133.9819269399632</v>
      </c>
      <c r="AI57" s="15">
        <f>AP57*Calculations!$C$47</f>
        <v>3096.9939365619657</v>
      </c>
      <c r="AJ57" s="15">
        <f>AQ57*Calculations!$C$47</f>
        <v>3098.1157214502609</v>
      </c>
      <c r="AM57" s="318" t="str">
        <f>$B$31</f>
        <v>Terrestrial ecotoxicity</v>
      </c>
      <c r="AN57" s="15">
        <f>D31</f>
        <v>1444.1608753599</v>
      </c>
      <c r="AO57" s="15">
        <f>D50</f>
        <v>1032.3678919000001</v>
      </c>
      <c r="AP57" s="15">
        <f>D69</f>
        <v>1020.1836437000001</v>
      </c>
      <c r="AQ57" s="15">
        <f>D88</f>
        <v>1020.5531719000001</v>
      </c>
    </row>
    <row r="58" spans="2:43" x14ac:dyDescent="0.25">
      <c r="AE58" s="318"/>
      <c r="AF58" s="15">
        <f>AF57-AG57</f>
        <v>4125.9291655690213</v>
      </c>
      <c r="AG58" s="15">
        <f>AG57-AH57</f>
        <v>1250.089021491016</v>
      </c>
      <c r="AH58" s="15">
        <f t="shared" ref="AH58:AJ58" si="50">AH57-AI57</f>
        <v>36.987990377997448</v>
      </c>
      <c r="AI58" s="15">
        <f t="shared" si="50"/>
        <v>-1.1217848882952239</v>
      </c>
      <c r="AJ58" s="15">
        <f t="shared" si="50"/>
        <v>3098.1157214502609</v>
      </c>
      <c r="AM58" s="318"/>
      <c r="AN58" s="15">
        <f>AN57-AO57</f>
        <v>411.79298345989992</v>
      </c>
      <c r="AO58" s="15">
        <f t="shared" ref="AO58:AQ58" si="51">AO57-AP57</f>
        <v>12.18424820000007</v>
      </c>
      <c r="AP58" s="15">
        <f t="shared" si="51"/>
        <v>-0.36952819999999065</v>
      </c>
      <c r="AQ58" s="15">
        <f t="shared" si="51"/>
        <v>1020.5531719000001</v>
      </c>
    </row>
    <row r="59" spans="2:43" ht="30" x14ac:dyDescent="0.25">
      <c r="B59" s="319" t="s">
        <v>681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AE59" s="134" t="s">
        <v>598</v>
      </c>
      <c r="AF59" s="193">
        <f>AF58/$AF57</f>
        <v>0.4848330329374918</v>
      </c>
      <c r="AG59" s="193">
        <f t="shared" ref="AG59:AJ59" si="52">AG58/$AF57</f>
        <v>0.14689647529316308</v>
      </c>
      <c r="AH59" s="193">
        <f t="shared" si="52"/>
        <v>4.3464147923038968E-3</v>
      </c>
      <c r="AI59" s="193">
        <f t="shared" si="52"/>
        <v>-1.3181960907964613E-4</v>
      </c>
      <c r="AJ59" s="193">
        <f t="shared" si="52"/>
        <v>0.36405589658612086</v>
      </c>
      <c r="AM59" s="186" t="s">
        <v>598</v>
      </c>
      <c r="AN59" s="193">
        <f>AN58/$AN57</f>
        <v>0.28514342860678649</v>
      </c>
      <c r="AO59" s="193">
        <f t="shared" ref="AO59:AQ59" si="53">AO58/$AN57</f>
        <v>8.4369050622311228E-3</v>
      </c>
      <c r="AP59" s="193">
        <f t="shared" si="53"/>
        <v>-2.5587744849264136E-4</v>
      </c>
      <c r="AQ59" s="193">
        <f t="shared" si="53"/>
        <v>0.70667554377947506</v>
      </c>
    </row>
    <row r="60" spans="2:43" x14ac:dyDescent="0.25">
      <c r="AE60" s="318" t="str">
        <f>$B$32</f>
        <v>Terrestrial acid/nutri</v>
      </c>
      <c r="AF60" s="15">
        <f>D13</f>
        <v>3.5870007329999996</v>
      </c>
      <c r="AG60" s="15">
        <f>AN60*Calculations!$C$47</f>
        <v>3.0331986198175422</v>
      </c>
      <c r="AH60" s="15">
        <f>AO60*Calculations!$C$47</f>
        <v>1.8608532069539712</v>
      </c>
      <c r="AI60" s="15">
        <f>AP60*Calculations!$C$47</f>
        <v>1.8026998840761879</v>
      </c>
      <c r="AJ60" s="15">
        <f>AQ60*Calculations!$C$47</f>
        <v>1.8130740086707813</v>
      </c>
      <c r="AM60" s="318" t="str">
        <f>$B$32</f>
        <v>Terrestrial acid/nutri</v>
      </c>
      <c r="AN60" s="15">
        <f>D32</f>
        <v>0.99916876926999998</v>
      </c>
      <c r="AO60" s="15">
        <f>D51</f>
        <v>0.61298538000000002</v>
      </c>
      <c r="AP60" s="15">
        <f>D70</f>
        <v>0.59382904000000003</v>
      </c>
      <c r="AQ60" s="15">
        <f>D89</f>
        <v>0.59724639000000002</v>
      </c>
    </row>
    <row r="61" spans="2:43" ht="30.95" customHeight="1" x14ac:dyDescent="0.25">
      <c r="B61" s="167" t="s">
        <v>569</v>
      </c>
      <c r="C61" s="167" t="s">
        <v>365</v>
      </c>
      <c r="D61" s="167" t="s">
        <v>596</v>
      </c>
      <c r="E61" s="167" t="s">
        <v>574</v>
      </c>
      <c r="F61" s="167" t="s">
        <v>572</v>
      </c>
      <c r="G61" s="167" t="s">
        <v>363</v>
      </c>
      <c r="I61" s="133" t="s">
        <v>569</v>
      </c>
      <c r="J61" s="133" t="s">
        <v>365</v>
      </c>
      <c r="K61" s="167" t="s">
        <v>574</v>
      </c>
      <c r="L61" s="167" t="s">
        <v>572</v>
      </c>
      <c r="M61" s="167" t="s">
        <v>363</v>
      </c>
      <c r="AE61" s="318"/>
      <c r="AF61" s="15">
        <f>AF60-AG60</f>
        <v>0.55380211318245731</v>
      </c>
      <c r="AG61" s="15">
        <f>AG60-AH60</f>
        <v>1.1723454128635711</v>
      </c>
      <c r="AH61" s="15">
        <f t="shared" ref="AH61:AJ61" si="54">AH60-AI60</f>
        <v>5.8153322877783298E-2</v>
      </c>
      <c r="AI61" s="15">
        <f t="shared" si="54"/>
        <v>-1.0374124594593415E-2</v>
      </c>
      <c r="AJ61" s="15">
        <f t="shared" si="54"/>
        <v>1.8130740086707813</v>
      </c>
      <c r="AM61" s="318"/>
      <c r="AN61" s="15">
        <f>AN60-AO60</f>
        <v>0.38618338926999995</v>
      </c>
      <c r="AO61" s="15">
        <f t="shared" ref="AO61:AQ61" si="55">AO60-AP60</f>
        <v>1.9156339999999994E-2</v>
      </c>
      <c r="AP61" s="15">
        <f t="shared" si="55"/>
        <v>-3.4173499999999857E-3</v>
      </c>
      <c r="AQ61" s="15">
        <f t="shared" si="55"/>
        <v>0.59724639000000002</v>
      </c>
    </row>
    <row r="62" spans="2:43" ht="30" x14ac:dyDescent="0.25">
      <c r="B62" s="134" t="s">
        <v>495</v>
      </c>
      <c r="C62" s="11" t="s">
        <v>564</v>
      </c>
      <c r="D62" s="15">
        <f>SUM(E62:G62)</f>
        <v>0.98700393000000008</v>
      </c>
      <c r="E62" s="189">
        <f>D81</f>
        <v>1.0012520600000001</v>
      </c>
      <c r="F62" s="189">
        <v>1.3882719999999999E-2</v>
      </c>
      <c r="G62" s="189">
        <v>-2.8130849999999999E-2</v>
      </c>
      <c r="H62" s="190">
        <f>SUM(E62:F62)</f>
        <v>1.0151347800000001</v>
      </c>
      <c r="I62" s="134" t="s">
        <v>495</v>
      </c>
      <c r="J62" s="11" t="s">
        <v>31</v>
      </c>
      <c r="K62" s="185">
        <f>E62/$H62</f>
        <v>0.98632425932643153</v>
      </c>
      <c r="L62" s="185">
        <f>F62/$H62</f>
        <v>1.3675740673568486E-2</v>
      </c>
      <c r="M62" s="185">
        <f>G62/$H62</f>
        <v>-2.7711443400648725E-2</v>
      </c>
      <c r="AE62" s="134" t="s">
        <v>598</v>
      </c>
      <c r="AF62" s="193">
        <f>AF61/$AF60</f>
        <v>0.15439141344119078</v>
      </c>
      <c r="AG62" s="193">
        <f t="shared" ref="AG62:AJ62" si="56">AG61/$AF60</f>
        <v>0.32683166247448081</v>
      </c>
      <c r="AH62" s="193">
        <f t="shared" si="56"/>
        <v>1.6212241704547013E-2</v>
      </c>
      <c r="AI62" s="193">
        <f t="shared" si="56"/>
        <v>-2.8921445426962548E-3</v>
      </c>
      <c r="AJ62" s="193">
        <f t="shared" si="56"/>
        <v>0.50545682692247762</v>
      </c>
      <c r="AM62" s="186" t="s">
        <v>598</v>
      </c>
      <c r="AN62" s="193">
        <f>AN61/$AN60</f>
        <v>0.38650466382385867</v>
      </c>
      <c r="AO62" s="193">
        <f t="shared" ref="AO62:AQ62" si="57">AO61/$AN60</f>
        <v>1.9172276585461889E-2</v>
      </c>
      <c r="AP62" s="193">
        <f t="shared" si="57"/>
        <v>-3.4201929694987632E-3</v>
      </c>
      <c r="AQ62" s="193">
        <f t="shared" si="57"/>
        <v>0.59774325256017824</v>
      </c>
    </row>
    <row r="63" spans="2:43" ht="18" x14ac:dyDescent="0.25">
      <c r="B63" s="134" t="s">
        <v>496</v>
      </c>
      <c r="C63" s="11" t="s">
        <v>564</v>
      </c>
      <c r="D63" s="15">
        <f t="shared" ref="D63:D76" si="58">SUM(E63:G63)</f>
        <v>0.49939549</v>
      </c>
      <c r="E63" s="189">
        <f t="shared" ref="E63:E76" si="59">D82</f>
        <v>0.50545110000000004</v>
      </c>
      <c r="F63" s="189">
        <v>5.2391299999999998E-3</v>
      </c>
      <c r="G63" s="189">
        <v>-1.1294739999999999E-2</v>
      </c>
      <c r="H63" s="190">
        <f t="shared" ref="H63:H76" si="60">SUM(E63:F63)</f>
        <v>0.51069023000000002</v>
      </c>
      <c r="I63" s="134" t="s">
        <v>496</v>
      </c>
      <c r="J63" s="11" t="s">
        <v>31</v>
      </c>
      <c r="K63" s="185">
        <f t="shared" ref="K63:M76" si="61">E63/$H63</f>
        <v>0.98974108041972919</v>
      </c>
      <c r="L63" s="185">
        <f t="shared" si="61"/>
        <v>1.0258919580270802E-2</v>
      </c>
      <c r="M63" s="185">
        <f t="shared" si="61"/>
        <v>-2.2116616564213494E-2</v>
      </c>
      <c r="AE63" s="318" t="str">
        <f>$B$33</f>
        <v>Land occupation</v>
      </c>
      <c r="AF63" s="15">
        <f>D14</f>
        <v>10.42</v>
      </c>
      <c r="AG63" s="15">
        <f>AN63*Calculations!$C$47</f>
        <v>8.1131557594731412</v>
      </c>
      <c r="AH63" s="15">
        <f>AO63*Calculations!$C$47</f>
        <v>2.0329129212694408</v>
      </c>
      <c r="AI63" s="15">
        <f>AP63*Calculations!$C$47</f>
        <v>1.9923284144958804</v>
      </c>
      <c r="AJ63" s="15">
        <f>AQ63*Calculations!$C$47</f>
        <v>2.001278694398358</v>
      </c>
      <c r="AM63" s="318" t="str">
        <f>$B$33</f>
        <v>Land occupation</v>
      </c>
      <c r="AN63" s="15">
        <f>D33</f>
        <v>2.67256216</v>
      </c>
      <c r="AO63" s="15">
        <f>D52</f>
        <v>0.66966373000000001</v>
      </c>
      <c r="AP63" s="15">
        <f>D71</f>
        <v>0.65629475000000004</v>
      </c>
      <c r="AQ63" s="15">
        <f>D90</f>
        <v>0.65924307000000004</v>
      </c>
    </row>
    <row r="64" spans="2:43" x14ac:dyDescent="0.25">
      <c r="B64" s="134" t="s">
        <v>497</v>
      </c>
      <c r="C64" s="11" t="s">
        <v>512</v>
      </c>
      <c r="D64" s="15">
        <f t="shared" si="58"/>
        <v>3.7144789999999997E-2</v>
      </c>
      <c r="E64" s="189">
        <f t="shared" si="59"/>
        <v>3.9377500000000003E-2</v>
      </c>
      <c r="F64" s="189">
        <v>1.17157E-3</v>
      </c>
      <c r="G64" s="189">
        <v>-3.40428E-3</v>
      </c>
      <c r="H64" s="190">
        <f t="shared" si="60"/>
        <v>4.054907E-2</v>
      </c>
      <c r="I64" s="134" t="s">
        <v>497</v>
      </c>
      <c r="J64" s="11" t="s">
        <v>31</v>
      </c>
      <c r="K64" s="185">
        <f t="shared" si="61"/>
        <v>0.9711073521538226</v>
      </c>
      <c r="L64" s="185">
        <f t="shared" si="61"/>
        <v>2.8892647846177483E-2</v>
      </c>
      <c r="M64" s="185">
        <f t="shared" si="61"/>
        <v>-8.3954576516798038E-2</v>
      </c>
      <c r="AE64" s="318"/>
      <c r="AF64" s="15">
        <f>AF63-AG63</f>
        <v>2.3068442405268588</v>
      </c>
      <c r="AG64" s="15">
        <f>AG63-AH63</f>
        <v>6.0802428382037004</v>
      </c>
      <c r="AH64" s="15">
        <f t="shared" ref="AH64:AJ64" si="62">AH63-AI63</f>
        <v>4.0584506773560403E-2</v>
      </c>
      <c r="AI64" s="15">
        <f t="shared" si="62"/>
        <v>-8.9502799024776536E-3</v>
      </c>
      <c r="AJ64" s="15">
        <f t="shared" si="62"/>
        <v>2.001278694398358</v>
      </c>
      <c r="AM64" s="318"/>
      <c r="AN64" s="15">
        <f>AN63-AO63</f>
        <v>2.0028984300000001</v>
      </c>
      <c r="AO64" s="15">
        <f t="shared" ref="AO64:AQ64" si="63">AO63-AP63</f>
        <v>1.3368979999999975E-2</v>
      </c>
      <c r="AP64" s="15">
        <f t="shared" si="63"/>
        <v>-2.9483200000000043E-3</v>
      </c>
      <c r="AQ64" s="15">
        <f t="shared" si="63"/>
        <v>0.65924307000000004</v>
      </c>
    </row>
    <row r="65" spans="2:43" ht="30" x14ac:dyDescent="0.25">
      <c r="B65" s="134" t="s">
        <v>561</v>
      </c>
      <c r="C65" s="11" t="s">
        <v>513</v>
      </c>
      <c r="D65" s="15">
        <f t="shared" si="58"/>
        <v>904.00954440999999</v>
      </c>
      <c r="E65" s="189">
        <f t="shared" si="59"/>
        <v>876.70291100999998</v>
      </c>
      <c r="F65" s="189">
        <v>41.838957200000003</v>
      </c>
      <c r="G65" s="189">
        <v>-14.5323238</v>
      </c>
      <c r="H65" s="190">
        <f t="shared" si="60"/>
        <v>918.54186820999996</v>
      </c>
      <c r="I65" s="134" t="s">
        <v>561</v>
      </c>
      <c r="J65" s="11" t="s">
        <v>31</v>
      </c>
      <c r="K65" s="185">
        <f t="shared" si="61"/>
        <v>0.95445068031407942</v>
      </c>
      <c r="L65" s="185">
        <f t="shared" si="61"/>
        <v>4.5549319685920561E-2</v>
      </c>
      <c r="M65" s="185">
        <f t="shared" si="61"/>
        <v>-1.582107936823798E-2</v>
      </c>
      <c r="AE65" s="134" t="s">
        <v>598</v>
      </c>
      <c r="AF65" s="193">
        <f>AF64/$AF63</f>
        <v>0.22138620350545671</v>
      </c>
      <c r="AG65" s="193">
        <f t="shared" ref="AG65:AJ65" si="64">AG64/$AF63</f>
        <v>0.58351658715966415</v>
      </c>
      <c r="AH65" s="193">
        <f t="shared" si="64"/>
        <v>3.8948662930480232E-3</v>
      </c>
      <c r="AI65" s="193">
        <f t="shared" si="64"/>
        <v>-8.5895200599593602E-4</v>
      </c>
      <c r="AJ65" s="193">
        <f t="shared" si="64"/>
        <v>0.19206129504782707</v>
      </c>
      <c r="AM65" s="186" t="s">
        <v>598</v>
      </c>
      <c r="AN65" s="193">
        <f>AN64/$AN63</f>
        <v>0.74943006377071508</v>
      </c>
      <c r="AO65" s="193">
        <f t="shared" ref="AO65:AQ65" si="65">AO64/$AN63</f>
        <v>5.0023083466840578E-3</v>
      </c>
      <c r="AP65" s="193">
        <f t="shared" si="65"/>
        <v>-1.1031810762448288E-3</v>
      </c>
      <c r="AQ65" s="193">
        <f t="shared" si="65"/>
        <v>0.24667080895884572</v>
      </c>
    </row>
    <row r="66" spans="2:43" x14ac:dyDescent="0.25">
      <c r="B66" s="134" t="s">
        <v>498</v>
      </c>
      <c r="C66" s="11" t="s">
        <v>514</v>
      </c>
      <c r="D66" s="15">
        <f t="shared" si="58"/>
        <v>5.3654619999999999E-6</v>
      </c>
      <c r="E66" s="189">
        <f t="shared" si="59"/>
        <v>5.3050239999999998E-6</v>
      </c>
      <c r="F66" s="189">
        <v>1.2408999999999999E-7</v>
      </c>
      <c r="G66" s="189">
        <v>-6.3652000000000006E-8</v>
      </c>
      <c r="H66" s="190">
        <f t="shared" si="60"/>
        <v>5.4291140000000002E-6</v>
      </c>
      <c r="I66" s="134" t="s">
        <v>498</v>
      </c>
      <c r="J66" s="11" t="s">
        <v>31</v>
      </c>
      <c r="K66" s="185">
        <f t="shared" si="61"/>
        <v>0.97714360022648261</v>
      </c>
      <c r="L66" s="185">
        <f t="shared" si="61"/>
        <v>2.2856399773517371E-2</v>
      </c>
      <c r="M66" s="185">
        <f t="shared" si="61"/>
        <v>-1.1724196618453767E-2</v>
      </c>
      <c r="AE66" s="318" t="str">
        <f>$B$34</f>
        <v>Aquatic acidification</v>
      </c>
      <c r="AF66" s="15">
        <f>D15</f>
        <v>1.1850026200000001</v>
      </c>
      <c r="AG66" s="15">
        <f>AN66*Calculations!$C$47</f>
        <v>653.64686968037847</v>
      </c>
      <c r="AH66" s="15">
        <f>AO66*Calculations!$C$47</f>
        <v>653.21827590643807</v>
      </c>
      <c r="AI66" s="15">
        <f>AP66*Calculations!$C$47</f>
        <v>653.19833789145218</v>
      </c>
      <c r="AJ66" s="15">
        <f>AQ66*Calculations!$C$47</f>
        <v>653.20144228148911</v>
      </c>
      <c r="AM66" s="318" t="str">
        <f>$B$34</f>
        <v>Aquatic acidification</v>
      </c>
      <c r="AN66" s="15">
        <f>D34</f>
        <v>215.3184213024</v>
      </c>
      <c r="AO66" s="15">
        <f>D53</f>
        <v>215.17723783</v>
      </c>
      <c r="AP66" s="15">
        <f>D72</f>
        <v>215.17067003</v>
      </c>
      <c r="AQ66" s="15">
        <f>D91</f>
        <v>215.17169264999998</v>
      </c>
    </row>
    <row r="67" spans="2:43" ht="18" x14ac:dyDescent="0.25">
      <c r="B67" s="134" t="s">
        <v>499</v>
      </c>
      <c r="C67" s="11" t="s">
        <v>565</v>
      </c>
      <c r="D67" s="15">
        <f t="shared" si="58"/>
        <v>1.2426529999999998E-2</v>
      </c>
      <c r="E67" s="189">
        <f t="shared" si="59"/>
        <v>1.2470059999999998E-2</v>
      </c>
      <c r="F67" s="189">
        <v>1.0696000000000001E-4</v>
      </c>
      <c r="G67" s="189">
        <v>-1.5049E-4</v>
      </c>
      <c r="H67" s="190">
        <f t="shared" si="60"/>
        <v>1.2577019999999998E-2</v>
      </c>
      <c r="I67" s="134" t="s">
        <v>499</v>
      </c>
      <c r="J67" s="11" t="s">
        <v>31</v>
      </c>
      <c r="K67" s="185">
        <f t="shared" si="61"/>
        <v>0.99149560070668574</v>
      </c>
      <c r="L67" s="185">
        <f t="shared" si="61"/>
        <v>8.5043992933143166E-3</v>
      </c>
      <c r="M67" s="185">
        <f t="shared" si="61"/>
        <v>-1.1965473538246741E-2</v>
      </c>
      <c r="AE67" s="318"/>
      <c r="AF67" s="15">
        <f>AF66-AG66</f>
        <v>-652.46186706037849</v>
      </c>
      <c r="AG67" s="15">
        <f>AG66-AH66</f>
        <v>0.42859377394040621</v>
      </c>
      <c r="AH67" s="15">
        <f t="shared" ref="AH67:AJ67" si="66">AH66-AI66</f>
        <v>1.9938014985882546E-2</v>
      </c>
      <c r="AI67" s="15">
        <f t="shared" si="66"/>
        <v>-3.1043900369240873E-3</v>
      </c>
      <c r="AJ67" s="15">
        <f t="shared" si="66"/>
        <v>653.20144228148911</v>
      </c>
      <c r="AM67" s="318"/>
      <c r="AN67" s="15">
        <f>AN66-AO66</f>
        <v>0.14118347240000162</v>
      </c>
      <c r="AO67" s="15">
        <f t="shared" ref="AO67:AQ67" si="67">AO66-AP66</f>
        <v>6.5677999999991243E-3</v>
      </c>
      <c r="AP67" s="15">
        <f t="shared" si="67"/>
        <v>-1.0226199999863184E-3</v>
      </c>
      <c r="AQ67" s="15">
        <f t="shared" si="67"/>
        <v>215.17169264999998</v>
      </c>
    </row>
    <row r="68" spans="2:43" ht="30" x14ac:dyDescent="0.25">
      <c r="B68" s="134" t="s">
        <v>500</v>
      </c>
      <c r="C68" s="11" t="s">
        <v>515</v>
      </c>
      <c r="D68" s="15">
        <f t="shared" si="58"/>
        <v>4656.9431982000015</v>
      </c>
      <c r="E68" s="189">
        <f t="shared" si="59"/>
        <v>4656.9434075000008</v>
      </c>
      <c r="F68" s="189">
        <v>48.605032700000002</v>
      </c>
      <c r="G68" s="189">
        <v>-48.605241999999997</v>
      </c>
      <c r="H68" s="190">
        <f t="shared" si="60"/>
        <v>4705.5484402000011</v>
      </c>
      <c r="I68" s="134" t="s">
        <v>500</v>
      </c>
      <c r="J68" s="11" t="s">
        <v>31</v>
      </c>
      <c r="K68" s="185">
        <f t="shared" si="61"/>
        <v>0.9896706976205446</v>
      </c>
      <c r="L68" s="185">
        <f t="shared" si="61"/>
        <v>1.032930237945529E-2</v>
      </c>
      <c r="M68" s="185">
        <f t="shared" si="61"/>
        <v>-1.032934685886139E-2</v>
      </c>
      <c r="AE68" s="134" t="s">
        <v>598</v>
      </c>
      <c r="AF68" s="193">
        <f>AF67/$AF66</f>
        <v>-550.59951433725814</v>
      </c>
      <c r="AG68" s="193">
        <f t="shared" ref="AG68:AJ68" si="68">AG67/$AF66</f>
        <v>0.36168170998677301</v>
      </c>
      <c r="AH68" s="193">
        <f t="shared" si="68"/>
        <v>1.6825291901787141E-2</v>
      </c>
      <c r="AI68" s="193">
        <f t="shared" si="68"/>
        <v>-2.6197326356325584E-3</v>
      </c>
      <c r="AJ68" s="193">
        <f t="shared" si="68"/>
        <v>551.22362706800516</v>
      </c>
      <c r="AM68" s="186" t="s">
        <v>598</v>
      </c>
      <c r="AN68" s="193">
        <f>AN67/$AN66</f>
        <v>6.5569620818331693E-4</v>
      </c>
      <c r="AO68" s="193">
        <f t="shared" ref="AO68:AQ68" si="69">AO67/$AN66</f>
        <v>3.0502731537192066E-5</v>
      </c>
      <c r="AP68" s="193">
        <f t="shared" si="69"/>
        <v>-4.7493381838896105E-6</v>
      </c>
      <c r="AQ68" s="193">
        <f t="shared" si="69"/>
        <v>0.9993185503984634</v>
      </c>
    </row>
    <row r="69" spans="2:43" x14ac:dyDescent="0.25">
      <c r="B69" s="134" t="s">
        <v>562</v>
      </c>
      <c r="C69" s="11" t="s">
        <v>516</v>
      </c>
      <c r="D69" s="15">
        <f t="shared" si="58"/>
        <v>1020.1836437000001</v>
      </c>
      <c r="E69" s="189">
        <f t="shared" si="59"/>
        <v>1020.5531719000001</v>
      </c>
      <c r="F69" s="189">
        <v>11.6174243</v>
      </c>
      <c r="G69" s="189">
        <v>-11.986952499999999</v>
      </c>
      <c r="H69" s="190">
        <f t="shared" si="60"/>
        <v>1032.1705962000001</v>
      </c>
      <c r="I69" s="134" t="s">
        <v>562</v>
      </c>
      <c r="J69" s="11" t="s">
        <v>31</v>
      </c>
      <c r="K69" s="185">
        <f t="shared" si="61"/>
        <v>0.9887446664894638</v>
      </c>
      <c r="L69" s="185">
        <f t="shared" si="61"/>
        <v>1.125533351053621E-2</v>
      </c>
      <c r="M69" s="185">
        <f t="shared" si="61"/>
        <v>-1.1613344290305019E-2</v>
      </c>
      <c r="AE69" s="318" t="str">
        <f>$B$35</f>
        <v>Aquatic eutrophication</v>
      </c>
      <c r="AF69" s="15">
        <f>D16</f>
        <v>9.9839999999999998E-2</v>
      </c>
      <c r="AG69" s="15">
        <f>AN69*Calculations!$C$47</f>
        <v>9.2063681893973598E-2</v>
      </c>
      <c r="AH69" s="15">
        <f>AO69*Calculations!$C$47</f>
        <v>1.8062816110412855E-2</v>
      </c>
      <c r="AI69" s="15">
        <f>AP69*Calculations!$C$47</f>
        <v>1.7686720511184164E-2</v>
      </c>
      <c r="AJ69" s="15">
        <f>AQ69*Calculations!$C$47</f>
        <v>1.8117550178167262E-2</v>
      </c>
      <c r="AM69" s="318" t="str">
        <f>$B$35</f>
        <v>Aquatic eutrophication</v>
      </c>
      <c r="AN69" s="15">
        <f>D35</f>
        <v>3.0326782799999997E-2</v>
      </c>
      <c r="AO69" s="15">
        <f>D54</f>
        <v>5.9500889999999996E-3</v>
      </c>
      <c r="AP69" s="15">
        <f>D73</f>
        <v>5.8261989999999998E-3</v>
      </c>
      <c r="AQ69" s="15">
        <f>D92</f>
        <v>5.968119E-3</v>
      </c>
    </row>
    <row r="70" spans="2:43" ht="18" x14ac:dyDescent="0.25">
      <c r="B70" s="134" t="s">
        <v>501</v>
      </c>
      <c r="C70" s="11" t="s">
        <v>566</v>
      </c>
      <c r="D70" s="15">
        <f t="shared" si="58"/>
        <v>0.59382904000000003</v>
      </c>
      <c r="E70" s="189">
        <f t="shared" si="59"/>
        <v>0.59724639000000002</v>
      </c>
      <c r="F70" s="189">
        <v>1.8265170000000001E-2</v>
      </c>
      <c r="G70" s="189">
        <v>-2.168252E-2</v>
      </c>
      <c r="H70" s="190">
        <f t="shared" si="60"/>
        <v>0.61551156000000007</v>
      </c>
      <c r="I70" s="134" t="s">
        <v>501</v>
      </c>
      <c r="J70" s="11" t="s">
        <v>31</v>
      </c>
      <c r="K70" s="185">
        <f t="shared" si="61"/>
        <v>0.97032522021194845</v>
      </c>
      <c r="L70" s="185">
        <f t="shared" si="61"/>
        <v>2.9674779788051421E-2</v>
      </c>
      <c r="M70" s="185">
        <f t="shared" si="61"/>
        <v>-3.5226828233737802E-2</v>
      </c>
      <c r="AE70" s="318"/>
      <c r="AF70" s="15">
        <f>AF69-AG69</f>
        <v>7.7763181060264003E-3</v>
      </c>
      <c r="AG70" s="15">
        <f>AG69-AH69</f>
        <v>7.4000865783560743E-2</v>
      </c>
      <c r="AH70" s="15">
        <f t="shared" ref="AH70:AJ70" si="70">AH69-AI69</f>
        <v>3.7609559922869087E-4</v>
      </c>
      <c r="AI70" s="15">
        <f t="shared" si="70"/>
        <v>-4.3082966698309785E-4</v>
      </c>
      <c r="AJ70" s="15">
        <f t="shared" si="70"/>
        <v>1.8117550178167262E-2</v>
      </c>
      <c r="AM70" s="318"/>
      <c r="AN70" s="15">
        <f>AN69-AO69</f>
        <v>2.4376693799999998E-2</v>
      </c>
      <c r="AO70" s="15">
        <f t="shared" ref="AO70:AQ70" si="71">AO69-AP69</f>
        <v>1.2388999999999976E-4</v>
      </c>
      <c r="AP70" s="15">
        <f t="shared" si="71"/>
        <v>-1.4192000000000024E-4</v>
      </c>
      <c r="AQ70" s="15">
        <f t="shared" si="71"/>
        <v>5.968119E-3</v>
      </c>
    </row>
    <row r="71" spans="2:43" ht="30" x14ac:dyDescent="0.25">
      <c r="B71" s="134" t="s">
        <v>502</v>
      </c>
      <c r="C71" s="11" t="s">
        <v>563</v>
      </c>
      <c r="D71" s="15">
        <f t="shared" si="58"/>
        <v>0.65629475000000004</v>
      </c>
      <c r="E71" s="189">
        <f t="shared" si="59"/>
        <v>0.65924307000000004</v>
      </c>
      <c r="F71" s="189">
        <v>1.2747039999999999E-2</v>
      </c>
      <c r="G71" s="189">
        <v>-1.5695359999999998E-2</v>
      </c>
      <c r="H71" s="190">
        <f t="shared" si="60"/>
        <v>0.67199011000000008</v>
      </c>
      <c r="I71" s="134" t="s">
        <v>502</v>
      </c>
      <c r="J71" s="11" t="s">
        <v>31</v>
      </c>
      <c r="K71" s="185">
        <f t="shared" si="61"/>
        <v>0.98103091130314402</v>
      </c>
      <c r="L71" s="185">
        <f t="shared" si="61"/>
        <v>1.8969088696855967E-2</v>
      </c>
      <c r="M71" s="185">
        <f t="shared" si="61"/>
        <v>-2.335653422042178E-2</v>
      </c>
      <c r="AE71" s="134" t="s">
        <v>598</v>
      </c>
      <c r="AF71" s="193">
        <f>AF70/$AF69</f>
        <v>7.7887801542732379E-2</v>
      </c>
      <c r="AG71" s="193">
        <f t="shared" ref="AG71:AJ71" si="72">AG70/$AF69</f>
        <v>0.74119456914624138</v>
      </c>
      <c r="AH71" s="193">
        <f t="shared" si="72"/>
        <v>3.766983165351471E-3</v>
      </c>
      <c r="AI71" s="193">
        <f t="shared" si="72"/>
        <v>-4.315200991417246E-3</v>
      </c>
      <c r="AJ71" s="193">
        <f t="shared" si="72"/>
        <v>0.18146584713709196</v>
      </c>
      <c r="AM71" s="186" t="s">
        <v>598</v>
      </c>
      <c r="AN71" s="193">
        <f>AN70/$AN69</f>
        <v>0.80380085025042614</v>
      </c>
      <c r="AO71" s="193">
        <f t="shared" ref="AO71:AQ71" si="73">AO70/$AN69</f>
        <v>4.0851679130303187E-3</v>
      </c>
      <c r="AP71" s="193">
        <f t="shared" si="73"/>
        <v>-4.6796919058621758E-3</v>
      </c>
      <c r="AQ71" s="193">
        <f t="shared" si="73"/>
        <v>0.19679367374240569</v>
      </c>
    </row>
    <row r="72" spans="2:43" ht="18" x14ac:dyDescent="0.25">
      <c r="B72" s="134" t="s">
        <v>503</v>
      </c>
      <c r="C72" s="11" t="s">
        <v>566</v>
      </c>
      <c r="D72" s="15">
        <f t="shared" si="58"/>
        <v>215.17067003</v>
      </c>
      <c r="E72" s="189">
        <f t="shared" si="59"/>
        <v>215.17169264999998</v>
      </c>
      <c r="F72" s="189">
        <v>6.2622600000000004E-3</v>
      </c>
      <c r="G72" s="189">
        <v>-7.2848799999999997E-3</v>
      </c>
      <c r="H72" s="190">
        <f t="shared" si="60"/>
        <v>215.17795490999998</v>
      </c>
      <c r="I72" s="134" t="s">
        <v>503</v>
      </c>
      <c r="J72" s="11" t="s">
        <v>31</v>
      </c>
      <c r="K72" s="185">
        <f t="shared" si="61"/>
        <v>0.9999708972975293</v>
      </c>
      <c r="L72" s="185">
        <f t="shared" si="61"/>
        <v>2.9102702470702654E-5</v>
      </c>
      <c r="M72" s="185">
        <f t="shared" si="61"/>
        <v>-3.3855140983410513E-5</v>
      </c>
      <c r="AE72" s="318" t="str">
        <f>$B$36</f>
        <v>Global warming</v>
      </c>
      <c r="AF72" s="15">
        <f>D17</f>
        <v>257.90000001829998</v>
      </c>
      <c r="AG72" s="15">
        <f>AN72*Calculations!$C$47</f>
        <v>195.45306296536529</v>
      </c>
      <c r="AH72" s="15">
        <f>AO72*Calculations!$C$47</f>
        <v>125.94249978888681</v>
      </c>
      <c r="AI72" s="15">
        <f>AP72*Calculations!$C$47</f>
        <v>123.03159167603938</v>
      </c>
      <c r="AJ72" s="15">
        <f>AQ72*Calculations!$C$47</f>
        <v>124.33180261269618</v>
      </c>
      <c r="AM72" s="318" t="str">
        <f>$B$36</f>
        <v>Global warming</v>
      </c>
      <c r="AN72" s="15">
        <f>D36</f>
        <v>64.384374665482099</v>
      </c>
      <c r="AO72" s="15">
        <f>D55</f>
        <v>41.48683561</v>
      </c>
      <c r="AP72" s="15">
        <f>D74</f>
        <v>40.527950670000003</v>
      </c>
      <c r="AQ72" s="15">
        <f>D93</f>
        <v>40.956254360000003</v>
      </c>
    </row>
    <row r="73" spans="2:43" ht="18" x14ac:dyDescent="0.25">
      <c r="B73" s="134" t="s">
        <v>504</v>
      </c>
      <c r="C73" s="11" t="s">
        <v>567</v>
      </c>
      <c r="D73" s="15">
        <f t="shared" si="58"/>
        <v>5.8261989999999998E-3</v>
      </c>
      <c r="E73" s="189">
        <f t="shared" si="59"/>
        <v>5.968119E-3</v>
      </c>
      <c r="F73" s="189">
        <v>1.1813E-4</v>
      </c>
      <c r="G73" s="189">
        <v>-2.6005000000000001E-4</v>
      </c>
      <c r="H73" s="190">
        <f t="shared" si="60"/>
        <v>6.0862490000000002E-3</v>
      </c>
      <c r="I73" s="134" t="s">
        <v>504</v>
      </c>
      <c r="J73" s="11" t="s">
        <v>31</v>
      </c>
      <c r="K73" s="185">
        <f t="shared" si="61"/>
        <v>0.98059067251438448</v>
      </c>
      <c r="L73" s="185">
        <f t="shared" si="61"/>
        <v>1.9409327485615524E-2</v>
      </c>
      <c r="M73" s="185">
        <f t="shared" si="61"/>
        <v>-4.2727466457583317E-2</v>
      </c>
      <c r="AE73" s="318"/>
      <c r="AF73" s="15">
        <f>AF72-AG72</f>
        <v>62.446937052934686</v>
      </c>
      <c r="AG73" s="15">
        <f>AG72-AH72</f>
        <v>69.510563176478485</v>
      </c>
      <c r="AH73" s="15">
        <f t="shared" ref="AH73:AJ73" si="74">AH72-AI72</f>
        <v>2.910908112847423</v>
      </c>
      <c r="AI73" s="15">
        <f t="shared" si="74"/>
        <v>-1.3002109366567964</v>
      </c>
      <c r="AJ73" s="15">
        <f t="shared" si="74"/>
        <v>124.33180261269618</v>
      </c>
      <c r="AM73" s="318"/>
      <c r="AN73" s="15">
        <f>AN72-AO72</f>
        <v>22.897539055482099</v>
      </c>
      <c r="AO73" s="15">
        <f t="shared" ref="AO73:AQ73" si="75">AO72-AP72</f>
        <v>0.95888493999999724</v>
      </c>
      <c r="AP73" s="15">
        <f t="shared" si="75"/>
        <v>-0.4283036899999999</v>
      </c>
      <c r="AQ73" s="15">
        <f t="shared" si="75"/>
        <v>40.956254360000003</v>
      </c>
    </row>
    <row r="74" spans="2:43" ht="30" x14ac:dyDescent="0.25">
      <c r="B74" s="176" t="s">
        <v>505</v>
      </c>
      <c r="C74" s="165" t="s">
        <v>578</v>
      </c>
      <c r="D74" s="195">
        <f t="shared" si="58"/>
        <v>40.527950670000003</v>
      </c>
      <c r="E74" s="196">
        <f t="shared" si="59"/>
        <v>40.956254360000003</v>
      </c>
      <c r="F74" s="196">
        <v>0.91427661999999998</v>
      </c>
      <c r="G74" s="196">
        <v>-1.34258031</v>
      </c>
      <c r="H74" s="190">
        <f t="shared" si="60"/>
        <v>41.870530980000005</v>
      </c>
      <c r="I74" s="134" t="s">
        <v>505</v>
      </c>
      <c r="J74" s="11" t="s">
        <v>31</v>
      </c>
      <c r="K74" s="185">
        <f t="shared" si="61"/>
        <v>0.97816419809825872</v>
      </c>
      <c r="L74" s="185">
        <f t="shared" si="61"/>
        <v>2.183580190174125E-2</v>
      </c>
      <c r="M74" s="185">
        <f t="shared" si="61"/>
        <v>-3.2065041416391417E-2</v>
      </c>
      <c r="AE74" s="134" t="s">
        <v>598</v>
      </c>
      <c r="AF74" s="193">
        <f>AF73/$AF72</f>
        <v>0.24213624291781155</v>
      </c>
      <c r="AG74" s="193">
        <f t="shared" ref="AG74:AJ74" si="76">AG73/$AF72</f>
        <v>0.26952525463957416</v>
      </c>
      <c r="AH74" s="193">
        <f t="shared" si="76"/>
        <v>1.1286964376273252E-2</v>
      </c>
      <c r="AI74" s="193">
        <f t="shared" si="76"/>
        <v>-5.0415313554266639E-3</v>
      </c>
      <c r="AJ74" s="193">
        <f t="shared" si="76"/>
        <v>0.48209306942176772</v>
      </c>
      <c r="AM74" s="186" t="s">
        <v>598</v>
      </c>
      <c r="AN74" s="193">
        <f>AN73/$AN72</f>
        <v>0.35563813696179269</v>
      </c>
      <c r="AO74" s="193">
        <f t="shared" ref="AO74:AQ74" si="77">AO73/$AN72</f>
        <v>1.4893131213621569E-2</v>
      </c>
      <c r="AP74" s="193">
        <f t="shared" si="77"/>
        <v>-6.6522924579963819E-3</v>
      </c>
      <c r="AQ74" s="193">
        <f t="shared" si="77"/>
        <v>0.6361210242825821</v>
      </c>
    </row>
    <row r="75" spans="2:43" x14ac:dyDescent="0.25">
      <c r="B75" s="134" t="s">
        <v>506</v>
      </c>
      <c r="C75" s="11" t="s">
        <v>517</v>
      </c>
      <c r="D75" s="15">
        <f t="shared" si="58"/>
        <v>790.99246847000006</v>
      </c>
      <c r="E75" s="189">
        <f t="shared" si="59"/>
        <v>789.98907107000002</v>
      </c>
      <c r="F75" s="189">
        <v>18.619054299999998</v>
      </c>
      <c r="G75" s="189">
        <v>-17.615656900000001</v>
      </c>
      <c r="H75" s="190">
        <f t="shared" si="60"/>
        <v>808.60812537000004</v>
      </c>
      <c r="I75" s="134" t="s">
        <v>506</v>
      </c>
      <c r="J75" s="11" t="s">
        <v>31</v>
      </c>
      <c r="K75" s="185">
        <f t="shared" si="61"/>
        <v>0.97697394607371724</v>
      </c>
      <c r="L75" s="185">
        <f t="shared" si="61"/>
        <v>2.3026053926282718E-2</v>
      </c>
      <c r="M75" s="185">
        <f t="shared" si="61"/>
        <v>-2.1785159395893396E-2</v>
      </c>
      <c r="AE75" s="318" t="str">
        <f>$B$37</f>
        <v>Non-renewable energy</v>
      </c>
      <c r="AF75" s="15">
        <f>D18</f>
        <v>4451.57</v>
      </c>
      <c r="AG75" s="15">
        <f>AN75*Calculations!$C$47</f>
        <v>3418.0613267918525</v>
      </c>
      <c r="AH75" s="15">
        <f>AO75*Calculations!$C$47</f>
        <v>2460.513284538973</v>
      </c>
      <c r="AI75" s="15">
        <f>AP75*Calculations!$C$47</f>
        <v>2401.2332425103473</v>
      </c>
      <c r="AJ75" s="15">
        <f>AQ75*Calculations!$C$47</f>
        <v>2398.1872069431706</v>
      </c>
      <c r="AM75" s="318" t="str">
        <f>$B$37</f>
        <v>Non-renewable energy</v>
      </c>
      <c r="AN75" s="15">
        <f>D37</f>
        <v>1125.9467503599999</v>
      </c>
      <c r="AO75" s="15">
        <f>D56</f>
        <v>810.51996207000002</v>
      </c>
      <c r="AP75" s="15">
        <f>D75</f>
        <v>790.99246847000006</v>
      </c>
      <c r="AQ75" s="15">
        <f>D94</f>
        <v>789.98907107000002</v>
      </c>
    </row>
    <row r="76" spans="2:43" x14ac:dyDescent="0.25">
      <c r="B76" s="134" t="s">
        <v>507</v>
      </c>
      <c r="C76" s="11" t="s">
        <v>518</v>
      </c>
      <c r="D76" s="15">
        <f t="shared" si="58"/>
        <v>0.91449432999999991</v>
      </c>
      <c r="E76" s="189">
        <f t="shared" si="59"/>
        <v>0.91685430999999995</v>
      </c>
      <c r="F76" s="189">
        <v>1.0387230000000001E-2</v>
      </c>
      <c r="G76" s="189">
        <v>-1.274721E-2</v>
      </c>
      <c r="H76" s="190">
        <f t="shared" si="60"/>
        <v>0.92724153999999992</v>
      </c>
      <c r="I76" s="134" t="s">
        <v>507</v>
      </c>
      <c r="J76" s="11" t="s">
        <v>31</v>
      </c>
      <c r="K76" s="185">
        <f t="shared" si="61"/>
        <v>0.9887977085237144</v>
      </c>
      <c r="L76" s="185">
        <f t="shared" si="61"/>
        <v>1.1202291476285674E-2</v>
      </c>
      <c r="M76" s="185">
        <f t="shared" si="61"/>
        <v>-1.3747453549158293E-2</v>
      </c>
      <c r="AE76" s="318"/>
      <c r="AF76" s="15">
        <f>AF75-AG75</f>
        <v>1033.5086732081472</v>
      </c>
      <c r="AG76" s="15">
        <f>AG75-AH75</f>
        <v>957.54804225287944</v>
      </c>
      <c r="AH76" s="15">
        <f t="shared" ref="AH76:AJ76" si="78">AH75-AI75</f>
        <v>59.280042028625758</v>
      </c>
      <c r="AI76" s="15">
        <f t="shared" si="78"/>
        <v>3.0460355671766592</v>
      </c>
      <c r="AJ76" s="15">
        <f t="shared" si="78"/>
        <v>2398.1872069431706</v>
      </c>
      <c r="AM76" s="318"/>
      <c r="AN76" s="15">
        <f>AN75-AO75</f>
        <v>315.42678828999988</v>
      </c>
      <c r="AO76" s="15">
        <f t="shared" ref="AO76:AQ76" si="79">AO75-AP75</f>
        <v>19.527493599999957</v>
      </c>
      <c r="AP76" s="15">
        <f t="shared" si="79"/>
        <v>1.0033974000000399</v>
      </c>
      <c r="AQ76" s="15">
        <f t="shared" si="79"/>
        <v>789.98907107000002</v>
      </c>
    </row>
    <row r="77" spans="2:43" ht="30" x14ac:dyDescent="0.25">
      <c r="AE77" s="134" t="s">
        <v>598</v>
      </c>
      <c r="AF77" s="193">
        <f>AF76/$AF75</f>
        <v>0.23216722936135953</v>
      </c>
      <c r="AG77" s="193">
        <f t="shared" ref="AG77:AJ77" si="80">AG76/$AF75</f>
        <v>0.21510344490884778</v>
      </c>
      <c r="AH77" s="193">
        <f t="shared" si="80"/>
        <v>1.331665952206205E-2</v>
      </c>
      <c r="AI77" s="193">
        <f t="shared" si="80"/>
        <v>6.8426096122865853E-4</v>
      </c>
      <c r="AJ77" s="193">
        <f t="shared" si="80"/>
        <v>0.53872840524650201</v>
      </c>
      <c r="AM77" s="186" t="s">
        <v>598</v>
      </c>
      <c r="AN77" s="193">
        <f>AN76/$AN75</f>
        <v>0.28014361086716422</v>
      </c>
      <c r="AO77" s="193">
        <f t="shared" ref="AO77:AQ77" si="81">AO76/$AN75</f>
        <v>1.7343176836521278E-2</v>
      </c>
      <c r="AP77" s="193">
        <f t="shared" si="81"/>
        <v>8.9115884004214475E-4</v>
      </c>
      <c r="AQ77" s="193">
        <f t="shared" si="81"/>
        <v>0.70162205345627238</v>
      </c>
    </row>
    <row r="78" spans="2:43" x14ac:dyDescent="0.25">
      <c r="B78" s="319" t="s">
        <v>682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AE78" s="318" t="str">
        <f>$B$38</f>
        <v>Mineral extraction</v>
      </c>
      <c r="AF78" s="15">
        <f>D19</f>
        <v>9.1829999999999998</v>
      </c>
      <c r="AG78" s="15">
        <f>AN78*Calculations!$C$47</f>
        <v>7.8126902257780353</v>
      </c>
      <c r="AH78" s="15">
        <f>AO78*Calculations!$C$47</f>
        <v>2.8092218078412827</v>
      </c>
      <c r="AI78" s="15">
        <f>AP78*Calculations!$C$47</f>
        <v>2.7761505612445814</v>
      </c>
      <c r="AJ78" s="15">
        <f>AQ78*Calculations!$C$47</f>
        <v>2.7833148044624982</v>
      </c>
      <c r="AM78" s="318" t="str">
        <f>$B$38</f>
        <v>Mineral extraction</v>
      </c>
      <c r="AN78" s="15">
        <f>D38</f>
        <v>2.5735855299999999</v>
      </c>
      <c r="AO78" s="15">
        <f>D57</f>
        <v>0.92538835999999991</v>
      </c>
      <c r="AP78" s="15">
        <f>D76</f>
        <v>0.91449432999999991</v>
      </c>
      <c r="AQ78" s="15">
        <f>D95</f>
        <v>0.91685430999999995</v>
      </c>
    </row>
    <row r="79" spans="2:43" x14ac:dyDescent="0.25">
      <c r="AE79" s="318"/>
      <c r="AF79" s="15">
        <f>AF78-AG78</f>
        <v>1.3703097742219645</v>
      </c>
      <c r="AG79" s="15">
        <f>AG78-AH78</f>
        <v>5.0034684179367526</v>
      </c>
      <c r="AH79" s="15">
        <f t="shared" ref="AH79:AJ79" si="82">AH78-AI78</f>
        <v>3.3071246596701354E-2</v>
      </c>
      <c r="AI79" s="15">
        <f t="shared" si="82"/>
        <v>-7.1642432179168658E-3</v>
      </c>
      <c r="AJ79" s="15">
        <f t="shared" si="82"/>
        <v>2.7833148044624982</v>
      </c>
      <c r="AM79" s="318"/>
      <c r="AN79" s="15">
        <f>AN78-AO78</f>
        <v>1.64819717</v>
      </c>
      <c r="AO79" s="15">
        <f t="shared" ref="AO79:AQ79" si="83">AO78-AP78</f>
        <v>1.0894029999999999E-2</v>
      </c>
      <c r="AP79" s="15">
        <f t="shared" si="83"/>
        <v>-2.3599800000000393E-3</v>
      </c>
      <c r="AQ79" s="15">
        <f t="shared" si="83"/>
        <v>0.91685430999999995</v>
      </c>
    </row>
    <row r="80" spans="2:43" ht="32.450000000000003" customHeight="1" x14ac:dyDescent="0.25">
      <c r="B80" s="167" t="s">
        <v>569</v>
      </c>
      <c r="C80" s="167" t="s">
        <v>365</v>
      </c>
      <c r="D80" s="167" t="s">
        <v>223</v>
      </c>
      <c r="E80" s="167" t="s">
        <v>597</v>
      </c>
      <c r="F80" s="167" t="s">
        <v>575</v>
      </c>
      <c r="G80" s="167" t="s">
        <v>577</v>
      </c>
      <c r="H80" s="167" t="s">
        <v>217</v>
      </c>
      <c r="I80" s="167" t="s">
        <v>576</v>
      </c>
      <c r="J80" s="167" t="s">
        <v>572</v>
      </c>
      <c r="L80" s="133" t="s">
        <v>569</v>
      </c>
      <c r="M80" s="133" t="s">
        <v>365</v>
      </c>
      <c r="N80" s="167" t="s">
        <v>597</v>
      </c>
      <c r="O80" s="167" t="s">
        <v>575</v>
      </c>
      <c r="P80" s="167" t="s">
        <v>577</v>
      </c>
      <c r="Q80" s="167" t="s">
        <v>217</v>
      </c>
      <c r="R80" s="167" t="s">
        <v>576</v>
      </c>
      <c r="S80" s="167" t="s">
        <v>572</v>
      </c>
      <c r="AE80" s="134" t="s">
        <v>598</v>
      </c>
      <c r="AF80" s="193">
        <f>AF79/$AF78</f>
        <v>0.14922245172840734</v>
      </c>
      <c r="AG80" s="193">
        <f t="shared" ref="AG80:AJ80" si="84">AG79/$AF78</f>
        <v>0.54486207317181234</v>
      </c>
      <c r="AH80" s="193">
        <f t="shared" si="84"/>
        <v>3.6013553954809272E-3</v>
      </c>
      <c r="AI80" s="193">
        <f t="shared" si="84"/>
        <v>-7.8016369573307917E-4</v>
      </c>
      <c r="AJ80" s="193">
        <f t="shared" si="84"/>
        <v>0.30309428340003247</v>
      </c>
      <c r="AM80" s="186" t="s">
        <v>598</v>
      </c>
      <c r="AN80" s="193">
        <f>AN79/$AN78</f>
        <v>0.64042836376998125</v>
      </c>
      <c r="AO80" s="193">
        <f t="shared" ref="AO80:AQ80" si="85">AO79/$AN78</f>
        <v>4.233016495084195E-3</v>
      </c>
      <c r="AP80" s="193">
        <f t="shared" si="85"/>
        <v>-9.1700080393288474E-4</v>
      </c>
      <c r="AQ80" s="193">
        <f t="shared" si="85"/>
        <v>0.35625562053886739</v>
      </c>
    </row>
    <row r="81" spans="2:19" ht="18" x14ac:dyDescent="0.25">
      <c r="B81" s="134" t="s">
        <v>495</v>
      </c>
      <c r="C81" s="11" t="s">
        <v>564</v>
      </c>
      <c r="D81" s="15">
        <f t="shared" ref="D81:D92" si="86">SUM(F81:J81)</f>
        <v>1.0012520600000001</v>
      </c>
      <c r="E81" s="189">
        <v>0</v>
      </c>
      <c r="F81" s="189">
        <v>6.9699999999999998E-2</v>
      </c>
      <c r="G81" s="189">
        <v>0.55100000000000005</v>
      </c>
      <c r="H81" s="189">
        <v>0.21027225999999999</v>
      </c>
      <c r="I81" s="189">
        <v>1.9946129999999999E-2</v>
      </c>
      <c r="J81" s="189">
        <v>0.15033367</v>
      </c>
      <c r="L81" s="134" t="s">
        <v>495</v>
      </c>
      <c r="M81" s="11" t="s">
        <v>31</v>
      </c>
      <c r="N81" s="185">
        <f t="shared" ref="N81:S95" si="87">E81/$D81</f>
        <v>0</v>
      </c>
      <c r="O81" s="185">
        <f t="shared" si="87"/>
        <v>6.9612840546864882E-2</v>
      </c>
      <c r="P81" s="185">
        <f t="shared" si="87"/>
        <v>0.55031097763733938</v>
      </c>
      <c r="Q81" s="185">
        <f t="shared" si="87"/>
        <v>0.21000931573613937</v>
      </c>
      <c r="R81" s="185">
        <f t="shared" si="87"/>
        <v>1.9921187478006284E-2</v>
      </c>
      <c r="S81" s="185">
        <f t="shared" si="87"/>
        <v>0.15014567860165001</v>
      </c>
    </row>
    <row r="82" spans="2:19" ht="18" x14ac:dyDescent="0.25">
      <c r="B82" s="134" t="s">
        <v>496</v>
      </c>
      <c r="C82" s="11" t="s">
        <v>564</v>
      </c>
      <c r="D82" s="15">
        <f t="shared" si="86"/>
        <v>0.50545110000000004</v>
      </c>
      <c r="E82" s="189">
        <v>0</v>
      </c>
      <c r="F82" s="189">
        <v>0.157</v>
      </c>
      <c r="G82" s="189">
        <v>0.122</v>
      </c>
      <c r="H82" s="189">
        <v>0.10253900000000001</v>
      </c>
      <c r="I82" s="189">
        <v>6.7178489999999993E-2</v>
      </c>
      <c r="J82" s="189">
        <v>5.6733609999999997E-2</v>
      </c>
      <c r="L82" s="134" t="s">
        <v>496</v>
      </c>
      <c r="M82" s="11" t="s">
        <v>31</v>
      </c>
      <c r="N82" s="185">
        <f t="shared" si="87"/>
        <v>0</v>
      </c>
      <c r="O82" s="185">
        <f t="shared" si="87"/>
        <v>0.31061362810368792</v>
      </c>
      <c r="P82" s="185">
        <f t="shared" si="87"/>
        <v>0.24136855177484032</v>
      </c>
      <c r="Q82" s="185">
        <f t="shared" si="87"/>
        <v>0.20286631090524879</v>
      </c>
      <c r="R82" s="185">
        <f t="shared" si="87"/>
        <v>0.13290799050590649</v>
      </c>
      <c r="S82" s="185">
        <f t="shared" si="87"/>
        <v>0.11224351871031638</v>
      </c>
    </row>
    <row r="83" spans="2:19" x14ac:dyDescent="0.25">
      <c r="B83" s="134" t="s">
        <v>497</v>
      </c>
      <c r="C83" s="11" t="s">
        <v>512</v>
      </c>
      <c r="D83" s="15">
        <f t="shared" si="86"/>
        <v>3.9377500000000003E-2</v>
      </c>
      <c r="E83" s="189">
        <v>0</v>
      </c>
      <c r="F83" s="189">
        <v>5.5100000000000001E-3</v>
      </c>
      <c r="G83" s="189">
        <v>1.61E-2</v>
      </c>
      <c r="H83" s="189">
        <v>4.2387400000000004E-3</v>
      </c>
      <c r="I83" s="189">
        <v>8.4197999999999999E-4</v>
      </c>
      <c r="J83" s="189">
        <v>1.268678E-2</v>
      </c>
      <c r="L83" s="134" t="s">
        <v>497</v>
      </c>
      <c r="M83" s="11" t="s">
        <v>31</v>
      </c>
      <c r="N83" s="185">
        <f t="shared" si="87"/>
        <v>0</v>
      </c>
      <c r="O83" s="185">
        <f t="shared" si="87"/>
        <v>0.13992762364294331</v>
      </c>
      <c r="P83" s="185">
        <f t="shared" si="87"/>
        <v>0.40886292933781976</v>
      </c>
      <c r="Q83" s="185">
        <f t="shared" si="87"/>
        <v>0.10764370516157705</v>
      </c>
      <c r="R83" s="185">
        <f t="shared" si="87"/>
        <v>2.1382261443717857E-2</v>
      </c>
      <c r="S83" s="185">
        <f t="shared" si="87"/>
        <v>0.32218348041394196</v>
      </c>
    </row>
    <row r="84" spans="2:19" x14ac:dyDescent="0.25">
      <c r="B84" s="134" t="s">
        <v>561</v>
      </c>
      <c r="C84" s="11" t="s">
        <v>513</v>
      </c>
      <c r="D84" s="15">
        <f t="shared" si="86"/>
        <v>876.70291100999998</v>
      </c>
      <c r="E84" s="189">
        <v>0</v>
      </c>
      <c r="F84" s="189">
        <v>73.7</v>
      </c>
      <c r="G84" s="189">
        <v>228</v>
      </c>
      <c r="H84" s="189">
        <v>116.967382</v>
      </c>
      <c r="I84" s="189">
        <v>4.9685110100000003</v>
      </c>
      <c r="J84" s="189">
        <v>453.06701800000002</v>
      </c>
      <c r="L84" s="134" t="s">
        <v>561</v>
      </c>
      <c r="M84" s="11" t="s">
        <v>31</v>
      </c>
      <c r="N84" s="185">
        <f t="shared" si="87"/>
        <v>0</v>
      </c>
      <c r="O84" s="185">
        <f t="shared" si="87"/>
        <v>8.4064965536722575E-2</v>
      </c>
      <c r="P84" s="185">
        <f t="shared" si="87"/>
        <v>0.26006529365498976</v>
      </c>
      <c r="Q84" s="185">
        <f t="shared" si="87"/>
        <v>0.13341735328019896</v>
      </c>
      <c r="R84" s="185">
        <f t="shared" si="87"/>
        <v>5.6672687493144729E-3</v>
      </c>
      <c r="S84" s="185">
        <f t="shared" si="87"/>
        <v>0.51678511877877431</v>
      </c>
    </row>
    <row r="85" spans="2:19" x14ac:dyDescent="0.25">
      <c r="B85" s="134" t="s">
        <v>498</v>
      </c>
      <c r="C85" s="11" t="s">
        <v>514</v>
      </c>
      <c r="D85" s="15">
        <f t="shared" si="86"/>
        <v>5.3050239999999998E-6</v>
      </c>
      <c r="E85" s="189">
        <v>0</v>
      </c>
      <c r="F85" s="189">
        <v>1.6199999999999999E-6</v>
      </c>
      <c r="G85" s="189">
        <v>1.9400000000000001E-6</v>
      </c>
      <c r="H85" s="189">
        <v>3.6693000000000002E-7</v>
      </c>
      <c r="I85" s="189">
        <v>3.4294000000000003E-8</v>
      </c>
      <c r="J85" s="189">
        <v>1.3437999999999999E-6</v>
      </c>
      <c r="L85" s="134" t="s">
        <v>498</v>
      </c>
      <c r="M85" s="11" t="s">
        <v>31</v>
      </c>
      <c r="N85" s="185">
        <f t="shared" si="87"/>
        <v>0</v>
      </c>
      <c r="O85" s="185">
        <f t="shared" si="87"/>
        <v>0.30537090878382456</v>
      </c>
      <c r="P85" s="185">
        <f t="shared" si="87"/>
        <v>0.36569108829667879</v>
      </c>
      <c r="Q85" s="185">
        <f t="shared" si="87"/>
        <v>6.916651083953626E-2</v>
      </c>
      <c r="R85" s="185">
        <f t="shared" si="87"/>
        <v>6.4644382381681973E-3</v>
      </c>
      <c r="S85" s="185">
        <f t="shared" si="87"/>
        <v>0.25330705384179225</v>
      </c>
    </row>
    <row r="86" spans="2:19" ht="18" x14ac:dyDescent="0.25">
      <c r="B86" s="134" t="s">
        <v>499</v>
      </c>
      <c r="C86" s="11" t="s">
        <v>565</v>
      </c>
      <c r="D86" s="15">
        <f t="shared" si="86"/>
        <v>1.2470059999999998E-2</v>
      </c>
      <c r="E86" s="189">
        <v>0</v>
      </c>
      <c r="F86" s="189">
        <v>4.0299999999999997E-3</v>
      </c>
      <c r="G86" s="189">
        <v>5.7999999999999996E-3</v>
      </c>
      <c r="H86" s="189">
        <v>1.34566E-3</v>
      </c>
      <c r="I86" s="189">
        <v>1.3613000000000001E-4</v>
      </c>
      <c r="J86" s="189">
        <v>1.1582700000000001E-3</v>
      </c>
      <c r="L86" s="134" t="s">
        <v>499</v>
      </c>
      <c r="M86" s="11" t="s">
        <v>31</v>
      </c>
      <c r="N86" s="185">
        <f t="shared" si="87"/>
        <v>0</v>
      </c>
      <c r="O86" s="185">
        <f t="shared" si="87"/>
        <v>0.32317406652413866</v>
      </c>
      <c r="P86" s="185">
        <f t="shared" si="87"/>
        <v>0.46511404115136579</v>
      </c>
      <c r="Q86" s="185">
        <f t="shared" si="87"/>
        <v>0.10791126907168051</v>
      </c>
      <c r="R86" s="185">
        <f t="shared" si="87"/>
        <v>1.09165473141268E-2</v>
      </c>
      <c r="S86" s="185">
        <f t="shared" si="87"/>
        <v>9.2884075938688374E-2</v>
      </c>
    </row>
    <row r="87" spans="2:19" x14ac:dyDescent="0.25">
      <c r="B87" s="134" t="s">
        <v>500</v>
      </c>
      <c r="C87" s="11" t="s">
        <v>515</v>
      </c>
      <c r="D87" s="15">
        <f t="shared" si="86"/>
        <v>4656.9434075000008</v>
      </c>
      <c r="E87" s="189">
        <v>0</v>
      </c>
      <c r="F87" s="189">
        <v>774</v>
      </c>
      <c r="G87" s="189">
        <v>3090</v>
      </c>
      <c r="H87" s="189">
        <v>237.652613</v>
      </c>
      <c r="I87" s="189">
        <v>28.955092499999999</v>
      </c>
      <c r="J87" s="189">
        <v>526.33570199999997</v>
      </c>
      <c r="L87" s="134" t="s">
        <v>500</v>
      </c>
      <c r="M87" s="11" t="s">
        <v>31</v>
      </c>
      <c r="N87" s="185">
        <f t="shared" si="87"/>
        <v>0</v>
      </c>
      <c r="O87" s="185">
        <f t="shared" si="87"/>
        <v>0.1662034369482511</v>
      </c>
      <c r="P87" s="185">
        <f t="shared" si="87"/>
        <v>0.66352534905697147</v>
      </c>
      <c r="Q87" s="185">
        <f t="shared" si="87"/>
        <v>5.1031887700688137E-2</v>
      </c>
      <c r="R87" s="185">
        <f t="shared" si="87"/>
        <v>6.2176174297862118E-3</v>
      </c>
      <c r="S87" s="185">
        <f t="shared" si="87"/>
        <v>0.11302170886430293</v>
      </c>
    </row>
    <row r="88" spans="2:19" x14ac:dyDescent="0.25">
      <c r="B88" s="134" t="s">
        <v>562</v>
      </c>
      <c r="C88" s="11" t="s">
        <v>516</v>
      </c>
      <c r="D88" s="15">
        <f t="shared" si="86"/>
        <v>1020.5531719000001</v>
      </c>
      <c r="E88" s="189">
        <v>0</v>
      </c>
      <c r="F88" s="189">
        <v>574</v>
      </c>
      <c r="G88" s="189">
        <v>238</v>
      </c>
      <c r="H88" s="189">
        <v>72.520386299999998</v>
      </c>
      <c r="I88" s="189">
        <v>10.229657599999999</v>
      </c>
      <c r="J88" s="189">
        <v>125.803128</v>
      </c>
      <c r="L88" s="134" t="s">
        <v>562</v>
      </c>
      <c r="M88" s="11" t="s">
        <v>31</v>
      </c>
      <c r="N88" s="185">
        <f t="shared" si="87"/>
        <v>0</v>
      </c>
      <c r="O88" s="185">
        <f t="shared" si="87"/>
        <v>0.56244007250632888</v>
      </c>
      <c r="P88" s="185">
        <f t="shared" si="87"/>
        <v>0.23320685933189247</v>
      </c>
      <c r="Q88" s="185">
        <f t="shared" si="87"/>
        <v>7.105988036369161E-2</v>
      </c>
      <c r="R88" s="185">
        <f t="shared" si="87"/>
        <v>1.0023640003935397E-2</v>
      </c>
      <c r="S88" s="185">
        <f t="shared" si="87"/>
        <v>0.12326954779415153</v>
      </c>
    </row>
    <row r="89" spans="2:19" ht="18" x14ac:dyDescent="0.25">
      <c r="B89" s="134" t="s">
        <v>501</v>
      </c>
      <c r="C89" s="11" t="s">
        <v>566</v>
      </c>
      <c r="D89" s="15">
        <f t="shared" si="86"/>
        <v>0.59724639000000002</v>
      </c>
      <c r="E89" s="189">
        <v>0</v>
      </c>
      <c r="F89" s="189">
        <v>7.7399999999999997E-2</v>
      </c>
      <c r="G89" s="189">
        <v>0.253</v>
      </c>
      <c r="H89" s="189">
        <v>5.6835259999999999E-2</v>
      </c>
      <c r="I89" s="189">
        <v>1.2220679999999999E-2</v>
      </c>
      <c r="J89" s="189">
        <v>0.19779045000000001</v>
      </c>
      <c r="L89" s="134" t="s">
        <v>501</v>
      </c>
      <c r="M89" s="11" t="s">
        <v>31</v>
      </c>
      <c r="N89" s="185">
        <f t="shared" si="87"/>
        <v>0</v>
      </c>
      <c r="O89" s="185">
        <f t="shared" si="87"/>
        <v>0.12959475569203524</v>
      </c>
      <c r="P89" s="185">
        <f t="shared" si="87"/>
        <v>0.42361076472977927</v>
      </c>
      <c r="Q89" s="185">
        <f t="shared" si="87"/>
        <v>9.5162165819034916E-2</v>
      </c>
      <c r="R89" s="185">
        <f t="shared" si="87"/>
        <v>2.046170593011035E-2</v>
      </c>
      <c r="S89" s="185">
        <f t="shared" si="87"/>
        <v>0.33117060782904023</v>
      </c>
    </row>
    <row r="90" spans="2:19" x14ac:dyDescent="0.25">
      <c r="B90" s="134" t="s">
        <v>502</v>
      </c>
      <c r="C90" s="11" t="s">
        <v>563</v>
      </c>
      <c r="D90" s="15">
        <f t="shared" si="86"/>
        <v>0.65924307000000004</v>
      </c>
      <c r="E90" s="189">
        <v>0</v>
      </c>
      <c r="F90" s="189">
        <v>0.32</v>
      </c>
      <c r="G90" s="189">
        <v>0.125</v>
      </c>
      <c r="H90" s="189">
        <v>7.0936570000000004E-2</v>
      </c>
      <c r="I90" s="189">
        <v>5.2709300000000001E-3</v>
      </c>
      <c r="J90" s="189">
        <v>0.13803557</v>
      </c>
      <c r="L90" s="134" t="s">
        <v>502</v>
      </c>
      <c r="M90" s="11" t="s">
        <v>31</v>
      </c>
      <c r="N90" s="185">
        <f t="shared" si="87"/>
        <v>0</v>
      </c>
      <c r="O90" s="185">
        <f t="shared" si="87"/>
        <v>0.48540517839649039</v>
      </c>
      <c r="P90" s="185">
        <f t="shared" si="87"/>
        <v>0.18961139781112904</v>
      </c>
      <c r="Q90" s="185">
        <f t="shared" si="87"/>
        <v>0.10760305754901603</v>
      </c>
      <c r="R90" s="185">
        <f t="shared" si="87"/>
        <v>7.9954272405169148E-3</v>
      </c>
      <c r="S90" s="185">
        <f t="shared" si="87"/>
        <v>0.2093849390028476</v>
      </c>
    </row>
    <row r="91" spans="2:19" ht="18" x14ac:dyDescent="0.25">
      <c r="B91" s="134" t="s">
        <v>503</v>
      </c>
      <c r="C91" s="11" t="s">
        <v>566</v>
      </c>
      <c r="D91" s="15">
        <f t="shared" si="86"/>
        <v>215.17169264999998</v>
      </c>
      <c r="E91" s="189">
        <v>0</v>
      </c>
      <c r="F91" s="189">
        <v>215</v>
      </c>
      <c r="G91" s="189">
        <v>8.1900000000000001E-2</v>
      </c>
      <c r="H91" s="189">
        <v>1.8493140000000002E-2</v>
      </c>
      <c r="I91" s="189">
        <v>3.4865999999999999E-3</v>
      </c>
      <c r="J91" s="189">
        <v>6.7812910000000004E-2</v>
      </c>
      <c r="L91" s="134" t="s">
        <v>503</v>
      </c>
      <c r="M91" s="11" t="s">
        <v>31</v>
      </c>
      <c r="N91" s="185">
        <f t="shared" si="87"/>
        <v>0</v>
      </c>
      <c r="O91" s="185">
        <f t="shared" si="87"/>
        <v>0.99920206674081768</v>
      </c>
      <c r="P91" s="185">
        <f t="shared" si="87"/>
        <v>3.8062627565615335E-4</v>
      </c>
      <c r="Q91" s="185">
        <f t="shared" si="87"/>
        <v>8.5945970737336222E-5</v>
      </c>
      <c r="R91" s="185">
        <f t="shared" si="87"/>
        <v>1.6203804306504815E-5</v>
      </c>
      <c r="S91" s="185">
        <f t="shared" si="87"/>
        <v>3.1515720848236775E-4</v>
      </c>
    </row>
    <row r="92" spans="2:19" ht="18" x14ac:dyDescent="0.25">
      <c r="B92" s="134" t="s">
        <v>504</v>
      </c>
      <c r="C92" s="11" t="s">
        <v>567</v>
      </c>
      <c r="D92" s="15">
        <f t="shared" si="86"/>
        <v>5.968119E-3</v>
      </c>
      <c r="E92" s="189">
        <v>0</v>
      </c>
      <c r="F92" s="189">
        <v>1.07E-3</v>
      </c>
      <c r="G92" s="189">
        <v>2.5699999999999998E-3</v>
      </c>
      <c r="H92" s="189">
        <v>9.6997000000000001E-4</v>
      </c>
      <c r="I92" s="189">
        <v>7.8949000000000006E-5</v>
      </c>
      <c r="J92" s="189">
        <v>1.2792000000000001E-3</v>
      </c>
      <c r="L92" s="134" t="s">
        <v>504</v>
      </c>
      <c r="M92" s="11" t="s">
        <v>31</v>
      </c>
      <c r="N92" s="185">
        <f t="shared" si="87"/>
        <v>0</v>
      </c>
      <c r="O92" s="185">
        <f t="shared" si="87"/>
        <v>0.17928596933137558</v>
      </c>
      <c r="P92" s="185">
        <f t="shared" si="87"/>
        <v>0.43062144035666844</v>
      </c>
      <c r="Q92" s="185">
        <f t="shared" si="87"/>
        <v>0.16252524455360223</v>
      </c>
      <c r="R92" s="185">
        <f t="shared" si="87"/>
        <v>1.3228456067983899E-2</v>
      </c>
      <c r="S92" s="185">
        <f t="shared" si="87"/>
        <v>0.21433888969036979</v>
      </c>
    </row>
    <row r="93" spans="2:19" ht="18" x14ac:dyDescent="0.25">
      <c r="B93" s="176" t="s">
        <v>505</v>
      </c>
      <c r="C93" s="165" t="s">
        <v>578</v>
      </c>
      <c r="D93" s="195">
        <f>SUM(F93:J93)</f>
        <v>40.956254360000003</v>
      </c>
      <c r="E93" s="196">
        <v>0</v>
      </c>
      <c r="F93" s="196">
        <v>8.73</v>
      </c>
      <c r="G93" s="196">
        <v>18.3</v>
      </c>
      <c r="H93" s="196">
        <v>3.57763404</v>
      </c>
      <c r="I93" s="196">
        <v>0.448073</v>
      </c>
      <c r="J93" s="196">
        <v>9.9005473199999994</v>
      </c>
      <c r="L93" s="134" t="s">
        <v>505</v>
      </c>
      <c r="M93" s="11" t="s">
        <v>31</v>
      </c>
      <c r="N93" s="185">
        <f t="shared" si="87"/>
        <v>0</v>
      </c>
      <c r="O93" s="185">
        <f t="shared" si="87"/>
        <v>0.21315425779087285</v>
      </c>
      <c r="P93" s="185">
        <f t="shared" si="87"/>
        <v>0.44681820361660629</v>
      </c>
      <c r="Q93" s="185">
        <f t="shared" si="87"/>
        <v>8.7352569122973858E-2</v>
      </c>
      <c r="R93" s="185">
        <f t="shared" si="87"/>
        <v>1.0940282674814407E-2</v>
      </c>
      <c r="S93" s="185">
        <f t="shared" si="87"/>
        <v>0.24173468679473253</v>
      </c>
    </row>
    <row r="94" spans="2:19" x14ac:dyDescent="0.25">
      <c r="B94" s="134" t="s">
        <v>506</v>
      </c>
      <c r="C94" s="11" t="s">
        <v>517</v>
      </c>
      <c r="D94" s="15">
        <f>SUM(F94:J94)</f>
        <v>789.98907107000002</v>
      </c>
      <c r="E94" s="189">
        <v>0</v>
      </c>
      <c r="F94" s="189">
        <v>143</v>
      </c>
      <c r="G94" s="189">
        <v>375</v>
      </c>
      <c r="H94" s="189">
        <v>63.604869700000002</v>
      </c>
      <c r="I94" s="189">
        <v>6.7616013700000002</v>
      </c>
      <c r="J94" s="189">
        <v>201.62260000000001</v>
      </c>
      <c r="L94" s="134" t="s">
        <v>506</v>
      </c>
      <c r="M94" s="11" t="s">
        <v>31</v>
      </c>
      <c r="N94" s="185">
        <f t="shared" si="87"/>
        <v>0</v>
      </c>
      <c r="O94" s="185">
        <f t="shared" si="87"/>
        <v>0.18101516240764415</v>
      </c>
      <c r="P94" s="185">
        <f t="shared" si="87"/>
        <v>0.47469011120885707</v>
      </c>
      <c r="Q94" s="185">
        <f t="shared" si="87"/>
        <v>8.0513607123514311E-2</v>
      </c>
      <c r="R94" s="185">
        <f t="shared" si="87"/>
        <v>8.5591074834006943E-3</v>
      </c>
      <c r="S94" s="185">
        <f t="shared" si="87"/>
        <v>0.25522201177658377</v>
      </c>
    </row>
    <row r="95" spans="2:19" x14ac:dyDescent="0.25">
      <c r="B95" s="134" t="s">
        <v>507</v>
      </c>
      <c r="C95" s="11" t="s">
        <v>518</v>
      </c>
      <c r="D95" s="15">
        <f>SUM(F95:J95)</f>
        <v>0.91685430999999995</v>
      </c>
      <c r="E95" s="189">
        <v>0</v>
      </c>
      <c r="F95" s="189">
        <v>0.17699999999999999</v>
      </c>
      <c r="G95" s="189">
        <v>0.45500000000000002</v>
      </c>
      <c r="H95" s="189">
        <v>0.14356000999999999</v>
      </c>
      <c r="I95" s="189">
        <v>2.8812709999999998E-2</v>
      </c>
      <c r="J95" s="189">
        <v>0.11248159000000001</v>
      </c>
      <c r="L95" s="134" t="s">
        <v>507</v>
      </c>
      <c r="M95" s="11" t="s">
        <v>31</v>
      </c>
      <c r="N95" s="185">
        <f t="shared" si="87"/>
        <v>0</v>
      </c>
      <c r="O95" s="185">
        <f t="shared" si="87"/>
        <v>0.19305139112014427</v>
      </c>
      <c r="P95" s="185">
        <f t="shared" si="87"/>
        <v>0.49626205061957995</v>
      </c>
      <c r="Q95" s="185">
        <f t="shared" si="87"/>
        <v>0.15657886802102725</v>
      </c>
      <c r="R95" s="185">
        <f t="shared" si="87"/>
        <v>3.1425614392323685E-2</v>
      </c>
      <c r="S95" s="185">
        <f t="shared" si="87"/>
        <v>0.12268207584692492</v>
      </c>
    </row>
    <row r="97" spans="2:30" s="160" customFormat="1" ht="15.75" thickBot="1" x14ac:dyDescent="0.3">
      <c r="AD97" s="212"/>
    </row>
    <row r="100" spans="2:30" x14ac:dyDescent="0.25">
      <c r="B100" s="319" t="s">
        <v>683</v>
      </c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2" spans="2:30" ht="27.95" customHeight="1" x14ac:dyDescent="0.25">
      <c r="B102" s="167" t="s">
        <v>569</v>
      </c>
      <c r="C102" s="167" t="s">
        <v>365</v>
      </c>
      <c r="D102" s="167" t="s">
        <v>596</v>
      </c>
      <c r="E102" s="167" t="s">
        <v>646</v>
      </c>
      <c r="F102" s="167" t="s">
        <v>492</v>
      </c>
      <c r="G102" s="167" t="s">
        <v>568</v>
      </c>
      <c r="H102" s="167" t="s">
        <v>573</v>
      </c>
      <c r="L102" s="167" t="s">
        <v>569</v>
      </c>
      <c r="M102" s="167" t="s">
        <v>365</v>
      </c>
      <c r="N102" s="167" t="s">
        <v>646</v>
      </c>
      <c r="O102" s="167" t="s">
        <v>492</v>
      </c>
      <c r="P102" s="167" t="s">
        <v>568</v>
      </c>
      <c r="Q102" s="167" t="s">
        <v>573</v>
      </c>
    </row>
    <row r="103" spans="2:30" x14ac:dyDescent="0.25">
      <c r="B103" s="134" t="s">
        <v>508</v>
      </c>
      <c r="C103" s="11" t="s">
        <v>579</v>
      </c>
      <c r="D103" s="15">
        <f>SUM(E103:J103)</f>
        <v>1.9250001870000001E-4</v>
      </c>
      <c r="E103" s="189">
        <v>0</v>
      </c>
      <c r="F103" s="189">
        <v>1.6000000000000001E-4</v>
      </c>
      <c r="G103" s="189">
        <v>1.8700000000000001E-11</v>
      </c>
      <c r="H103" s="189">
        <v>3.2499999999999997E-5</v>
      </c>
      <c r="K103" s="190"/>
      <c r="L103" s="134" t="s">
        <v>508</v>
      </c>
      <c r="M103" s="11" t="s">
        <v>31</v>
      </c>
      <c r="N103" s="185">
        <f>E103/$D103</f>
        <v>0</v>
      </c>
      <c r="O103" s="185">
        <f t="shared" ref="O103:Q106" si="88">F103/$D103</f>
        <v>0.831168750426724</v>
      </c>
      <c r="P103" s="185">
        <f t="shared" si="88"/>
        <v>9.7142847706123364E-8</v>
      </c>
      <c r="Q103" s="185">
        <f t="shared" si="88"/>
        <v>0.16883115243042829</v>
      </c>
    </row>
    <row r="104" spans="2:30" ht="17.25" x14ac:dyDescent="0.25">
      <c r="B104" s="134" t="s">
        <v>509</v>
      </c>
      <c r="C104" s="11" t="s">
        <v>580</v>
      </c>
      <c r="D104" s="15">
        <f t="shared" ref="D104:D106" si="89">SUM(E104:J104)</f>
        <v>83.700028700000004</v>
      </c>
      <c r="E104" s="189">
        <v>0</v>
      </c>
      <c r="F104" s="189">
        <v>47.6</v>
      </c>
      <c r="G104" s="189">
        <v>2.87E-5</v>
      </c>
      <c r="H104" s="189">
        <v>36.1</v>
      </c>
      <c r="K104" s="190"/>
      <c r="L104" s="134" t="s">
        <v>509</v>
      </c>
      <c r="M104" s="11" t="s">
        <v>31</v>
      </c>
      <c r="N104" s="185">
        <f t="shared" ref="N104:N106" si="90">E104/$D104</f>
        <v>0</v>
      </c>
      <c r="O104" s="185">
        <f t="shared" si="88"/>
        <v>0.56869753498662778</v>
      </c>
      <c r="P104" s="185">
        <f t="shared" si="88"/>
        <v>3.4289116080076086E-7</v>
      </c>
      <c r="Q104" s="185">
        <f t="shared" si="88"/>
        <v>0.43130212212221142</v>
      </c>
    </row>
    <row r="105" spans="2:30" s="203" customFormat="1" ht="18" x14ac:dyDescent="0.25">
      <c r="B105" s="176" t="s">
        <v>510</v>
      </c>
      <c r="C105" s="165" t="s">
        <v>578</v>
      </c>
      <c r="D105" s="195">
        <f t="shared" si="89"/>
        <v>257.89999999999998</v>
      </c>
      <c r="E105" s="196">
        <v>0</v>
      </c>
      <c r="F105" s="196">
        <v>195</v>
      </c>
      <c r="G105" s="196" t="s">
        <v>647</v>
      </c>
      <c r="H105" s="196">
        <v>62.9</v>
      </c>
      <c r="I105" s="139"/>
      <c r="J105" s="139"/>
      <c r="K105" s="190"/>
      <c r="L105" s="176" t="s">
        <v>510</v>
      </c>
      <c r="M105" s="165" t="s">
        <v>31</v>
      </c>
      <c r="N105" s="202">
        <f t="shared" si="90"/>
        <v>0</v>
      </c>
      <c r="O105" s="202">
        <f t="shared" si="88"/>
        <v>0.75610701822411797</v>
      </c>
      <c r="P105" s="202" t="e">
        <f t="shared" si="88"/>
        <v>#VALUE!</v>
      </c>
      <c r="Q105" s="202">
        <f t="shared" si="88"/>
        <v>0.24389298177588215</v>
      </c>
      <c r="R105" s="139"/>
      <c r="S105" s="139"/>
      <c r="AD105" s="213"/>
    </row>
    <row r="106" spans="2:30" x14ac:dyDescent="0.25">
      <c r="B106" s="134" t="s">
        <v>511</v>
      </c>
      <c r="C106" s="11" t="s">
        <v>517</v>
      </c>
      <c r="D106" s="15">
        <f t="shared" si="89"/>
        <v>4461.66</v>
      </c>
      <c r="E106" s="189">
        <v>0</v>
      </c>
      <c r="F106" s="189">
        <v>3430</v>
      </c>
      <c r="G106" s="189">
        <v>1.66</v>
      </c>
      <c r="H106" s="189">
        <v>1030</v>
      </c>
      <c r="K106" s="190"/>
      <c r="L106" s="134" t="s">
        <v>511</v>
      </c>
      <c r="M106" s="11" t="s">
        <v>31</v>
      </c>
      <c r="N106" s="185">
        <f t="shared" si="90"/>
        <v>0</v>
      </c>
      <c r="O106" s="185">
        <f t="shared" si="88"/>
        <v>0.76877216103423396</v>
      </c>
      <c r="P106" s="185">
        <f t="shared" si="88"/>
        <v>3.7205883012152429E-4</v>
      </c>
      <c r="Q106" s="185">
        <f t="shared" si="88"/>
        <v>0.23085578013564459</v>
      </c>
    </row>
    <row r="108" spans="2:30" ht="17.25" x14ac:dyDescent="0.25">
      <c r="B108" s="319" t="s">
        <v>679</v>
      </c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</row>
    <row r="110" spans="2:30" ht="27.95" customHeight="1" x14ac:dyDescent="0.25">
      <c r="B110" s="167" t="s">
        <v>569</v>
      </c>
      <c r="C110" s="167" t="s">
        <v>365</v>
      </c>
      <c r="D110" s="167" t="s">
        <v>223</v>
      </c>
      <c r="E110" s="167" t="s">
        <v>494</v>
      </c>
      <c r="F110" s="167" t="s">
        <v>230</v>
      </c>
      <c r="G110" s="167" t="s">
        <v>570</v>
      </c>
      <c r="H110" s="167" t="s">
        <v>341</v>
      </c>
      <c r="I110" s="167" t="s">
        <v>571</v>
      </c>
      <c r="J110" s="167" t="s">
        <v>572</v>
      </c>
      <c r="L110" s="133" t="s">
        <v>569</v>
      </c>
      <c r="M110" s="133" t="s">
        <v>365</v>
      </c>
      <c r="N110" s="167" t="s">
        <v>494</v>
      </c>
      <c r="O110" s="167" t="s">
        <v>230</v>
      </c>
      <c r="P110" s="167" t="s">
        <v>570</v>
      </c>
      <c r="Q110" s="167" t="s">
        <v>341</v>
      </c>
      <c r="R110" s="167" t="s">
        <v>571</v>
      </c>
      <c r="S110" s="167" t="s">
        <v>572</v>
      </c>
    </row>
    <row r="111" spans="2:30" x14ac:dyDescent="0.25">
      <c r="B111" s="134" t="s">
        <v>508</v>
      </c>
      <c r="C111" s="11" t="s">
        <v>579</v>
      </c>
      <c r="D111" s="15">
        <f>SUM(E111:J111)</f>
        <v>5.2648770585699987E-5</v>
      </c>
      <c r="E111" s="189">
        <f>D119</f>
        <v>3.1296949999999999E-5</v>
      </c>
      <c r="F111" s="189">
        <v>1.8919999999999998E-5</v>
      </c>
      <c r="G111" s="189">
        <v>3.0855000000000001E-8</v>
      </c>
      <c r="H111" s="189">
        <v>5.5857000000000003E-12</v>
      </c>
      <c r="I111" s="189">
        <v>7.3875999999999998E-7</v>
      </c>
      <c r="J111" s="189">
        <v>1.6621999999999999E-6</v>
      </c>
      <c r="L111" s="134" t="s">
        <v>508</v>
      </c>
      <c r="M111" s="11" t="s">
        <v>31</v>
      </c>
      <c r="N111" s="185">
        <f t="shared" ref="N111:S114" si="91">E111/$D111</f>
        <v>0.59444787887412909</v>
      </c>
      <c r="O111" s="185">
        <f t="shared" si="91"/>
        <v>0.35936261738918723</v>
      </c>
      <c r="P111" s="185">
        <f t="shared" si="91"/>
        <v>5.8605357080038971E-4</v>
      </c>
      <c r="Q111" s="185">
        <f t="shared" si="91"/>
        <v>1.0609364545194415E-7</v>
      </c>
      <c r="R111" s="185">
        <f t="shared" si="91"/>
        <v>1.4031856618521986E-2</v>
      </c>
      <c r="S111" s="185">
        <f t="shared" si="91"/>
        <v>3.1571487453716018E-2</v>
      </c>
    </row>
    <row r="112" spans="2:30" ht="17.25" x14ac:dyDescent="0.25">
      <c r="B112" s="134" t="s">
        <v>509</v>
      </c>
      <c r="C112" s="11" t="s">
        <v>580</v>
      </c>
      <c r="D112" s="15">
        <f>SUM(E112:J112)</f>
        <v>15.681880075599999</v>
      </c>
      <c r="E112" s="189">
        <f t="shared" ref="E112:E114" si="92">D120</f>
        <v>9.7742470599999987</v>
      </c>
      <c r="F112" s="189">
        <v>5.6318285899999996</v>
      </c>
      <c r="G112" s="189">
        <v>5.7965000000000002E-4</v>
      </c>
      <c r="H112" s="189">
        <v>8.5855999999999996E-6</v>
      </c>
      <c r="I112" s="189">
        <v>3.5666139999999999E-2</v>
      </c>
      <c r="J112" s="189">
        <v>0.23955004999999999</v>
      </c>
      <c r="L112" s="134" t="s">
        <v>509</v>
      </c>
      <c r="M112" s="11" t="s">
        <v>31</v>
      </c>
      <c r="N112" s="185">
        <f t="shared" si="91"/>
        <v>0.62328285976425113</v>
      </c>
      <c r="O112" s="185">
        <f t="shared" si="91"/>
        <v>0.35912968106182397</v>
      </c>
      <c r="P112" s="185">
        <f t="shared" si="91"/>
        <v>3.6963042518218098E-5</v>
      </c>
      <c r="Q112" s="185">
        <f t="shared" si="91"/>
        <v>5.4748537538930952E-7</v>
      </c>
      <c r="R112" s="185">
        <f t="shared" si="91"/>
        <v>2.2743535741925631E-3</v>
      </c>
      <c r="S112" s="185">
        <f t="shared" si="91"/>
        <v>1.5275595071838646E-2</v>
      </c>
    </row>
    <row r="113" spans="2:30" s="203" customFormat="1" ht="18" x14ac:dyDescent="0.25">
      <c r="B113" s="176" t="s">
        <v>510</v>
      </c>
      <c r="C113" s="165" t="s">
        <v>578</v>
      </c>
      <c r="D113" s="195">
        <f>SUM(E113:J113)</f>
        <v>64.384374665482099</v>
      </c>
      <c r="E113" s="196">
        <f t="shared" si="92"/>
        <v>41.48683561</v>
      </c>
      <c r="F113" s="196">
        <v>13.9315973</v>
      </c>
      <c r="G113" s="196">
        <v>0.47771999999999998</v>
      </c>
      <c r="H113" s="196">
        <v>5.4821000000000003E-9</v>
      </c>
      <c r="I113" s="196">
        <v>6.7667284800000003</v>
      </c>
      <c r="J113" s="196">
        <v>1.7214932700000001</v>
      </c>
      <c r="K113" s="139"/>
      <c r="L113" s="176" t="s">
        <v>510</v>
      </c>
      <c r="M113" s="165" t="s">
        <v>31</v>
      </c>
      <c r="N113" s="202">
        <f t="shared" si="91"/>
        <v>0.64436186303820731</v>
      </c>
      <c r="O113" s="202">
        <f t="shared" si="91"/>
        <v>0.21638165117520416</v>
      </c>
      <c r="P113" s="202">
        <f t="shared" si="91"/>
        <v>7.4198126871940617E-3</v>
      </c>
      <c r="Q113" s="202">
        <f t="shared" si="91"/>
        <v>8.5146435427586385E-11</v>
      </c>
      <c r="R113" s="202">
        <f t="shared" si="91"/>
        <v>0.10509892369317046</v>
      </c>
      <c r="S113" s="202">
        <f t="shared" si="91"/>
        <v>2.6737749321077604E-2</v>
      </c>
      <c r="AD113" s="213"/>
    </row>
    <row r="114" spans="2:30" x14ac:dyDescent="0.25">
      <c r="B114" s="134" t="s">
        <v>511</v>
      </c>
      <c r="C114" s="11" t="s">
        <v>517</v>
      </c>
      <c r="D114" s="15">
        <f>SUM(E114:J114)</f>
        <v>1129.8883368100001</v>
      </c>
      <c r="E114" s="189">
        <f t="shared" si="92"/>
        <v>812.81335077999995</v>
      </c>
      <c r="F114" s="189">
        <v>161.69332299999999</v>
      </c>
      <c r="G114" s="189">
        <v>5.5734000000000004</v>
      </c>
      <c r="H114" s="189">
        <v>0.49695222999999999</v>
      </c>
      <c r="I114" s="189">
        <v>114.233898</v>
      </c>
      <c r="J114" s="189">
        <v>35.077412799999998</v>
      </c>
      <c r="L114" s="134" t="s">
        <v>511</v>
      </c>
      <c r="M114" s="11" t="s">
        <v>31</v>
      </c>
      <c r="N114" s="185">
        <f t="shared" si="91"/>
        <v>0.71937493670817587</v>
      </c>
      <c r="O114" s="185">
        <f t="shared" si="91"/>
        <v>0.1431055775445092</v>
      </c>
      <c r="P114" s="185">
        <f t="shared" si="91"/>
        <v>4.9326998238917244E-3</v>
      </c>
      <c r="Q114" s="185">
        <f t="shared" si="91"/>
        <v>4.3982419661312651E-4</v>
      </c>
      <c r="R114" s="185">
        <f t="shared" si="91"/>
        <v>0.10110193572093608</v>
      </c>
      <c r="S114" s="185">
        <f t="shared" si="91"/>
        <v>3.1045026005873846E-2</v>
      </c>
    </row>
    <row r="116" spans="2:30" x14ac:dyDescent="0.25">
      <c r="B116" s="320" t="s">
        <v>680</v>
      </c>
      <c r="C116" s="321"/>
      <c r="D116" s="321"/>
      <c r="E116" s="321"/>
      <c r="F116" s="321"/>
      <c r="G116" s="321"/>
      <c r="H116" s="321"/>
      <c r="I116" s="321"/>
      <c r="J116" s="321"/>
      <c r="K116" s="322"/>
    </row>
    <row r="118" spans="2:30" ht="28.5" customHeight="1" x14ac:dyDescent="0.25">
      <c r="B118" s="167" t="s">
        <v>569</v>
      </c>
      <c r="C118" s="167" t="s">
        <v>365</v>
      </c>
      <c r="D118" s="167" t="s">
        <v>223</v>
      </c>
      <c r="E118" s="167" t="s">
        <v>493</v>
      </c>
      <c r="F118" s="167" t="s">
        <v>572</v>
      </c>
      <c r="H118" s="133" t="s">
        <v>569</v>
      </c>
      <c r="I118" s="133" t="s">
        <v>365</v>
      </c>
      <c r="J118" s="167" t="s">
        <v>493</v>
      </c>
      <c r="K118" s="167" t="s">
        <v>572</v>
      </c>
    </row>
    <row r="119" spans="2:30" x14ac:dyDescent="0.25">
      <c r="B119" s="134" t="s">
        <v>508</v>
      </c>
      <c r="C119" s="11" t="s">
        <v>579</v>
      </c>
      <c r="D119" s="15">
        <f>SUM(E119:F119)</f>
        <v>3.1296949999999999E-5</v>
      </c>
      <c r="E119" s="189">
        <f>D127</f>
        <v>3.0371089999999997E-5</v>
      </c>
      <c r="F119" s="189">
        <v>9.2585999999999995E-7</v>
      </c>
      <c r="H119" s="134" t="s">
        <v>508</v>
      </c>
      <c r="I119" s="11" t="s">
        <v>31</v>
      </c>
      <c r="J119" s="185">
        <f>E119/$D119</f>
        <v>0.97041692561096204</v>
      </c>
      <c r="K119" s="185">
        <f>F119/$D119</f>
        <v>2.958307438903791E-2</v>
      </c>
    </row>
    <row r="120" spans="2:30" ht="17.25" x14ac:dyDescent="0.25">
      <c r="B120" s="134" t="s">
        <v>509</v>
      </c>
      <c r="C120" s="11" t="s">
        <v>580</v>
      </c>
      <c r="D120" s="15">
        <f t="shared" ref="D120:D122" si="93">SUM(E120:F120)</f>
        <v>9.7742470599999987</v>
      </c>
      <c r="E120" s="189">
        <f t="shared" ref="E120:E122" si="94">D128</f>
        <v>9.6408158499999992</v>
      </c>
      <c r="F120" s="189">
        <v>0.13343120999999999</v>
      </c>
      <c r="H120" s="134" t="s">
        <v>509</v>
      </c>
      <c r="I120" s="11" t="s">
        <v>31</v>
      </c>
      <c r="J120" s="185">
        <f t="shared" ref="J120:K122" si="95">E120/$D120</f>
        <v>0.98634869681716442</v>
      </c>
      <c r="K120" s="185">
        <f t="shared" si="95"/>
        <v>1.3651303182835651E-2</v>
      </c>
    </row>
    <row r="121" spans="2:30" s="203" customFormat="1" ht="18" x14ac:dyDescent="0.25">
      <c r="B121" s="176" t="s">
        <v>510</v>
      </c>
      <c r="C121" s="165" t="s">
        <v>578</v>
      </c>
      <c r="D121" s="195">
        <f t="shared" si="93"/>
        <v>41.48683561</v>
      </c>
      <c r="E121" s="196">
        <f t="shared" si="94"/>
        <v>40.527950670000003</v>
      </c>
      <c r="F121" s="196">
        <v>0.95888494000000002</v>
      </c>
      <c r="H121" s="176" t="s">
        <v>510</v>
      </c>
      <c r="I121" s="165" t="s">
        <v>31</v>
      </c>
      <c r="J121" s="202">
        <f t="shared" si="95"/>
        <v>0.9768870070252148</v>
      </c>
      <c r="K121" s="202">
        <f t="shared" si="95"/>
        <v>2.3112992974785238E-2</v>
      </c>
      <c r="AD121" s="213"/>
    </row>
    <row r="122" spans="2:30" x14ac:dyDescent="0.25">
      <c r="B122" s="134" t="s">
        <v>511</v>
      </c>
      <c r="C122" s="11" t="s">
        <v>517</v>
      </c>
      <c r="D122" s="15">
        <f t="shared" si="93"/>
        <v>812.81335077999995</v>
      </c>
      <c r="E122" s="189">
        <f t="shared" si="94"/>
        <v>793.27496317999999</v>
      </c>
      <c r="F122" s="189">
        <v>19.5383876</v>
      </c>
      <c r="H122" s="134" t="s">
        <v>511</v>
      </c>
      <c r="I122" s="11" t="s">
        <v>31</v>
      </c>
      <c r="J122" s="185">
        <f t="shared" si="95"/>
        <v>0.97596202426885537</v>
      </c>
      <c r="K122" s="185">
        <f t="shared" si="95"/>
        <v>2.4037975731144648E-2</v>
      </c>
    </row>
    <row r="124" spans="2:30" x14ac:dyDescent="0.25">
      <c r="B124" s="319" t="s">
        <v>681</v>
      </c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6" spans="2:30" ht="28.5" customHeight="1" x14ac:dyDescent="0.25">
      <c r="B126" s="167" t="s">
        <v>569</v>
      </c>
      <c r="C126" s="167" t="s">
        <v>365</v>
      </c>
      <c r="D126" s="167" t="s">
        <v>223</v>
      </c>
      <c r="E126" s="167" t="s">
        <v>574</v>
      </c>
      <c r="F126" s="167" t="s">
        <v>572</v>
      </c>
      <c r="G126" s="167" t="s">
        <v>363</v>
      </c>
      <c r="I126" s="133" t="s">
        <v>569</v>
      </c>
      <c r="J126" s="133" t="s">
        <v>365</v>
      </c>
      <c r="K126" s="167" t="s">
        <v>574</v>
      </c>
      <c r="L126" s="167" t="s">
        <v>572</v>
      </c>
      <c r="M126" s="167" t="s">
        <v>363</v>
      </c>
    </row>
    <row r="127" spans="2:30" x14ac:dyDescent="0.25">
      <c r="B127" s="134" t="s">
        <v>508</v>
      </c>
      <c r="C127" s="11" t="s">
        <v>579</v>
      </c>
      <c r="D127" s="15">
        <f>SUM(E127:G127)</f>
        <v>3.0371089999999997E-5</v>
      </c>
      <c r="E127" s="189">
        <f>D135</f>
        <v>3.19851E-5</v>
      </c>
      <c r="F127" s="189">
        <v>8.8278999999999998E-7</v>
      </c>
      <c r="G127" s="189">
        <v>-2.4968E-6</v>
      </c>
      <c r="H127" s="190">
        <f>SUM(E127:F127)</f>
        <v>3.2867889999999997E-5</v>
      </c>
      <c r="I127" s="134" t="s">
        <v>508</v>
      </c>
      <c r="J127" s="11" t="s">
        <v>31</v>
      </c>
      <c r="K127" s="185">
        <f>E127/$H127</f>
        <v>0.97314126340327911</v>
      </c>
      <c r="L127" s="185">
        <f t="shared" ref="L127:M130" si="96">F127/$H127</f>
        <v>2.6858736596720997E-2</v>
      </c>
      <c r="M127" s="185">
        <f t="shared" si="96"/>
        <v>-7.5964718148928939E-2</v>
      </c>
    </row>
    <row r="128" spans="2:30" ht="17.25" x14ac:dyDescent="0.25">
      <c r="B128" s="134" t="s">
        <v>509</v>
      </c>
      <c r="C128" s="11" t="s">
        <v>580</v>
      </c>
      <c r="D128" s="15">
        <f t="shared" ref="D128:D130" si="97">SUM(E128:G128)</f>
        <v>9.6408158499999992</v>
      </c>
      <c r="E128" s="189">
        <f t="shared" ref="E128:E130" si="98">D136</f>
        <v>9.6505065499999994</v>
      </c>
      <c r="F128" s="189">
        <v>0.12722385</v>
      </c>
      <c r="G128" s="189">
        <v>-0.13691455</v>
      </c>
      <c r="H128" s="190">
        <f t="shared" ref="H128:H130" si="99">SUM(E128:F128)</f>
        <v>9.7777303999999994</v>
      </c>
      <c r="I128" s="134" t="s">
        <v>509</v>
      </c>
      <c r="J128" s="11" t="s">
        <v>31</v>
      </c>
      <c r="K128" s="185">
        <f t="shared" ref="K128:K130" si="100">E128/$H128</f>
        <v>0.98698840683928046</v>
      </c>
      <c r="L128" s="185">
        <f t="shared" si="96"/>
        <v>1.3011593160719589E-2</v>
      </c>
      <c r="M128" s="185">
        <f t="shared" si="96"/>
        <v>-1.4002692281227145E-2</v>
      </c>
    </row>
    <row r="129" spans="2:30" s="203" customFormat="1" ht="18" x14ac:dyDescent="0.25">
      <c r="B129" s="176" t="s">
        <v>510</v>
      </c>
      <c r="C129" s="165" t="s">
        <v>578</v>
      </c>
      <c r="D129" s="195">
        <f t="shared" si="97"/>
        <v>40.527950670000003</v>
      </c>
      <c r="E129" s="196">
        <f t="shared" si="98"/>
        <v>40.956254360000003</v>
      </c>
      <c r="F129" s="196">
        <v>0.91427661999999998</v>
      </c>
      <c r="G129" s="196">
        <v>-1.34258031</v>
      </c>
      <c r="H129" s="190">
        <f t="shared" si="99"/>
        <v>41.870530980000005</v>
      </c>
      <c r="I129" s="176" t="s">
        <v>510</v>
      </c>
      <c r="J129" s="165" t="s">
        <v>31</v>
      </c>
      <c r="K129" s="202">
        <f>E129/$H129</f>
        <v>0.97816419809825872</v>
      </c>
      <c r="L129" s="202">
        <f t="shared" si="96"/>
        <v>2.183580190174125E-2</v>
      </c>
      <c r="M129" s="202">
        <f>G129/$H129</f>
        <v>-3.2065041416391417E-2</v>
      </c>
      <c r="AD129" s="213"/>
    </row>
    <row r="130" spans="2:30" x14ac:dyDescent="0.25">
      <c r="B130" s="134" t="s">
        <v>511</v>
      </c>
      <c r="C130" s="11" t="s">
        <v>517</v>
      </c>
      <c r="D130" s="15">
        <f t="shared" si="97"/>
        <v>793.27496317999999</v>
      </c>
      <c r="E130" s="189">
        <f t="shared" si="98"/>
        <v>792.27392578000001</v>
      </c>
      <c r="F130" s="189">
        <v>18.629441499999999</v>
      </c>
      <c r="G130" s="189">
        <v>-17.628404100000001</v>
      </c>
      <c r="H130" s="190">
        <f t="shared" si="99"/>
        <v>810.90336728</v>
      </c>
      <c r="I130" s="134" t="s">
        <v>511</v>
      </c>
      <c r="J130" s="11" t="s">
        <v>31</v>
      </c>
      <c r="K130" s="185">
        <f t="shared" si="100"/>
        <v>0.97702631133165918</v>
      </c>
      <c r="L130" s="185">
        <f t="shared" si="96"/>
        <v>2.2973688668340882E-2</v>
      </c>
      <c r="M130" s="185">
        <f t="shared" si="96"/>
        <v>-2.1739216793649124E-2</v>
      </c>
    </row>
    <row r="132" spans="2:30" x14ac:dyDescent="0.25">
      <c r="B132" s="319" t="s">
        <v>682</v>
      </c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4" spans="2:30" ht="27.95" customHeight="1" x14ac:dyDescent="0.25">
      <c r="B134" s="167" t="s">
        <v>569</v>
      </c>
      <c r="C134" s="167" t="s">
        <v>365</v>
      </c>
      <c r="D134" s="167" t="s">
        <v>223</v>
      </c>
      <c r="E134" s="167" t="s">
        <v>597</v>
      </c>
      <c r="F134" s="167" t="s">
        <v>575</v>
      </c>
      <c r="G134" s="167" t="s">
        <v>577</v>
      </c>
      <c r="H134" s="167" t="s">
        <v>217</v>
      </c>
      <c r="I134" s="167" t="s">
        <v>576</v>
      </c>
      <c r="J134" s="167" t="s">
        <v>572</v>
      </c>
      <c r="L134" s="133" t="s">
        <v>569</v>
      </c>
      <c r="M134" s="133" t="s">
        <v>365</v>
      </c>
      <c r="N134" s="167" t="s">
        <v>597</v>
      </c>
      <c r="O134" s="167" t="s">
        <v>575</v>
      </c>
      <c r="P134" s="167" t="s">
        <v>577</v>
      </c>
      <c r="Q134" s="167" t="s">
        <v>217</v>
      </c>
      <c r="R134" s="167" t="s">
        <v>576</v>
      </c>
      <c r="S134" s="167" t="s">
        <v>572</v>
      </c>
    </row>
    <row r="135" spans="2:30" x14ac:dyDescent="0.25">
      <c r="B135" s="134" t="s">
        <v>508</v>
      </c>
      <c r="C135" s="11" t="s">
        <v>579</v>
      </c>
      <c r="D135" s="15">
        <f>SUM(E135:J135)</f>
        <v>3.19851E-5</v>
      </c>
      <c r="E135" s="189">
        <v>0</v>
      </c>
      <c r="F135" s="189">
        <v>4.5199999999999999E-6</v>
      </c>
      <c r="G135" s="189">
        <v>1.3200000000000001E-5</v>
      </c>
      <c r="H135" s="189">
        <v>3.8708000000000003E-6</v>
      </c>
      <c r="I135" s="189">
        <v>8.3470000000000003E-7</v>
      </c>
      <c r="J135" s="189">
        <v>9.5596000000000008E-6</v>
      </c>
      <c r="L135" s="134" t="s">
        <v>508</v>
      </c>
      <c r="M135" s="11" t="s">
        <v>31</v>
      </c>
      <c r="N135" s="185">
        <f t="shared" ref="N135:S138" si="101">E135/$D135</f>
        <v>0</v>
      </c>
      <c r="O135" s="185">
        <f t="shared" si="101"/>
        <v>0.14131580016945389</v>
      </c>
      <c r="P135" s="185">
        <f t="shared" si="101"/>
        <v>0.41269215978690083</v>
      </c>
      <c r="Q135" s="185">
        <f t="shared" si="101"/>
        <v>0.1210188494017527</v>
      </c>
      <c r="R135" s="185">
        <f t="shared" si="101"/>
        <v>2.6096526195009552E-2</v>
      </c>
      <c r="S135" s="185">
        <f t="shared" si="101"/>
        <v>0.2988766644468831</v>
      </c>
    </row>
    <row r="136" spans="2:30" ht="17.25" x14ac:dyDescent="0.25">
      <c r="B136" s="134" t="s">
        <v>509</v>
      </c>
      <c r="C136" s="11" t="s">
        <v>580</v>
      </c>
      <c r="D136" s="15">
        <f t="shared" ref="D136:D138" si="102">SUM(E136:J136)</f>
        <v>9.6505065499999994</v>
      </c>
      <c r="E136" s="189">
        <v>0</v>
      </c>
      <c r="F136" s="189">
        <v>5.01</v>
      </c>
      <c r="G136" s="189">
        <v>2.44</v>
      </c>
      <c r="H136" s="189">
        <v>0.72199595000000005</v>
      </c>
      <c r="I136" s="189">
        <v>0.10082496000000001</v>
      </c>
      <c r="J136" s="189">
        <v>1.3776856399999999</v>
      </c>
      <c r="L136" s="134" t="s">
        <v>509</v>
      </c>
      <c r="M136" s="11" t="s">
        <v>31</v>
      </c>
      <c r="N136" s="185">
        <f t="shared" si="101"/>
        <v>0</v>
      </c>
      <c r="O136" s="185">
        <f t="shared" si="101"/>
        <v>0.51914373344474862</v>
      </c>
      <c r="P136" s="185">
        <f t="shared" si="101"/>
        <v>0.25283646898307116</v>
      </c>
      <c r="Q136" s="185">
        <f t="shared" si="101"/>
        <v>7.4814305991015587E-2</v>
      </c>
      <c r="R136" s="185">
        <f t="shared" si="101"/>
        <v>1.0447633963835816E-2</v>
      </c>
      <c r="S136" s="185">
        <f t="shared" si="101"/>
        <v>0.1427578576173289</v>
      </c>
    </row>
    <row r="137" spans="2:30" s="203" customFormat="1" ht="18" x14ac:dyDescent="0.25">
      <c r="B137" s="176" t="s">
        <v>510</v>
      </c>
      <c r="C137" s="165" t="s">
        <v>578</v>
      </c>
      <c r="D137" s="195">
        <f>SUM(F137:J137)</f>
        <v>40.956254360000003</v>
      </c>
      <c r="E137" s="196">
        <v>0</v>
      </c>
      <c r="F137" s="196">
        <v>8.73</v>
      </c>
      <c r="G137" s="196">
        <v>18.3</v>
      </c>
      <c r="H137" s="196">
        <v>3.57763404</v>
      </c>
      <c r="I137" s="196">
        <v>0.448073</v>
      </c>
      <c r="J137" s="196">
        <v>9.9005473199999994</v>
      </c>
      <c r="L137" s="176" t="s">
        <v>510</v>
      </c>
      <c r="M137" s="165" t="s">
        <v>31</v>
      </c>
      <c r="N137" s="202">
        <f t="shared" si="101"/>
        <v>0</v>
      </c>
      <c r="O137" s="202">
        <f t="shared" si="101"/>
        <v>0.21315425779087285</v>
      </c>
      <c r="P137" s="202">
        <f t="shared" si="101"/>
        <v>0.44681820361660629</v>
      </c>
      <c r="Q137" s="202">
        <f t="shared" si="101"/>
        <v>8.7352569122973858E-2</v>
      </c>
      <c r="R137" s="202">
        <f t="shared" si="101"/>
        <v>1.0940282674814407E-2</v>
      </c>
      <c r="S137" s="202">
        <f t="shared" si="101"/>
        <v>0.24173468679473253</v>
      </c>
      <c r="AD137" s="213"/>
    </row>
    <row r="138" spans="2:30" x14ac:dyDescent="0.25">
      <c r="B138" s="134" t="s">
        <v>511</v>
      </c>
      <c r="C138" s="11" t="s">
        <v>517</v>
      </c>
      <c r="D138" s="15">
        <f t="shared" si="102"/>
        <v>792.27392578000001</v>
      </c>
      <c r="E138" s="189">
        <v>0</v>
      </c>
      <c r="F138" s="189">
        <v>144</v>
      </c>
      <c r="G138" s="189">
        <v>376</v>
      </c>
      <c r="H138" s="189">
        <v>63.748429700000003</v>
      </c>
      <c r="I138" s="189">
        <v>6.7904140799999997</v>
      </c>
      <c r="J138" s="189">
        <v>201.73508200000001</v>
      </c>
      <c r="L138" s="134" t="s">
        <v>511</v>
      </c>
      <c r="M138" s="11" t="s">
        <v>31</v>
      </c>
      <c r="N138" s="185">
        <f t="shared" si="101"/>
        <v>0</v>
      </c>
      <c r="O138" s="185">
        <f t="shared" si="101"/>
        <v>0.18175531885418397</v>
      </c>
      <c r="P138" s="185">
        <f t="shared" si="101"/>
        <v>0.47458333256370261</v>
      </c>
      <c r="Q138" s="185">
        <f t="shared" si="101"/>
        <v>8.0462612267896055E-2</v>
      </c>
      <c r="R138" s="185">
        <f t="shared" si="101"/>
        <v>8.5707908073773629E-3</v>
      </c>
      <c r="S138" s="185">
        <f t="shared" si="101"/>
        <v>0.25462794550683998</v>
      </c>
    </row>
    <row r="140" spans="2:30" x14ac:dyDescent="0.25">
      <c r="G140" s="214"/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40"/>
  <sheetViews>
    <sheetView topLeftCell="A119" zoomScale="90" zoomScaleNormal="90" workbookViewId="0">
      <selection activeCell="D103" sqref="D103:D106"/>
    </sheetView>
  </sheetViews>
  <sheetFormatPr defaultColWidth="10.85546875" defaultRowHeight="15" x14ac:dyDescent="0.25"/>
  <cols>
    <col min="1" max="1" width="10.85546875" style="139"/>
    <col min="2" max="2" width="20.7109375" style="139" bestFit="1" customWidth="1"/>
    <col min="3" max="3" width="12.140625" style="139" bestFit="1" customWidth="1"/>
    <col min="4" max="4" width="15" style="139" bestFit="1" customWidth="1"/>
    <col min="5" max="5" width="13.5703125" style="139" customWidth="1"/>
    <col min="6" max="6" width="14.28515625" style="139" customWidth="1"/>
    <col min="7" max="7" width="12.42578125" style="139" bestFit="1" customWidth="1"/>
    <col min="8" max="8" width="19.85546875" style="139" bestFit="1" customWidth="1"/>
    <col min="9" max="9" width="20.5703125" style="139" bestFit="1" customWidth="1"/>
    <col min="10" max="10" width="12.140625" style="139" customWidth="1"/>
    <col min="11" max="11" width="20.42578125" style="139" customWidth="1"/>
    <col min="12" max="12" width="22.140625" style="139" customWidth="1"/>
    <col min="13" max="13" width="10.85546875" style="139" customWidth="1"/>
    <col min="14" max="14" width="14.28515625" style="139" customWidth="1"/>
    <col min="15" max="15" width="19.85546875" style="139" customWidth="1"/>
    <col min="16" max="16" width="10.85546875" style="139" customWidth="1"/>
    <col min="17" max="17" width="13.140625" style="139" customWidth="1"/>
    <col min="18" max="18" width="13.5703125" style="139" customWidth="1"/>
    <col min="19" max="23" width="10.85546875" style="139" customWidth="1"/>
    <col min="24" max="24" width="13.28515625" style="139" customWidth="1"/>
    <col min="25" max="25" width="13.42578125" style="139" customWidth="1"/>
    <col min="26" max="26" width="10.85546875" style="139"/>
    <col min="27" max="27" width="15.5703125" style="139" bestFit="1" customWidth="1"/>
    <col min="28" max="29" width="10.85546875" style="139"/>
    <col min="30" max="30" width="10.85546875" style="208"/>
    <col min="31" max="31" width="14.42578125" style="139" bestFit="1" customWidth="1"/>
    <col min="32" max="32" width="13.42578125" style="139" customWidth="1"/>
    <col min="33" max="33" width="14.140625" style="139" customWidth="1"/>
    <col min="34" max="34" width="13.140625" style="139" customWidth="1"/>
    <col min="35" max="38" width="10.85546875" style="139"/>
    <col min="39" max="39" width="15.5703125" style="139" bestFit="1" customWidth="1"/>
    <col min="40" max="40" width="11.85546875" style="139" customWidth="1"/>
    <col min="41" max="41" width="13.5703125" style="139" customWidth="1"/>
    <col min="42" max="16384" width="10.85546875" style="139"/>
  </cols>
  <sheetData>
    <row r="1" spans="1:44" ht="15.75" thickBot="1" x14ac:dyDescent="0.3">
      <c r="A1" s="187" t="s">
        <v>581</v>
      </c>
    </row>
    <row r="2" spans="1:44" ht="18" thickBot="1" x14ac:dyDescent="0.3">
      <c r="B2" s="319" t="s">
        <v>709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AF2" s="314" t="s">
        <v>658</v>
      </c>
      <c r="AG2" s="315"/>
      <c r="AH2" s="315"/>
      <c r="AI2" s="315"/>
      <c r="AJ2" s="316"/>
      <c r="AN2" s="314" t="s">
        <v>659</v>
      </c>
      <c r="AO2" s="315"/>
      <c r="AP2" s="315"/>
      <c r="AQ2" s="316"/>
    </row>
    <row r="4" spans="1:44" ht="30" customHeight="1" x14ac:dyDescent="0.25">
      <c r="B4" s="167" t="s">
        <v>569</v>
      </c>
      <c r="C4" s="167" t="s">
        <v>365</v>
      </c>
      <c r="D4" s="167" t="s">
        <v>596</v>
      </c>
      <c r="E4" s="167" t="s">
        <v>646</v>
      </c>
      <c r="F4" s="167" t="s">
        <v>492</v>
      </c>
      <c r="G4" s="167" t="s">
        <v>568</v>
      </c>
      <c r="H4" s="167" t="s">
        <v>573</v>
      </c>
      <c r="L4" s="167" t="s">
        <v>569</v>
      </c>
      <c r="M4" s="167" t="s">
        <v>365</v>
      </c>
      <c r="N4" s="167" t="s">
        <v>646</v>
      </c>
      <c r="O4" s="167" t="s">
        <v>492</v>
      </c>
      <c r="P4" s="167" t="s">
        <v>568</v>
      </c>
      <c r="Q4" s="167" t="s">
        <v>573</v>
      </c>
      <c r="AF4" s="167" t="s">
        <v>646</v>
      </c>
      <c r="AG4" s="167" t="s">
        <v>492</v>
      </c>
      <c r="AH4" s="167" t="s">
        <v>494</v>
      </c>
      <c r="AI4" s="167" t="s">
        <v>493</v>
      </c>
      <c r="AJ4" s="167" t="s">
        <v>597</v>
      </c>
      <c r="AM4" s="209" t="s">
        <v>611</v>
      </c>
      <c r="AN4" s="167" t="s">
        <v>492</v>
      </c>
      <c r="AO4" s="167" t="s">
        <v>494</v>
      </c>
      <c r="AP4" s="167" t="s">
        <v>493</v>
      </c>
      <c r="AQ4" s="167" t="s">
        <v>597</v>
      </c>
    </row>
    <row r="5" spans="1:44" ht="18" x14ac:dyDescent="0.25">
      <c r="B5" s="134" t="s">
        <v>495</v>
      </c>
      <c r="C5" s="11" t="s">
        <v>564</v>
      </c>
      <c r="D5" s="15">
        <f>SUM(E5:J5)</f>
        <v>2.9320000590999999</v>
      </c>
      <c r="E5" s="189">
        <v>0</v>
      </c>
      <c r="F5" s="189">
        <v>2.4300000000000002</v>
      </c>
      <c r="G5" s="189">
        <v>5.91E-8</v>
      </c>
      <c r="H5" s="189">
        <v>0.502</v>
      </c>
      <c r="K5" s="190"/>
      <c r="L5" s="134" t="s">
        <v>495</v>
      </c>
      <c r="M5" s="11" t="s">
        <v>31</v>
      </c>
      <c r="N5" s="185">
        <f>E5/$D5</f>
        <v>0</v>
      </c>
      <c r="O5" s="185">
        <f t="shared" ref="O5:Q19" si="0">F5/$D5</f>
        <v>0.82878579502686212</v>
      </c>
      <c r="P5" s="185">
        <f t="shared" si="0"/>
        <v>2.0156889088924918E-8</v>
      </c>
      <c r="Q5" s="185">
        <f t="shared" si="0"/>
        <v>0.17121418481624887</v>
      </c>
      <c r="T5" s="207"/>
      <c r="AE5" s="317" t="s">
        <v>505</v>
      </c>
      <c r="AF5" s="189">
        <f>D105</f>
        <v>216.90000001830001</v>
      </c>
      <c r="AG5" s="189">
        <f>AN5*Calculations!$C$47</f>
        <v>154.16724369415525</v>
      </c>
      <c r="AH5" s="189">
        <f>AO5*Calculations!$C$47</f>
        <v>84.65668051767679</v>
      </c>
      <c r="AI5" s="189">
        <f>AP5*Calculations!$C$47</f>
        <v>81.745772404829353</v>
      </c>
      <c r="AJ5" s="189">
        <f>AQ5*Calculations!$C$47</f>
        <v>83.045983341486149</v>
      </c>
      <c r="AM5" s="317" t="s">
        <v>505</v>
      </c>
      <c r="AN5" s="15">
        <f>D113</f>
        <v>50.784374665482098</v>
      </c>
      <c r="AO5" s="15">
        <f>D121</f>
        <v>27.886835610000002</v>
      </c>
      <c r="AP5" s="15">
        <f>D129</f>
        <v>26.927950670000001</v>
      </c>
      <c r="AQ5" s="15">
        <f>D137</f>
        <v>27.356254360000001</v>
      </c>
    </row>
    <row r="6" spans="1:44" ht="18" x14ac:dyDescent="0.25">
      <c r="B6" s="134" t="s">
        <v>496</v>
      </c>
      <c r="C6" s="11" t="s">
        <v>564</v>
      </c>
      <c r="D6" s="15">
        <f t="shared" ref="D6:D19" si="1">SUM(E6:J6)</f>
        <v>5.8400012600000002</v>
      </c>
      <c r="E6" s="189">
        <v>0</v>
      </c>
      <c r="F6" s="189">
        <v>4.71</v>
      </c>
      <c r="G6" s="189">
        <v>1.26E-6</v>
      </c>
      <c r="H6" s="189">
        <v>1.1299999999999999</v>
      </c>
      <c r="K6" s="190"/>
      <c r="L6" s="134" t="s">
        <v>496</v>
      </c>
      <c r="M6" s="11" t="s">
        <v>31</v>
      </c>
      <c r="N6" s="185">
        <f t="shared" ref="N6:N19" si="2">E6/$D6</f>
        <v>0</v>
      </c>
      <c r="O6" s="185">
        <f t="shared" si="0"/>
        <v>0.80650667530849129</v>
      </c>
      <c r="P6" s="185">
        <f t="shared" si="0"/>
        <v>2.1575337810800404E-7</v>
      </c>
      <c r="Q6" s="185">
        <f t="shared" si="0"/>
        <v>0.19349310893813057</v>
      </c>
      <c r="T6" s="207"/>
      <c r="AE6" s="317"/>
      <c r="AF6" s="15">
        <f t="shared" ref="AF6:AI6" si="3">AF5-AG5</f>
        <v>62.732756324144759</v>
      </c>
      <c r="AG6" s="15">
        <f t="shared" si="3"/>
        <v>69.510563176478456</v>
      </c>
      <c r="AH6" s="15">
        <f t="shared" si="3"/>
        <v>2.9109081128474372</v>
      </c>
      <c r="AI6" s="15">
        <f t="shared" si="3"/>
        <v>-1.3002109366567964</v>
      </c>
      <c r="AJ6" s="15">
        <f>AJ5-AK5</f>
        <v>83.045983341486149</v>
      </c>
      <c r="AM6" s="317"/>
      <c r="AN6" s="15">
        <f t="shared" ref="AN6:AP6" si="4">AN5-AO5</f>
        <v>22.897539055482095</v>
      </c>
      <c r="AO6" s="15">
        <f t="shared" si="4"/>
        <v>0.9588849400000008</v>
      </c>
      <c r="AP6" s="15">
        <f t="shared" si="4"/>
        <v>-0.4283036899999999</v>
      </c>
      <c r="AQ6" s="15">
        <f>AQ5-AR5</f>
        <v>27.356254360000001</v>
      </c>
    </row>
    <row r="7" spans="1:44" x14ac:dyDescent="0.25">
      <c r="B7" s="134" t="s">
        <v>497</v>
      </c>
      <c r="C7" s="11" t="s">
        <v>512</v>
      </c>
      <c r="D7" s="15">
        <f t="shared" si="1"/>
        <v>0.20070001700000001</v>
      </c>
      <c r="E7" s="189">
        <v>0</v>
      </c>
      <c r="F7" s="189">
        <v>0.161</v>
      </c>
      <c r="G7" s="189">
        <v>1.7E-8</v>
      </c>
      <c r="H7" s="189">
        <v>3.9699999999999999E-2</v>
      </c>
      <c r="K7" s="190"/>
      <c r="L7" s="134" t="s">
        <v>497</v>
      </c>
      <c r="M7" s="11" t="s">
        <v>31</v>
      </c>
      <c r="N7" s="185">
        <f t="shared" si="2"/>
        <v>0</v>
      </c>
      <c r="O7" s="185">
        <f t="shared" si="0"/>
        <v>0.8021922589074818</v>
      </c>
      <c r="P7" s="185">
        <f t="shared" si="0"/>
        <v>8.4703530443647142E-8</v>
      </c>
      <c r="Q7" s="185">
        <f t="shared" si="0"/>
        <v>0.19780765638898773</v>
      </c>
      <c r="T7" s="207"/>
      <c r="AE7" s="134" t="s">
        <v>598</v>
      </c>
      <c r="AF7" s="191">
        <f>AF6/$AF$5</f>
        <v>0.28922432604357745</v>
      </c>
      <c r="AG7" s="191">
        <f>AG6/$AF$5</f>
        <v>0.32047285924672109</v>
      </c>
      <c r="AH7" s="191">
        <f>AH6/$AF$5</f>
        <v>1.3420507665292033E-2</v>
      </c>
      <c r="AI7" s="191">
        <f>AI6/$AF$5</f>
        <v>-5.9945179186127098E-3</v>
      </c>
      <c r="AJ7" s="191">
        <f>AJ6/$AF$5</f>
        <v>0.38287682496302211</v>
      </c>
      <c r="AK7" s="192">
        <f>SUM(AF7:AJ7)</f>
        <v>1</v>
      </c>
      <c r="AM7" s="134" t="s">
        <v>598</v>
      </c>
      <c r="AN7" s="193">
        <f>AN6/$AN$5</f>
        <v>0.45087764113093326</v>
      </c>
      <c r="AO7" s="193">
        <f t="shared" ref="AO7:AQ7" si="5">AO6/$AN$5</f>
        <v>1.8881495466197998E-2</v>
      </c>
      <c r="AP7" s="193">
        <f t="shared" si="5"/>
        <v>-8.433769103612019E-3</v>
      </c>
      <c r="AQ7" s="193">
        <f t="shared" si="5"/>
        <v>0.53867463250648073</v>
      </c>
      <c r="AR7" s="194">
        <f>SUM(AN7:AQ7)</f>
        <v>1</v>
      </c>
    </row>
    <row r="8" spans="1:44" x14ac:dyDescent="0.25">
      <c r="B8" s="134" t="s">
        <v>561</v>
      </c>
      <c r="C8" s="11" t="s">
        <v>513</v>
      </c>
      <c r="D8" s="15">
        <f t="shared" si="1"/>
        <v>3941.0115999999998</v>
      </c>
      <c r="E8" s="189">
        <v>0</v>
      </c>
      <c r="F8" s="189">
        <v>3410</v>
      </c>
      <c r="G8" s="189">
        <v>1.1599999999999999E-2</v>
      </c>
      <c r="H8" s="189">
        <v>531</v>
      </c>
      <c r="K8" s="190"/>
      <c r="L8" s="134" t="s">
        <v>561</v>
      </c>
      <c r="M8" s="11" t="s">
        <v>31</v>
      </c>
      <c r="N8" s="185">
        <f t="shared" si="2"/>
        <v>0</v>
      </c>
      <c r="O8" s="185">
        <f t="shared" si="0"/>
        <v>0.86526007687975348</v>
      </c>
      <c r="P8" s="185">
        <f t="shared" si="0"/>
        <v>2.9434067131393371E-6</v>
      </c>
      <c r="Q8" s="185">
        <f t="shared" si="0"/>
        <v>0.13473697971353346</v>
      </c>
      <c r="T8" s="207"/>
      <c r="AE8" s="317" t="s">
        <v>508</v>
      </c>
      <c r="AF8" s="189">
        <f>D103</f>
        <v>1.665000187E-4</v>
      </c>
      <c r="AG8" s="189">
        <f>AN8*Calculations!$C$47</f>
        <v>1.3353767885028898E-4</v>
      </c>
      <c r="AH8" s="189">
        <f>AO8*Calculations!$C$47</f>
        <v>6.8719487246427806E-5</v>
      </c>
      <c r="AI8" s="189">
        <f>AP8*Calculations!$C$47</f>
        <v>6.5908833670659964E-5</v>
      </c>
      <c r="AJ8" s="189">
        <f>AQ8*Calculations!$C$47</f>
        <v>7.0808519344330972E-5</v>
      </c>
      <c r="AM8" s="317" t="s">
        <v>508</v>
      </c>
      <c r="AN8" s="189">
        <f>D111</f>
        <v>4.3988770585699999E-5</v>
      </c>
      <c r="AO8" s="189">
        <f>D119</f>
        <v>2.2636950000000004E-5</v>
      </c>
      <c r="AP8" s="189">
        <f>D127</f>
        <v>2.1711090000000002E-5</v>
      </c>
      <c r="AQ8" s="189">
        <f>D135</f>
        <v>2.3325100000000001E-5</v>
      </c>
    </row>
    <row r="9" spans="1:44" x14ac:dyDescent="0.25">
      <c r="B9" s="134" t="s">
        <v>498</v>
      </c>
      <c r="C9" s="11" t="s">
        <v>514</v>
      </c>
      <c r="D9" s="15">
        <f t="shared" si="1"/>
        <v>2.9200000000041998E-5</v>
      </c>
      <c r="E9" s="189">
        <v>0</v>
      </c>
      <c r="F9" s="189">
        <v>1.7499999999999998E-5</v>
      </c>
      <c r="G9" s="189">
        <v>4.1999999999999998E-17</v>
      </c>
      <c r="H9" s="189">
        <v>1.17E-5</v>
      </c>
      <c r="K9" s="190"/>
      <c r="L9" s="134" t="s">
        <v>498</v>
      </c>
      <c r="M9" s="11" t="s">
        <v>31</v>
      </c>
      <c r="N9" s="185">
        <f t="shared" si="2"/>
        <v>0</v>
      </c>
      <c r="O9" s="185">
        <f t="shared" si="0"/>
        <v>0.59931506849228866</v>
      </c>
      <c r="P9" s="185">
        <f t="shared" si="0"/>
        <v>1.4383561643814929E-12</v>
      </c>
      <c r="Q9" s="185">
        <f t="shared" si="0"/>
        <v>0.40068493150627299</v>
      </c>
      <c r="T9" s="207"/>
      <c r="AE9" s="317"/>
      <c r="AF9" s="189">
        <f t="shared" ref="AF9:AI9" si="6">AF8-AG8</f>
        <v>3.2962339849711023E-5</v>
      </c>
      <c r="AG9" s="189">
        <f t="shared" si="6"/>
        <v>6.481819160386117E-5</v>
      </c>
      <c r="AH9" s="189">
        <f t="shared" si="6"/>
        <v>2.810653575767842E-6</v>
      </c>
      <c r="AI9" s="189">
        <f t="shared" si="6"/>
        <v>-4.8996856736710075E-6</v>
      </c>
      <c r="AJ9" s="189">
        <f>AJ8-AK8</f>
        <v>7.0808519344330972E-5</v>
      </c>
      <c r="AM9" s="317"/>
      <c r="AN9" s="189">
        <f t="shared" ref="AN9:AP9" si="7">AN8-AO8</f>
        <v>2.1351820585699996E-5</v>
      </c>
      <c r="AO9" s="189">
        <f t="shared" si="7"/>
        <v>9.2586000000000133E-7</v>
      </c>
      <c r="AP9" s="189">
        <f t="shared" si="7"/>
        <v>-1.6140099999999991E-6</v>
      </c>
      <c r="AQ9" s="189">
        <f>AQ8-AR8</f>
        <v>2.3325100000000001E-5</v>
      </c>
    </row>
    <row r="10" spans="1:44" ht="18" x14ac:dyDescent="0.25">
      <c r="B10" s="134" t="s">
        <v>499</v>
      </c>
      <c r="C10" s="11" t="s">
        <v>565</v>
      </c>
      <c r="D10" s="15">
        <f t="shared" si="1"/>
        <v>6.8300299000000009E-2</v>
      </c>
      <c r="E10" s="189">
        <v>0</v>
      </c>
      <c r="F10" s="189">
        <v>3.9300000000000002E-2</v>
      </c>
      <c r="G10" s="189">
        <v>2.9900000000000002E-7</v>
      </c>
      <c r="H10" s="189">
        <v>2.9000000000000001E-2</v>
      </c>
      <c r="K10" s="190"/>
      <c r="L10" s="134" t="s">
        <v>499</v>
      </c>
      <c r="M10" s="11" t="s">
        <v>31</v>
      </c>
      <c r="N10" s="185">
        <f t="shared" si="2"/>
        <v>0</v>
      </c>
      <c r="O10" s="185">
        <f t="shared" si="0"/>
        <v>0.57540011647679601</v>
      </c>
      <c r="P10" s="185">
        <f t="shared" si="0"/>
        <v>4.377726077011756E-6</v>
      </c>
      <c r="Q10" s="185">
        <f t="shared" si="0"/>
        <v>0.42459550579712685</v>
      </c>
      <c r="T10" s="207"/>
      <c r="AE10" s="134" t="s">
        <v>598</v>
      </c>
      <c r="AF10" s="191">
        <f>AF9/$AF$8</f>
        <v>0.19797198887468367</v>
      </c>
      <c r="AG10" s="191">
        <f>AG9/$AF$8</f>
        <v>0.38929840434823426</v>
      </c>
      <c r="AH10" s="191">
        <f>AH9/$AF$8</f>
        <v>1.6880800360942194E-2</v>
      </c>
      <c r="AI10" s="191">
        <f>AI9/$AF$8</f>
        <v>-2.9427538278534785E-2</v>
      </c>
      <c r="AJ10" s="191">
        <f>AJ9/$AF$8</f>
        <v>0.42527634469467462</v>
      </c>
      <c r="AK10" s="192">
        <f>SUM(AF10:AJ10)</f>
        <v>1</v>
      </c>
      <c r="AM10" s="134" t="s">
        <v>598</v>
      </c>
      <c r="AN10" s="193">
        <f>AN9/$AN$8</f>
        <v>0.48539252862504662</v>
      </c>
      <c r="AO10" s="193">
        <f t="shared" ref="AO10:AQ10" si="8">AO9/$AN$8</f>
        <v>2.1047644379972343E-2</v>
      </c>
      <c r="AP10" s="193">
        <f t="shared" si="8"/>
        <v>-3.6691409614541176E-2</v>
      </c>
      <c r="AQ10" s="193">
        <f t="shared" si="8"/>
        <v>0.53025123660952223</v>
      </c>
      <c r="AR10" s="194">
        <f>SUM(AN10:AQ10)</f>
        <v>1</v>
      </c>
    </row>
    <row r="11" spans="1:44" x14ac:dyDescent="0.25">
      <c r="B11" s="134" t="s">
        <v>500</v>
      </c>
      <c r="C11" s="11" t="s">
        <v>515</v>
      </c>
      <c r="D11" s="15">
        <f t="shared" si="1"/>
        <v>15220.539000000001</v>
      </c>
      <c r="E11" s="189">
        <v>0</v>
      </c>
      <c r="F11" s="189">
        <v>9640</v>
      </c>
      <c r="G11" s="189">
        <v>0.53900000000000003</v>
      </c>
      <c r="H11" s="189">
        <v>5580</v>
      </c>
      <c r="K11" s="190"/>
      <c r="L11" s="134" t="s">
        <v>500</v>
      </c>
      <c r="M11" s="11" t="s">
        <v>31</v>
      </c>
      <c r="N11" s="185">
        <f t="shared" si="2"/>
        <v>0</v>
      </c>
      <c r="O11" s="185">
        <f t="shared" si="0"/>
        <v>0.63335470576961828</v>
      </c>
      <c r="P11" s="185">
        <f t="shared" si="0"/>
        <v>3.541267493877845E-5</v>
      </c>
      <c r="Q11" s="185">
        <f t="shared" si="0"/>
        <v>0.36660988155544294</v>
      </c>
      <c r="T11" s="207"/>
      <c r="AE11" s="318" t="s">
        <v>509</v>
      </c>
      <c r="AF11" s="189">
        <f>D104</f>
        <v>78.300028700000013</v>
      </c>
      <c r="AG11" s="189">
        <f>AN11*Calculations!$C$47</f>
        <v>42.184028927619856</v>
      </c>
      <c r="AH11" s="189">
        <f>AO11*Calculations!$C$47</f>
        <v>24.250097383304038</v>
      </c>
      <c r="AI11" s="189">
        <f>AP11*Calculations!$C$47</f>
        <v>23.845037322921765</v>
      </c>
      <c r="AJ11" s="189">
        <f>AQ11*Calculations!$C$47</f>
        <v>23.874455594157904</v>
      </c>
      <c r="AM11" s="318" t="s">
        <v>509</v>
      </c>
      <c r="AN11" s="15">
        <f>D112</f>
        <v>13.895880075600001</v>
      </c>
      <c r="AO11" s="15">
        <f>D120</f>
        <v>7.98824706</v>
      </c>
      <c r="AP11" s="15">
        <f>D128</f>
        <v>7.8548158499999996</v>
      </c>
      <c r="AQ11" s="15">
        <f>D136</f>
        <v>7.8645065499999998</v>
      </c>
    </row>
    <row r="12" spans="1:44" x14ac:dyDescent="0.25">
      <c r="B12" s="134" t="s">
        <v>562</v>
      </c>
      <c r="C12" s="11" t="s">
        <v>516</v>
      </c>
      <c r="D12" s="15">
        <f t="shared" si="1"/>
        <v>7970.0001140000004</v>
      </c>
      <c r="E12" s="189">
        <v>0</v>
      </c>
      <c r="F12" s="189">
        <v>3840</v>
      </c>
      <c r="G12" s="189">
        <v>1.1400000000000001E-4</v>
      </c>
      <c r="H12" s="189">
        <v>4130</v>
      </c>
      <c r="K12" s="190"/>
      <c r="L12" s="134" t="s">
        <v>562</v>
      </c>
      <c r="M12" s="11" t="s">
        <v>31</v>
      </c>
      <c r="N12" s="185">
        <f t="shared" si="2"/>
        <v>0</v>
      </c>
      <c r="O12" s="185">
        <f t="shared" si="0"/>
        <v>0.48180676851618925</v>
      </c>
      <c r="P12" s="185">
        <f t="shared" si="0"/>
        <v>1.4303638440324369E-8</v>
      </c>
      <c r="Q12" s="185">
        <f t="shared" si="0"/>
        <v>0.51819321718017231</v>
      </c>
      <c r="T12" s="207"/>
      <c r="AE12" s="318"/>
      <c r="AF12" s="15">
        <f t="shared" ref="AF12:AI12" si="9">AF11-AG11</f>
        <v>36.115999772380157</v>
      </c>
      <c r="AG12" s="15">
        <f t="shared" si="9"/>
        <v>17.933931544315818</v>
      </c>
      <c r="AH12" s="15">
        <f t="shared" si="9"/>
        <v>0.40506006038227227</v>
      </c>
      <c r="AI12" s="15">
        <f t="shared" si="9"/>
        <v>-2.9418271236139049E-2</v>
      </c>
      <c r="AJ12" s="15">
        <f>AJ11-AK11</f>
        <v>23.874455594157904</v>
      </c>
      <c r="AM12" s="318"/>
      <c r="AN12" s="15">
        <f t="shared" ref="AN12:AP12" si="10">AN11-AO11</f>
        <v>5.907633015600001</v>
      </c>
      <c r="AO12" s="15">
        <f t="shared" si="10"/>
        <v>0.13343121000000036</v>
      </c>
      <c r="AP12" s="15">
        <f t="shared" si="10"/>
        <v>-9.6907000000001631E-3</v>
      </c>
      <c r="AQ12" s="15">
        <f>AQ11-AR11</f>
        <v>7.8645065499999998</v>
      </c>
    </row>
    <row r="13" spans="1:44" ht="18" x14ac:dyDescent="0.25">
      <c r="B13" s="134" t="s">
        <v>501</v>
      </c>
      <c r="C13" s="11" t="s">
        <v>566</v>
      </c>
      <c r="D13" s="15">
        <f t="shared" si="1"/>
        <v>3.1070007329999996</v>
      </c>
      <c r="E13" s="189">
        <v>0</v>
      </c>
      <c r="F13" s="189">
        <v>2.5499999999999998</v>
      </c>
      <c r="G13" s="189">
        <v>7.3300000000000001E-7</v>
      </c>
      <c r="H13" s="189">
        <v>0.55700000000000005</v>
      </c>
      <c r="K13" s="190"/>
      <c r="L13" s="134" t="s">
        <v>501</v>
      </c>
      <c r="M13" s="11" t="s">
        <v>31</v>
      </c>
      <c r="N13" s="185">
        <f t="shared" si="2"/>
        <v>0</v>
      </c>
      <c r="O13" s="185">
        <f t="shared" si="0"/>
        <v>0.82072719613999534</v>
      </c>
      <c r="P13" s="185">
        <f t="shared" si="0"/>
        <v>2.3591883716494768E-7</v>
      </c>
      <c r="Q13" s="185">
        <f t="shared" si="0"/>
        <v>0.17927256794116764</v>
      </c>
      <c r="T13" s="207"/>
      <c r="AE13" s="134" t="s">
        <v>598</v>
      </c>
      <c r="AF13" s="191">
        <f>AF12/$AF$11</f>
        <v>0.46125142445037381</v>
      </c>
      <c r="AG13" s="191">
        <f>AG12/$AF$11</f>
        <v>0.22904118736696982</v>
      </c>
      <c r="AH13" s="191">
        <f>AH12/$AF$11</f>
        <v>5.1731789516224307E-3</v>
      </c>
      <c r="AI13" s="191">
        <f>AI12/$AF$11</f>
        <v>-3.7571213861048105E-4</v>
      </c>
      <c r="AJ13" s="191">
        <f>AJ12/$AF$11</f>
        <v>0.3049099213696444</v>
      </c>
      <c r="AK13" s="192">
        <f>SUM(AF13:AJ13)</f>
        <v>1</v>
      </c>
      <c r="AM13" s="134" t="s">
        <v>598</v>
      </c>
      <c r="AN13" s="193">
        <f>AN12/$AN$11</f>
        <v>0.42513557856427597</v>
      </c>
      <c r="AO13" s="193">
        <f t="shared" ref="AO13:AQ13" si="11">AO12/$AN$11</f>
        <v>9.6022136974465086E-3</v>
      </c>
      <c r="AP13" s="193">
        <f t="shared" si="11"/>
        <v>-6.973793633277117E-4</v>
      </c>
      <c r="AQ13" s="193">
        <f t="shared" si="11"/>
        <v>0.56595958710160521</v>
      </c>
      <c r="AR13" s="194">
        <f>SUM(AN13:AQ13)</f>
        <v>1</v>
      </c>
    </row>
    <row r="14" spans="1:44" x14ac:dyDescent="0.25">
      <c r="B14" s="134" t="s">
        <v>502</v>
      </c>
      <c r="C14" s="11" t="s">
        <v>563</v>
      </c>
      <c r="D14" s="15">
        <f t="shared" si="1"/>
        <v>10.24</v>
      </c>
      <c r="E14" s="189">
        <v>0</v>
      </c>
      <c r="F14" s="189">
        <v>7.93</v>
      </c>
      <c r="G14" s="189">
        <v>0</v>
      </c>
      <c r="H14" s="189">
        <v>2.31</v>
      </c>
      <c r="K14" s="190"/>
      <c r="L14" s="134" t="s">
        <v>502</v>
      </c>
      <c r="M14" s="11" t="s">
        <v>31</v>
      </c>
      <c r="N14" s="185">
        <f t="shared" si="2"/>
        <v>0</v>
      </c>
      <c r="O14" s="185">
        <f t="shared" si="0"/>
        <v>0.7744140625</v>
      </c>
      <c r="P14" s="185">
        <f t="shared" si="0"/>
        <v>0</v>
      </c>
      <c r="Q14" s="185">
        <f t="shared" si="0"/>
        <v>0.2255859375</v>
      </c>
      <c r="T14" s="207"/>
      <c r="AE14" s="317" t="s">
        <v>511</v>
      </c>
      <c r="AF14" s="189">
        <f>D106</f>
        <v>3611.66</v>
      </c>
      <c r="AG14" s="189">
        <f>AN14*Calculations!$C$47</f>
        <v>2579.4175816465222</v>
      </c>
      <c r="AH14" s="189">
        <f>AO14*Calculations!$C$47</f>
        <v>1616.8660692453436</v>
      </c>
      <c r="AI14" s="189">
        <f>AP14*Calculations!$C$47</f>
        <v>1557.5529560611931</v>
      </c>
      <c r="AJ14" s="189">
        <f>AQ14*Calculations!$C$47</f>
        <v>1554.5140847979487</v>
      </c>
      <c r="AM14" s="317" t="s">
        <v>511</v>
      </c>
      <c r="AN14" s="15">
        <f>D114</f>
        <v>849.68833681000001</v>
      </c>
      <c r="AO14" s="15">
        <f>D122</f>
        <v>532.61335078000002</v>
      </c>
      <c r="AP14" s="15">
        <f>D130</f>
        <v>513.07496318000005</v>
      </c>
      <c r="AQ14" s="15">
        <f>D138</f>
        <v>512.07392578000008</v>
      </c>
    </row>
    <row r="15" spans="1:44" ht="18" x14ac:dyDescent="0.25">
      <c r="B15" s="134" t="s">
        <v>503</v>
      </c>
      <c r="C15" s="11" t="s">
        <v>566</v>
      </c>
      <c r="D15" s="15">
        <f t="shared" si="1"/>
        <v>1.0360026199999999</v>
      </c>
      <c r="E15" s="189">
        <v>0</v>
      </c>
      <c r="F15" s="189">
        <v>0.88100000000000001</v>
      </c>
      <c r="G15" s="189">
        <v>2.6199999999999999E-6</v>
      </c>
      <c r="H15" s="189">
        <v>0.155</v>
      </c>
      <c r="K15" s="190"/>
      <c r="L15" s="134" t="s">
        <v>503</v>
      </c>
      <c r="M15" s="11" t="s">
        <v>31</v>
      </c>
      <c r="N15" s="185">
        <f t="shared" si="2"/>
        <v>0</v>
      </c>
      <c r="O15" s="185">
        <f t="shared" si="0"/>
        <v>0.85038394980120813</v>
      </c>
      <c r="P15" s="185">
        <f t="shared" si="0"/>
        <v>2.5289511333475202E-6</v>
      </c>
      <c r="Q15" s="185">
        <f t="shared" si="0"/>
        <v>0.14961352124765864</v>
      </c>
      <c r="T15" s="207"/>
      <c r="AE15" s="317"/>
      <c r="AF15" s="15">
        <f t="shared" ref="AF15:AI15" si="12">AF14-AG14</f>
        <v>1032.2424183534777</v>
      </c>
      <c r="AG15" s="15">
        <f t="shared" si="12"/>
        <v>962.55151240117857</v>
      </c>
      <c r="AH15" s="15">
        <f t="shared" si="12"/>
        <v>59.313113184150552</v>
      </c>
      <c r="AI15" s="15">
        <f t="shared" si="12"/>
        <v>3.0388712632443458</v>
      </c>
      <c r="AJ15" s="15">
        <f>AJ14-AK14</f>
        <v>1554.5140847979487</v>
      </c>
      <c r="AM15" s="317"/>
      <c r="AN15" s="15">
        <f t="shared" ref="AN15:AP15" si="13">AN14-AO14</f>
        <v>317.07498602999999</v>
      </c>
      <c r="AO15" s="15">
        <f t="shared" si="13"/>
        <v>19.538387599999965</v>
      </c>
      <c r="AP15" s="15">
        <f t="shared" si="13"/>
        <v>1.0010373999999729</v>
      </c>
      <c r="AQ15" s="15">
        <f>AQ14-AR14</f>
        <v>512.07392578000008</v>
      </c>
    </row>
    <row r="16" spans="1:44" ht="18" x14ac:dyDescent="0.25">
      <c r="B16" s="134" t="s">
        <v>504</v>
      </c>
      <c r="C16" s="11" t="s">
        <v>567</v>
      </c>
      <c r="D16" s="15">
        <f t="shared" si="1"/>
        <v>9.3839999999999993E-2</v>
      </c>
      <c r="E16" s="189">
        <v>0</v>
      </c>
      <c r="F16" s="189">
        <v>8.6099999999999996E-2</v>
      </c>
      <c r="G16" s="189">
        <v>0</v>
      </c>
      <c r="H16" s="189">
        <v>7.7400000000000004E-3</v>
      </c>
      <c r="K16" s="190"/>
      <c r="L16" s="134" t="s">
        <v>504</v>
      </c>
      <c r="M16" s="11" t="s">
        <v>31</v>
      </c>
      <c r="N16" s="185">
        <f t="shared" si="2"/>
        <v>0</v>
      </c>
      <c r="O16" s="185">
        <f t="shared" si="0"/>
        <v>0.9175191815856778</v>
      </c>
      <c r="P16" s="185">
        <f t="shared" si="0"/>
        <v>0</v>
      </c>
      <c r="Q16" s="185">
        <f t="shared" si="0"/>
        <v>8.2480818414322254E-2</v>
      </c>
      <c r="T16" s="207"/>
      <c r="AE16" s="134" t="s">
        <v>598</v>
      </c>
      <c r="AF16" s="191">
        <f>AF15/$AF$14</f>
        <v>0.28580830375879174</v>
      </c>
      <c r="AG16" s="191">
        <f>AG15/$AF$14</f>
        <v>0.26651221665416419</v>
      </c>
      <c r="AH16" s="191">
        <f>AH15/$AF$14</f>
        <v>1.6422673558460808E-2</v>
      </c>
      <c r="AI16" s="191">
        <f>AI15/$AF$14</f>
        <v>8.4140568692632912E-4</v>
      </c>
      <c r="AJ16" s="191">
        <f>AJ15/$AF$14</f>
        <v>0.43041540034165698</v>
      </c>
      <c r="AK16" s="192">
        <f>SUM(AF16:AJ16)</f>
        <v>1.0000000000000002</v>
      </c>
      <c r="AM16" s="134" t="s">
        <v>598</v>
      </c>
      <c r="AN16" s="193">
        <f>AN15/$AN$14</f>
        <v>0.37316622141760852</v>
      </c>
      <c r="AO16" s="193">
        <f t="shared" ref="AO16:AQ16" si="14">AO15/$AN$14</f>
        <v>2.2994769674435311E-2</v>
      </c>
      <c r="AP16" s="193">
        <f t="shared" si="14"/>
        <v>1.1781230324499749E-3</v>
      </c>
      <c r="AQ16" s="193">
        <f t="shared" si="14"/>
        <v>0.60266088587550615</v>
      </c>
      <c r="AR16" s="194">
        <f>SUM(AN16:AQ16)</f>
        <v>1</v>
      </c>
    </row>
    <row r="17" spans="2:45" ht="18" x14ac:dyDescent="0.25">
      <c r="B17" s="176" t="s">
        <v>505</v>
      </c>
      <c r="C17" s="165" t="s">
        <v>578</v>
      </c>
      <c r="D17" s="195">
        <f t="shared" si="1"/>
        <v>216.90000001830001</v>
      </c>
      <c r="E17" s="196">
        <v>0</v>
      </c>
      <c r="F17" s="196">
        <v>154</v>
      </c>
      <c r="G17" s="196">
        <v>1.8299999999999998E-8</v>
      </c>
      <c r="H17" s="196">
        <v>62.9</v>
      </c>
      <c r="K17" s="190"/>
      <c r="L17" s="197" t="s">
        <v>505</v>
      </c>
      <c r="M17" s="198" t="s">
        <v>31</v>
      </c>
      <c r="N17" s="199">
        <f t="shared" si="2"/>
        <v>0</v>
      </c>
      <c r="O17" s="199">
        <f t="shared" si="0"/>
        <v>0.71000461035964457</v>
      </c>
      <c r="P17" s="199">
        <f t="shared" si="0"/>
        <v>8.4370677724555156E-11</v>
      </c>
      <c r="Q17" s="199">
        <f t="shared" si="0"/>
        <v>0.2899953895559847</v>
      </c>
      <c r="T17" s="207"/>
    </row>
    <row r="18" spans="2:45" x14ac:dyDescent="0.25">
      <c r="B18" s="134" t="s">
        <v>506</v>
      </c>
      <c r="C18" s="11" t="s">
        <v>517</v>
      </c>
      <c r="D18" s="15">
        <f t="shared" si="1"/>
        <v>3601.57</v>
      </c>
      <c r="E18" s="189">
        <v>0</v>
      </c>
      <c r="F18" s="189">
        <v>2570</v>
      </c>
      <c r="G18" s="189">
        <v>1.57</v>
      </c>
      <c r="H18" s="189">
        <v>1030</v>
      </c>
      <c r="K18" s="190"/>
      <c r="L18" s="134" t="s">
        <v>506</v>
      </c>
      <c r="M18" s="11" t="s">
        <v>31</v>
      </c>
      <c r="N18" s="185">
        <f t="shared" si="2"/>
        <v>0</v>
      </c>
      <c r="O18" s="185">
        <f t="shared" si="0"/>
        <v>0.71357768972975666</v>
      </c>
      <c r="P18" s="185">
        <f t="shared" si="0"/>
        <v>4.3592100111895647E-4</v>
      </c>
      <c r="Q18" s="185">
        <f t="shared" si="0"/>
        <v>0.28598638926912429</v>
      </c>
      <c r="T18" s="207"/>
    </row>
    <row r="19" spans="2:45" x14ac:dyDescent="0.25">
      <c r="B19" s="134" t="s">
        <v>507</v>
      </c>
      <c r="C19" s="11" t="s">
        <v>518</v>
      </c>
      <c r="D19" s="15">
        <f t="shared" si="1"/>
        <v>7.9630000000000001</v>
      </c>
      <c r="E19" s="189">
        <v>0</v>
      </c>
      <c r="F19" s="189">
        <v>6.59</v>
      </c>
      <c r="G19" s="189">
        <v>9.2999999999999999E-2</v>
      </c>
      <c r="H19" s="189">
        <v>1.28</v>
      </c>
      <c r="K19" s="190"/>
      <c r="L19" s="134" t="s">
        <v>507</v>
      </c>
      <c r="M19" s="11" t="s">
        <v>31</v>
      </c>
      <c r="N19" s="185">
        <f t="shared" si="2"/>
        <v>0</v>
      </c>
      <c r="O19" s="185">
        <f t="shared" si="0"/>
        <v>0.82757754615094814</v>
      </c>
      <c r="P19" s="185">
        <f t="shared" si="0"/>
        <v>1.1679015446439784E-2</v>
      </c>
      <c r="Q19" s="185">
        <f t="shared" si="0"/>
        <v>0.16074343840261207</v>
      </c>
      <c r="T19" s="207"/>
    </row>
    <row r="21" spans="2:45" ht="17.25" x14ac:dyDescent="0.25">
      <c r="B21" s="319" t="s">
        <v>710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3" spans="2:45" ht="30.95" customHeight="1" x14ac:dyDescent="0.25">
      <c r="B23" s="167" t="s">
        <v>569</v>
      </c>
      <c r="C23" s="167" t="s">
        <v>365</v>
      </c>
      <c r="D23" s="167" t="s">
        <v>223</v>
      </c>
      <c r="E23" s="167" t="s">
        <v>494</v>
      </c>
      <c r="F23" s="167" t="s">
        <v>230</v>
      </c>
      <c r="G23" s="167" t="s">
        <v>570</v>
      </c>
      <c r="H23" s="167" t="s">
        <v>341</v>
      </c>
      <c r="I23" s="167" t="s">
        <v>571</v>
      </c>
      <c r="J23" s="167" t="s">
        <v>572</v>
      </c>
      <c r="L23" s="133" t="s">
        <v>569</v>
      </c>
      <c r="M23" s="133" t="s">
        <v>365</v>
      </c>
      <c r="N23" s="167" t="s">
        <v>494</v>
      </c>
      <c r="O23" s="167" t="s">
        <v>230</v>
      </c>
      <c r="P23" s="167" t="s">
        <v>570</v>
      </c>
      <c r="Q23" s="167" t="s">
        <v>341</v>
      </c>
      <c r="R23" s="167" t="s">
        <v>571</v>
      </c>
      <c r="S23" s="167" t="s">
        <v>572</v>
      </c>
    </row>
    <row r="24" spans="2:45" ht="18" x14ac:dyDescent="0.25">
      <c r="B24" s="134" t="s">
        <v>495</v>
      </c>
      <c r="C24" s="11" t="s">
        <v>564</v>
      </c>
      <c r="D24" s="15">
        <f>SUM(E24:J24)</f>
        <v>0.80093889765799986</v>
      </c>
      <c r="E24" s="189">
        <f>D43</f>
        <v>0.52196399999999998</v>
      </c>
      <c r="F24" s="189">
        <v>0.25269651999999998</v>
      </c>
      <c r="G24" s="189">
        <v>0</v>
      </c>
      <c r="H24" s="189">
        <v>1.7657999999999998E-8</v>
      </c>
      <c r="I24" s="189">
        <v>1.3855000000000001E-4</v>
      </c>
      <c r="J24" s="189">
        <v>2.6139809999999999E-2</v>
      </c>
      <c r="L24" s="134" t="s">
        <v>495</v>
      </c>
      <c r="M24" s="11" t="s">
        <v>31</v>
      </c>
      <c r="N24" s="185">
        <f>E24/$D24</f>
        <v>0.65169016204139718</v>
      </c>
      <c r="O24" s="185">
        <f t="shared" ref="O24:S38" si="15">F24/$D24</f>
        <v>0.31550037179977386</v>
      </c>
      <c r="P24" s="185">
        <f t="shared" si="15"/>
        <v>0</v>
      </c>
      <c r="Q24" s="185">
        <f t="shared" si="15"/>
        <v>2.2046625593579234E-8</v>
      </c>
      <c r="R24" s="185">
        <f t="shared" si="15"/>
        <v>1.7298448159420112E-4</v>
      </c>
      <c r="S24" s="185">
        <f t="shared" si="15"/>
        <v>3.2636459630609266E-2</v>
      </c>
      <c r="T24" s="207"/>
    </row>
    <row r="25" spans="2:45" ht="18" x14ac:dyDescent="0.25">
      <c r="B25" s="134" t="s">
        <v>496</v>
      </c>
      <c r="C25" s="11" t="s">
        <v>564</v>
      </c>
      <c r="D25" s="15">
        <f t="shared" ref="D25:D38" si="16">SUM(E25:J25)</f>
        <v>1.5495472581699998</v>
      </c>
      <c r="E25" s="189">
        <f t="shared" ref="E25:E38" si="17">D44</f>
        <v>0.40989023999999991</v>
      </c>
      <c r="F25" s="189">
        <v>1.1292310299999999</v>
      </c>
      <c r="G25" s="189">
        <v>0</v>
      </c>
      <c r="H25" s="189">
        <v>3.7817E-7</v>
      </c>
      <c r="I25" s="189">
        <v>5.6085E-4</v>
      </c>
      <c r="J25" s="189">
        <v>9.8647600000000002E-3</v>
      </c>
      <c r="L25" s="134" t="s">
        <v>496</v>
      </c>
      <c r="M25" s="11" t="s">
        <v>31</v>
      </c>
      <c r="N25" s="185">
        <f t="shared" ref="N25:N38" si="18">E25/$D25</f>
        <v>0.26452258092733244</v>
      </c>
      <c r="O25" s="185">
        <f t="shared" si="15"/>
        <v>0.72874900978083801</v>
      </c>
      <c r="P25" s="185">
        <f t="shared" si="15"/>
        <v>0</v>
      </c>
      <c r="Q25" s="185">
        <f t="shared" si="15"/>
        <v>2.4405193065658101E-7</v>
      </c>
      <c r="R25" s="185">
        <f t="shared" si="15"/>
        <v>3.6194443057022883E-4</v>
      </c>
      <c r="S25" s="185">
        <f t="shared" si="15"/>
        <v>6.3662208093286455E-3</v>
      </c>
      <c r="T25" s="207"/>
      <c r="AS25" s="139" t="s">
        <v>505</v>
      </c>
    </row>
    <row r="26" spans="2:45" x14ac:dyDescent="0.25">
      <c r="B26" s="134" t="s">
        <v>497</v>
      </c>
      <c r="C26" s="11" t="s">
        <v>512</v>
      </c>
      <c r="D26" s="15">
        <f t="shared" si="16"/>
        <v>5.3054958083100005E-2</v>
      </c>
      <c r="E26" s="189">
        <f t="shared" si="17"/>
        <v>2.830353E-2</v>
      </c>
      <c r="F26" s="189">
        <v>2.145611E-2</v>
      </c>
      <c r="G26" s="189">
        <v>4.3473000000000002E-5</v>
      </c>
      <c r="H26" s="189">
        <v>5.0831000000000004E-9</v>
      </c>
      <c r="I26" s="189">
        <v>1.0458799999999999E-3</v>
      </c>
      <c r="J26" s="189">
        <v>2.2059599999999999E-3</v>
      </c>
      <c r="L26" s="134" t="s">
        <v>497</v>
      </c>
      <c r="M26" s="11" t="s">
        <v>31</v>
      </c>
      <c r="N26" s="185">
        <f t="shared" si="18"/>
        <v>0.5334756830015428</v>
      </c>
      <c r="O26" s="185">
        <f t="shared" si="15"/>
        <v>0.40441291022025283</v>
      </c>
      <c r="P26" s="185">
        <f t="shared" si="15"/>
        <v>8.1939561486238897E-4</v>
      </c>
      <c r="Q26" s="185">
        <f t="shared" si="15"/>
        <v>9.5808199339981357E-8</v>
      </c>
      <c r="R26" s="185">
        <f t="shared" si="15"/>
        <v>1.9713143460821089E-2</v>
      </c>
      <c r="S26" s="185">
        <f t="shared" si="15"/>
        <v>4.1578771894321423E-2</v>
      </c>
      <c r="T26" s="207"/>
      <c r="AS26" s="139" t="s">
        <v>508</v>
      </c>
    </row>
    <row r="27" spans="2:45" x14ac:dyDescent="0.25">
      <c r="B27" s="134" t="s">
        <v>561</v>
      </c>
      <c r="C27" s="11" t="s">
        <v>513</v>
      </c>
      <c r="D27" s="15">
        <f t="shared" si="16"/>
        <v>1123.6334173399998</v>
      </c>
      <c r="E27" s="189">
        <f t="shared" si="17"/>
        <v>934.88985971</v>
      </c>
      <c r="F27" s="189">
        <v>108.956751</v>
      </c>
      <c r="G27" s="189">
        <v>0</v>
      </c>
      <c r="H27" s="189">
        <v>3.4710700000000001E-3</v>
      </c>
      <c r="I27" s="189">
        <v>1.00467876</v>
      </c>
      <c r="J27" s="189">
        <v>78.778656799999993</v>
      </c>
      <c r="L27" s="134" t="s">
        <v>561</v>
      </c>
      <c r="M27" s="11" t="s">
        <v>31</v>
      </c>
      <c r="N27" s="185">
        <f t="shared" si="18"/>
        <v>0.83202390146350735</v>
      </c>
      <c r="O27" s="185">
        <f t="shared" si="15"/>
        <v>9.696823654278236E-2</v>
      </c>
      <c r="P27" s="185">
        <f t="shared" si="15"/>
        <v>0</v>
      </c>
      <c r="Q27" s="185">
        <f t="shared" si="15"/>
        <v>3.0891480677186822E-6</v>
      </c>
      <c r="R27" s="185">
        <f t="shared" si="15"/>
        <v>8.9413392704036556E-4</v>
      </c>
      <c r="S27" s="185">
        <f t="shared" si="15"/>
        <v>7.0110638918602392E-2</v>
      </c>
      <c r="T27" s="207"/>
      <c r="AS27" s="139" t="s">
        <v>509</v>
      </c>
    </row>
    <row r="28" spans="2:45" x14ac:dyDescent="0.25">
      <c r="B28" s="134" t="s">
        <v>498</v>
      </c>
      <c r="C28" s="11" t="s">
        <v>514</v>
      </c>
      <c r="D28" s="15">
        <f t="shared" si="16"/>
        <v>5.7763639000125558E-6</v>
      </c>
      <c r="E28" s="189">
        <f t="shared" si="17"/>
        <v>4.1936119999999994E-6</v>
      </c>
      <c r="F28" s="189">
        <v>1.3468E-6</v>
      </c>
      <c r="G28" s="189">
        <v>0</v>
      </c>
      <c r="H28" s="189">
        <v>1.2556E-17</v>
      </c>
      <c r="I28" s="189">
        <v>2.2918999999999999E-9</v>
      </c>
      <c r="J28" s="189">
        <v>2.3365999999999999E-7</v>
      </c>
      <c r="L28" s="134" t="s">
        <v>498</v>
      </c>
      <c r="M28" s="11" t="s">
        <v>31</v>
      </c>
      <c r="N28" s="185">
        <f t="shared" si="18"/>
        <v>0.72599511952335349</v>
      </c>
      <c r="O28" s="185">
        <f t="shared" si="15"/>
        <v>0.23315705577293572</v>
      </c>
      <c r="P28" s="185">
        <f t="shared" si="15"/>
        <v>0</v>
      </c>
      <c r="Q28" s="185">
        <f t="shared" si="15"/>
        <v>2.1736857679573663E-12</v>
      </c>
      <c r="R28" s="185">
        <f t="shared" si="15"/>
        <v>3.9677209394564254E-4</v>
      </c>
      <c r="S28" s="185">
        <f t="shared" si="15"/>
        <v>4.0451052607591444E-2</v>
      </c>
      <c r="T28" s="207"/>
      <c r="AS28" s="139" t="s">
        <v>511</v>
      </c>
    </row>
    <row r="29" spans="2:45" ht="18" x14ac:dyDescent="0.25">
      <c r="B29" s="134" t="s">
        <v>499</v>
      </c>
      <c r="C29" s="11" t="s">
        <v>565</v>
      </c>
      <c r="D29" s="15">
        <f t="shared" si="16"/>
        <v>1.2958129355999997E-2</v>
      </c>
      <c r="E29" s="189">
        <f t="shared" si="17"/>
        <v>7.2887100000000003E-3</v>
      </c>
      <c r="F29" s="189">
        <v>3.17205E-3</v>
      </c>
      <c r="G29" s="189">
        <v>1.9904999999999999E-4</v>
      </c>
      <c r="H29" s="189">
        <v>8.9355999999999996E-8</v>
      </c>
      <c r="I29" s="189">
        <v>2.09683E-3</v>
      </c>
      <c r="J29" s="189">
        <v>2.0139999999999999E-4</v>
      </c>
      <c r="L29" s="134" t="s">
        <v>499</v>
      </c>
      <c r="M29" s="11" t="s">
        <v>31</v>
      </c>
      <c r="N29" s="185">
        <f t="shared" si="18"/>
        <v>0.56248165146037166</v>
      </c>
      <c r="O29" s="185">
        <f t="shared" si="15"/>
        <v>0.24479227771647818</v>
      </c>
      <c r="P29" s="185">
        <f t="shared" si="15"/>
        <v>1.5361013502140565E-2</v>
      </c>
      <c r="Q29" s="185">
        <f t="shared" si="15"/>
        <v>6.8957484174693415E-6</v>
      </c>
      <c r="R29" s="185">
        <f t="shared" si="15"/>
        <v>0.16181579473345092</v>
      </c>
      <c r="S29" s="185">
        <f t="shared" si="15"/>
        <v>1.5542366839141472E-2</v>
      </c>
      <c r="T29" s="207"/>
    </row>
    <row r="30" spans="2:45" x14ac:dyDescent="0.25">
      <c r="B30" s="134" t="s">
        <v>500</v>
      </c>
      <c r="C30" s="11" t="s">
        <v>515</v>
      </c>
      <c r="D30" s="15">
        <f t="shared" si="16"/>
        <v>3173.90565295852</v>
      </c>
      <c r="E30" s="189">
        <f t="shared" si="17"/>
        <v>1867.9197110999999</v>
      </c>
      <c r="F30" s="189">
        <v>1213.7295899999999</v>
      </c>
      <c r="G30" s="189">
        <v>3.6852000000000002E-7</v>
      </c>
      <c r="H30" s="189">
        <v>0.16112594</v>
      </c>
      <c r="I30" s="189">
        <v>0.57671265000000005</v>
      </c>
      <c r="J30" s="189">
        <v>91.518512900000005</v>
      </c>
      <c r="L30" s="134" t="s">
        <v>500</v>
      </c>
      <c r="M30" s="11" t="s">
        <v>31</v>
      </c>
      <c r="N30" s="185">
        <f t="shared" si="18"/>
        <v>0.58852401909264052</v>
      </c>
      <c r="O30" s="185">
        <f t="shared" si="15"/>
        <v>0.38240884346030757</v>
      </c>
      <c r="P30" s="185">
        <f t="shared" si="15"/>
        <v>1.1610931145873486E-10</v>
      </c>
      <c r="Q30" s="185">
        <f t="shared" si="15"/>
        <v>5.0765825332523129E-5</v>
      </c>
      <c r="R30" s="185">
        <f t="shared" si="15"/>
        <v>1.8170440871877332E-4</v>
      </c>
      <c r="S30" s="185">
        <f t="shared" si="15"/>
        <v>2.8834667096891198E-2</v>
      </c>
      <c r="T30" s="207"/>
    </row>
    <row r="31" spans="2:45" x14ac:dyDescent="0.25">
      <c r="B31" s="134" t="s">
        <v>562</v>
      </c>
      <c r="C31" s="11" t="s">
        <v>516</v>
      </c>
      <c r="D31" s="15">
        <f t="shared" si="16"/>
        <v>1265.9608753599</v>
      </c>
      <c r="E31" s="189">
        <f t="shared" si="17"/>
        <v>854.16789189999997</v>
      </c>
      <c r="F31" s="189">
        <v>389.18070999999998</v>
      </c>
      <c r="G31" s="189">
        <v>1.4599E-6</v>
      </c>
      <c r="H31" s="189">
        <v>3.4010000000000001E-5</v>
      </c>
      <c r="I31" s="189">
        <v>0.73776668999999995</v>
      </c>
      <c r="J31" s="189">
        <v>21.8744713</v>
      </c>
      <c r="L31" s="134" t="s">
        <v>562</v>
      </c>
      <c r="M31" s="11" t="s">
        <v>31</v>
      </c>
      <c r="N31" s="185">
        <f t="shared" si="18"/>
        <v>0.67471902846694898</v>
      </c>
      <c r="O31" s="185">
        <f t="shared" si="15"/>
        <v>0.30741922406516692</v>
      </c>
      <c r="P31" s="185">
        <f t="shared" si="15"/>
        <v>1.1531951961666786E-9</v>
      </c>
      <c r="Q31" s="185">
        <f t="shared" si="15"/>
        <v>2.6864969259284021E-8</v>
      </c>
      <c r="R31" s="185">
        <f t="shared" si="15"/>
        <v>5.8277210959640461E-4</v>
      </c>
      <c r="S31" s="185">
        <f t="shared" si="15"/>
        <v>1.7278947340123214E-2</v>
      </c>
      <c r="T31" s="207"/>
    </row>
    <row r="32" spans="2:45" ht="18.75" thickBot="1" x14ac:dyDescent="0.3">
      <c r="B32" s="134" t="s">
        <v>501</v>
      </c>
      <c r="C32" s="11" t="s">
        <v>566</v>
      </c>
      <c r="D32" s="15">
        <f t="shared" si="16"/>
        <v>0.84016876926999995</v>
      </c>
      <c r="E32" s="189">
        <f t="shared" si="17"/>
        <v>0.45398537999999999</v>
      </c>
      <c r="F32" s="189">
        <v>0.32369068000000001</v>
      </c>
      <c r="G32" s="189">
        <v>5.5734000000000003E-4</v>
      </c>
      <c r="H32" s="189">
        <v>2.1927E-7</v>
      </c>
      <c r="I32" s="189">
        <v>2.7543620000000001E-2</v>
      </c>
      <c r="J32" s="189">
        <v>3.4391529999999997E-2</v>
      </c>
      <c r="L32" s="134" t="s">
        <v>501</v>
      </c>
      <c r="M32" s="11" t="s">
        <v>31</v>
      </c>
      <c r="N32" s="185">
        <f t="shared" si="18"/>
        <v>0.54035022081867634</v>
      </c>
      <c r="O32" s="185">
        <f t="shared" si="15"/>
        <v>0.38526864106273095</v>
      </c>
      <c r="P32" s="185">
        <f t="shared" si="15"/>
        <v>6.6336671914650881E-4</v>
      </c>
      <c r="Q32" s="185">
        <f t="shared" si="15"/>
        <v>2.6098327862212471E-7</v>
      </c>
      <c r="R32" s="185">
        <f t="shared" si="15"/>
        <v>3.278343709911035E-2</v>
      </c>
      <c r="S32" s="185">
        <f t="shared" si="15"/>
        <v>4.0934073317057326E-2</v>
      </c>
      <c r="T32" s="207"/>
    </row>
    <row r="33" spans="2:43" ht="18" thickBot="1" x14ac:dyDescent="0.3">
      <c r="B33" s="134" t="s">
        <v>502</v>
      </c>
      <c r="C33" s="11" t="s">
        <v>563</v>
      </c>
      <c r="D33" s="15">
        <f t="shared" si="16"/>
        <v>2.6131621600000003</v>
      </c>
      <c r="E33" s="189">
        <f t="shared" si="17"/>
        <v>0.61026373</v>
      </c>
      <c r="F33" s="189">
        <v>1.9778363699999999</v>
      </c>
      <c r="G33" s="189">
        <v>0</v>
      </c>
      <c r="H33" s="189">
        <v>0</v>
      </c>
      <c r="I33" s="189">
        <v>1.0606299999999999E-3</v>
      </c>
      <c r="J33" s="189">
        <v>2.4001430000000001E-2</v>
      </c>
      <c r="L33" s="134" t="s">
        <v>502</v>
      </c>
      <c r="M33" s="11" t="s">
        <v>31</v>
      </c>
      <c r="N33" s="185">
        <f t="shared" si="18"/>
        <v>0.23353458095382795</v>
      </c>
      <c r="O33" s="185">
        <f t="shared" si="15"/>
        <v>0.75687471687558783</v>
      </c>
      <c r="P33" s="185">
        <f t="shared" si="15"/>
        <v>0</v>
      </c>
      <c r="Q33" s="185">
        <f t="shared" si="15"/>
        <v>0</v>
      </c>
      <c r="R33" s="185">
        <f t="shared" si="15"/>
        <v>4.0587990146007618E-4</v>
      </c>
      <c r="S33" s="185">
        <f t="shared" si="15"/>
        <v>9.1848222691239319E-3</v>
      </c>
      <c r="T33" s="207"/>
      <c r="AF33" s="314" t="s">
        <v>658</v>
      </c>
      <c r="AG33" s="315"/>
      <c r="AH33" s="315"/>
      <c r="AI33" s="315"/>
      <c r="AJ33" s="316"/>
      <c r="AN33" s="314" t="s">
        <v>659</v>
      </c>
      <c r="AO33" s="315"/>
      <c r="AP33" s="315"/>
      <c r="AQ33" s="316"/>
    </row>
    <row r="34" spans="2:43" ht="18" x14ac:dyDescent="0.25">
      <c r="B34" s="134" t="s">
        <v>503</v>
      </c>
      <c r="C34" s="11" t="s">
        <v>566</v>
      </c>
      <c r="D34" s="15">
        <f t="shared" si="16"/>
        <v>215.2687213024</v>
      </c>
      <c r="E34" s="189">
        <f t="shared" si="17"/>
        <v>215.12753782999999</v>
      </c>
      <c r="F34" s="189">
        <v>0.12098804000000001</v>
      </c>
      <c r="G34" s="189">
        <v>5.5734000000000003E-4</v>
      </c>
      <c r="H34" s="189">
        <v>7.8240000000000002E-7</v>
      </c>
      <c r="I34" s="189">
        <v>7.8460999999999999E-3</v>
      </c>
      <c r="J34" s="189">
        <v>1.179121E-2</v>
      </c>
      <c r="L34" s="134" t="s">
        <v>503</v>
      </c>
      <c r="M34" s="11" t="s">
        <v>31</v>
      </c>
      <c r="N34" s="185">
        <f t="shared" si="18"/>
        <v>0.99934415240846031</v>
      </c>
      <c r="O34" s="185">
        <f t="shared" si="15"/>
        <v>5.6203260403094675E-4</v>
      </c>
      <c r="P34" s="185">
        <f t="shared" si="15"/>
        <v>2.5890431114563707E-6</v>
      </c>
      <c r="Q34" s="185">
        <f t="shared" si="15"/>
        <v>3.6345270937012675E-9</v>
      </c>
      <c r="R34" s="185">
        <f t="shared" si="15"/>
        <v>3.6447933320410931E-5</v>
      </c>
      <c r="S34" s="185">
        <f t="shared" si="15"/>
        <v>5.477437654974607E-5</v>
      </c>
      <c r="T34" s="207"/>
    </row>
    <row r="35" spans="2:43" ht="30" x14ac:dyDescent="0.25">
      <c r="B35" s="134" t="s">
        <v>504</v>
      </c>
      <c r="C35" s="11" t="s">
        <v>567</v>
      </c>
      <c r="D35" s="15">
        <f t="shared" si="16"/>
        <v>2.8364782799999998E-2</v>
      </c>
      <c r="E35" s="189">
        <f t="shared" si="17"/>
        <v>3.9880890000000002E-3</v>
      </c>
      <c r="F35" s="189">
        <v>2.1524990000000001E-2</v>
      </c>
      <c r="G35" s="189">
        <v>2.6274599999999999E-3</v>
      </c>
      <c r="H35" s="189">
        <v>0</v>
      </c>
      <c r="I35" s="189">
        <v>1.8137999999999999E-6</v>
      </c>
      <c r="J35" s="189">
        <v>2.2243E-4</v>
      </c>
      <c r="L35" s="134" t="s">
        <v>504</v>
      </c>
      <c r="M35" s="11" t="s">
        <v>31</v>
      </c>
      <c r="N35" s="185">
        <f t="shared" si="18"/>
        <v>0.14060001897846369</v>
      </c>
      <c r="O35" s="185">
        <f t="shared" si="15"/>
        <v>0.75886320553810138</v>
      </c>
      <c r="P35" s="185">
        <f t="shared" si="15"/>
        <v>9.2631063615970996E-2</v>
      </c>
      <c r="Q35" s="185">
        <f t="shared" si="15"/>
        <v>0</v>
      </c>
      <c r="R35" s="185">
        <f t="shared" si="15"/>
        <v>6.394549229546718E-5</v>
      </c>
      <c r="S35" s="185">
        <f t="shared" si="15"/>
        <v>7.8417663751685768E-3</v>
      </c>
      <c r="T35" s="207"/>
      <c r="AF35" s="167" t="s">
        <v>646</v>
      </c>
      <c r="AG35" s="167" t="s">
        <v>492</v>
      </c>
      <c r="AH35" s="167" t="s">
        <v>494</v>
      </c>
      <c r="AI35" s="167" t="s">
        <v>493</v>
      </c>
      <c r="AJ35" s="167" t="s">
        <v>597</v>
      </c>
      <c r="AN35" s="167" t="s">
        <v>492</v>
      </c>
      <c r="AO35" s="167" t="s">
        <v>494</v>
      </c>
      <c r="AP35" s="167" t="s">
        <v>493</v>
      </c>
      <c r="AQ35" s="167" t="s">
        <v>597</v>
      </c>
    </row>
    <row r="36" spans="2:43" ht="18" x14ac:dyDescent="0.25">
      <c r="B36" s="176" t="s">
        <v>505</v>
      </c>
      <c r="C36" s="165" t="s">
        <v>578</v>
      </c>
      <c r="D36" s="195">
        <f t="shared" si="16"/>
        <v>50.784374665482098</v>
      </c>
      <c r="E36" s="196">
        <f>D55</f>
        <v>27.886835610000002</v>
      </c>
      <c r="F36" s="196">
        <v>13.9315973</v>
      </c>
      <c r="G36" s="196">
        <v>0.47771999999999998</v>
      </c>
      <c r="H36" s="196">
        <v>5.4821000000000003E-9</v>
      </c>
      <c r="I36" s="196">
        <v>6.7667284800000003</v>
      </c>
      <c r="J36" s="196">
        <v>1.7214932700000001</v>
      </c>
      <c r="L36" s="197" t="s">
        <v>505</v>
      </c>
      <c r="M36" s="198" t="s">
        <v>31</v>
      </c>
      <c r="N36" s="199">
        <f t="shared" si="18"/>
        <v>0.5491223588690668</v>
      </c>
      <c r="O36" s="199">
        <f t="shared" si="15"/>
        <v>0.27432842073507391</v>
      </c>
      <c r="P36" s="199">
        <f t="shared" si="15"/>
        <v>9.406830410864625E-3</v>
      </c>
      <c r="Q36" s="199">
        <f t="shared" si="15"/>
        <v>1.0794855772293595E-10</v>
      </c>
      <c r="R36" s="199">
        <f t="shared" si="15"/>
        <v>0.13324430052693578</v>
      </c>
      <c r="S36" s="199">
        <f t="shared" si="15"/>
        <v>3.3898089350110495E-2</v>
      </c>
      <c r="T36" s="207"/>
      <c r="AE36" s="318" t="str">
        <f>$B$24</f>
        <v>Carcinogens</v>
      </c>
      <c r="AF36" s="15">
        <f>D5</f>
        <v>2.9320000590999999</v>
      </c>
      <c r="AG36" s="15">
        <f>AN36*Calculations!$C$47</f>
        <v>2.4314278364698803</v>
      </c>
      <c r="AH36" s="15">
        <f>AO36*Calculations!$C$47</f>
        <v>1.5845376007410201</v>
      </c>
      <c r="AI36" s="15">
        <f>AP36*Calculations!$C$47</f>
        <v>1.5403372758442431</v>
      </c>
      <c r="AJ36" s="15">
        <f>AQ36*Calculations!$C$47</f>
        <v>1.5835906376187068</v>
      </c>
      <c r="AM36" s="318" t="str">
        <f>$B$24</f>
        <v>Carcinogens</v>
      </c>
      <c r="AN36" s="15">
        <f>D24</f>
        <v>0.80093889765799986</v>
      </c>
      <c r="AO36" s="15">
        <f>D43</f>
        <v>0.52196399999999998</v>
      </c>
      <c r="AP36" s="15">
        <f>D62</f>
        <v>0.50740392999999995</v>
      </c>
      <c r="AQ36" s="15">
        <f>D81</f>
        <v>0.52165205999999997</v>
      </c>
    </row>
    <row r="37" spans="2:43" x14ac:dyDescent="0.25">
      <c r="B37" s="134" t="s">
        <v>506</v>
      </c>
      <c r="C37" s="11" t="s">
        <v>517</v>
      </c>
      <c r="D37" s="15">
        <f t="shared" si="16"/>
        <v>846.74675035999985</v>
      </c>
      <c r="E37" s="189">
        <f t="shared" si="17"/>
        <v>531.31996206999997</v>
      </c>
      <c r="F37" s="189">
        <v>160.09291899999999</v>
      </c>
      <c r="G37" s="189">
        <v>5.5734000000000004</v>
      </c>
      <c r="H37" s="189">
        <v>0.46913758999999999</v>
      </c>
      <c r="I37" s="189">
        <v>114.23347699999999</v>
      </c>
      <c r="J37" s="189">
        <v>35.0578547</v>
      </c>
      <c r="L37" s="134" t="s">
        <v>506</v>
      </c>
      <c r="M37" s="11" t="s">
        <v>31</v>
      </c>
      <c r="N37" s="185">
        <f t="shared" si="18"/>
        <v>0.62748391044206053</v>
      </c>
      <c r="O37" s="185">
        <f t="shared" si="15"/>
        <v>0.18906824139795689</v>
      </c>
      <c r="P37" s="185">
        <f t="shared" si="15"/>
        <v>6.5821333210082395E-3</v>
      </c>
      <c r="Q37" s="185">
        <f t="shared" si="15"/>
        <v>5.5404711007221827E-4</v>
      </c>
      <c r="R37" s="185">
        <f t="shared" si="15"/>
        <v>0.13490866891598094</v>
      </c>
      <c r="S37" s="185">
        <f t="shared" si="15"/>
        <v>4.1402998812921248E-2</v>
      </c>
      <c r="T37" s="207"/>
      <c r="AE37" s="318"/>
      <c r="AF37" s="15">
        <f>AF36-AG36</f>
        <v>0.50057222263011969</v>
      </c>
      <c r="AG37" s="15">
        <f>AG36-AH36</f>
        <v>0.84689023572886013</v>
      </c>
      <c r="AH37" s="15">
        <f t="shared" ref="AH37:AJ37" si="19">AH36-AI36</f>
        <v>4.4200324896777055E-2</v>
      </c>
      <c r="AI37" s="15">
        <f t="shared" si="19"/>
        <v>-4.3253361774463706E-2</v>
      </c>
      <c r="AJ37" s="15">
        <f t="shared" si="19"/>
        <v>1.5835906376187068</v>
      </c>
      <c r="AM37" s="318"/>
      <c r="AN37" s="15">
        <f>AN36-AO36</f>
        <v>0.27897489765799988</v>
      </c>
      <c r="AO37" s="15">
        <f t="shared" ref="AO37:AQ37" si="20">AO36-AP36</f>
        <v>1.4560070000000036E-2</v>
      </c>
      <c r="AP37" s="15">
        <f t="shared" si="20"/>
        <v>-1.4248130000000025E-2</v>
      </c>
      <c r="AQ37" s="15">
        <f t="shared" si="20"/>
        <v>0.52165205999999997</v>
      </c>
    </row>
    <row r="38" spans="2:43" ht="30" x14ac:dyDescent="0.25">
      <c r="B38" s="134" t="s">
        <v>507</v>
      </c>
      <c r="C38" s="11" t="s">
        <v>518</v>
      </c>
      <c r="D38" s="15">
        <f t="shared" si="16"/>
        <v>2.1719855299999997</v>
      </c>
      <c r="E38" s="189">
        <f t="shared" si="17"/>
        <v>0.52378835999999995</v>
      </c>
      <c r="F38" s="189">
        <v>1.6004039400000001</v>
      </c>
      <c r="G38" s="189">
        <v>0</v>
      </c>
      <c r="H38" s="189">
        <v>2.7814640000000002E-2</v>
      </c>
      <c r="I38" s="189">
        <v>4.2045E-4</v>
      </c>
      <c r="J38" s="189">
        <v>1.9558140000000002E-2</v>
      </c>
      <c r="L38" s="134" t="s">
        <v>507</v>
      </c>
      <c r="M38" s="11" t="s">
        <v>31</v>
      </c>
      <c r="N38" s="185">
        <f t="shared" si="18"/>
        <v>0.24115646847794608</v>
      </c>
      <c r="O38" s="185">
        <f t="shared" si="15"/>
        <v>0.73683913538779433</v>
      </c>
      <c r="P38" s="185">
        <f t="shared" si="15"/>
        <v>0</v>
      </c>
      <c r="Q38" s="185">
        <f t="shared" si="15"/>
        <v>1.2806088998208015E-2</v>
      </c>
      <c r="R38" s="185">
        <f t="shared" si="15"/>
        <v>1.9357863769930368E-4</v>
      </c>
      <c r="S38" s="185">
        <f t="shared" si="15"/>
        <v>9.004728498352382E-3</v>
      </c>
      <c r="T38" s="207"/>
      <c r="AE38" s="134" t="s">
        <v>598</v>
      </c>
      <c r="AF38" s="193">
        <f>AF37/$AF36</f>
        <v>0.17072722119377248</v>
      </c>
      <c r="AG38" s="193">
        <f t="shared" ref="AG38:AJ38" si="21">AG37/$AF36</f>
        <v>0.28884386720947736</v>
      </c>
      <c r="AH38" s="193">
        <f t="shared" si="21"/>
        <v>1.5075144613177357E-2</v>
      </c>
      <c r="AI38" s="193">
        <f t="shared" si="21"/>
        <v>-1.47521694756516E-2</v>
      </c>
      <c r="AJ38" s="193">
        <f t="shared" si="21"/>
        <v>0.54010593645922444</v>
      </c>
      <c r="AM38" s="186" t="s">
        <v>598</v>
      </c>
      <c r="AN38" s="193">
        <f>AN37/$AN$36</f>
        <v>0.34830983795860282</v>
      </c>
      <c r="AO38" s="193">
        <f t="shared" ref="AO38:AQ38" si="22">AO37/$AN$36</f>
        <v>1.8178752514798165E-2</v>
      </c>
      <c r="AP38" s="193">
        <f t="shared" si="22"/>
        <v>-1.7789284602936044E-2</v>
      </c>
      <c r="AQ38" s="193">
        <f t="shared" si="22"/>
        <v>0.65130069412953506</v>
      </c>
    </row>
    <row r="39" spans="2:43" x14ac:dyDescent="0.25">
      <c r="AE39" s="318" t="str">
        <f>$B$25</f>
        <v>Non-carcinogens</v>
      </c>
      <c r="AF39" s="15">
        <f>D6</f>
        <v>5.8400012600000002</v>
      </c>
      <c r="AG39" s="15">
        <f>AN39*Calculations!$C$47</f>
        <v>4.7039947097798267</v>
      </c>
      <c r="AH39" s="15">
        <f>AO39*Calculations!$C$47</f>
        <v>1.2443128212994781</v>
      </c>
      <c r="AI39" s="15">
        <f>AP39*Calculations!$C$47</f>
        <v>1.2276322878112074</v>
      </c>
      <c r="AJ39" s="15">
        <f>AQ39*Calculations!$C$47</f>
        <v>1.2460154363433349</v>
      </c>
      <c r="AM39" s="318" t="str">
        <f>$B$25</f>
        <v>Non-carcinogens</v>
      </c>
      <c r="AN39" s="15">
        <f>D25</f>
        <v>1.5495472581699998</v>
      </c>
      <c r="AO39" s="15">
        <f>D44</f>
        <v>0.40989023999999991</v>
      </c>
      <c r="AP39" s="15">
        <f>D63</f>
        <v>0.40439548999999991</v>
      </c>
      <c r="AQ39" s="15">
        <f>D82</f>
        <v>0.41045109999999996</v>
      </c>
    </row>
    <row r="40" spans="2:43" x14ac:dyDescent="0.25">
      <c r="B40" s="320" t="s">
        <v>711</v>
      </c>
      <c r="C40" s="321"/>
      <c r="D40" s="321"/>
      <c r="E40" s="321"/>
      <c r="F40" s="321"/>
      <c r="G40" s="321"/>
      <c r="H40" s="321"/>
      <c r="I40" s="321"/>
      <c r="J40" s="321"/>
      <c r="K40" s="322"/>
      <c r="AE40" s="318"/>
      <c r="AF40" s="15">
        <f>AF39-AG39</f>
        <v>1.1360065502201735</v>
      </c>
      <c r="AG40" s="15">
        <f>AG39-AH39</f>
        <v>3.4596818884803486</v>
      </c>
      <c r="AH40" s="15">
        <f t="shared" ref="AH40:AJ40" si="23">AH39-AI39</f>
        <v>1.6680533488270699E-2</v>
      </c>
      <c r="AI40" s="15">
        <f t="shared" si="23"/>
        <v>-1.8383148532127525E-2</v>
      </c>
      <c r="AJ40" s="15">
        <f t="shared" si="23"/>
        <v>1.2460154363433349</v>
      </c>
      <c r="AM40" s="318"/>
      <c r="AN40" s="15">
        <f>AN39-AO39</f>
        <v>1.1396570181699999</v>
      </c>
      <c r="AO40" s="15">
        <f t="shared" ref="AO40:AQ40" si="24">AO39-AP39</f>
        <v>5.4947499999999927E-3</v>
      </c>
      <c r="AP40" s="15">
        <f t="shared" si="24"/>
        <v>-6.0556100000000446E-3</v>
      </c>
      <c r="AQ40" s="15">
        <f t="shared" si="24"/>
        <v>0.41045109999999996</v>
      </c>
    </row>
    <row r="41" spans="2:43" ht="30" x14ac:dyDescent="0.25">
      <c r="AE41" s="134" t="s">
        <v>598</v>
      </c>
      <c r="AF41" s="193">
        <f>AF40/$AF39</f>
        <v>0.19452162758954156</v>
      </c>
      <c r="AG41" s="193">
        <f t="shared" ref="AG41:AJ41" si="25">AG40/$AF39</f>
        <v>0.59241115445929693</v>
      </c>
      <c r="AH41" s="193">
        <f t="shared" si="25"/>
        <v>2.8562551180461044E-3</v>
      </c>
      <c r="AI41" s="193">
        <f t="shared" si="25"/>
        <v>-3.1477987270378642E-3</v>
      </c>
      <c r="AJ41" s="193">
        <f t="shared" si="25"/>
        <v>0.21335876156015329</v>
      </c>
      <c r="AM41" s="186" t="s">
        <v>598</v>
      </c>
      <c r="AN41" s="193">
        <f>AN40/$AN$39</f>
        <v>0.7354774190726675</v>
      </c>
      <c r="AO41" s="193">
        <f t="shared" ref="AO41:AQ41" si="26">AO40/$AN$39</f>
        <v>3.5460357669176473E-3</v>
      </c>
      <c r="AP41" s="193">
        <f t="shared" si="26"/>
        <v>-3.9079866509858247E-3</v>
      </c>
      <c r="AQ41" s="193">
        <f t="shared" si="26"/>
        <v>0.26488453181140065</v>
      </c>
    </row>
    <row r="42" spans="2:43" ht="30.95" customHeight="1" x14ac:dyDescent="0.25">
      <c r="B42" s="167" t="s">
        <v>569</v>
      </c>
      <c r="C42" s="167" t="s">
        <v>365</v>
      </c>
      <c r="D42" s="167" t="s">
        <v>223</v>
      </c>
      <c r="E42" s="167" t="s">
        <v>493</v>
      </c>
      <c r="F42" s="167" t="s">
        <v>572</v>
      </c>
      <c r="H42" s="133" t="s">
        <v>569</v>
      </c>
      <c r="I42" s="133" t="s">
        <v>365</v>
      </c>
      <c r="J42" s="167" t="s">
        <v>493</v>
      </c>
      <c r="K42" s="167" t="s">
        <v>572</v>
      </c>
      <c r="AE42" s="318" t="str">
        <f>$B$26</f>
        <v>Respiratory inorganics</v>
      </c>
      <c r="AF42" s="15">
        <f>D7</f>
        <v>0.20070001700000001</v>
      </c>
      <c r="AG42" s="15">
        <f>AN42*Calculations!$C$47</f>
        <v>0.16106010373974197</v>
      </c>
      <c r="AH42" s="15">
        <f>AO42*Calculations!$C$47</f>
        <v>8.5921648846858184E-2</v>
      </c>
      <c r="AI42" s="15">
        <f>AP42*Calculations!$C$47</f>
        <v>8.2191535790144474E-2</v>
      </c>
      <c r="AJ42" s="15">
        <f>AQ42*Calculations!$C$47</f>
        <v>8.8969422668455006E-2</v>
      </c>
      <c r="AM42" s="318" t="str">
        <f>$B$26</f>
        <v>Respiratory inorganics</v>
      </c>
      <c r="AN42" s="15">
        <f>D26</f>
        <v>5.3054958083100005E-2</v>
      </c>
      <c r="AO42" s="15">
        <f>D45</f>
        <v>2.830353E-2</v>
      </c>
      <c r="AP42" s="15">
        <f>D64</f>
        <v>2.7074790000000001E-2</v>
      </c>
      <c r="AQ42" s="15">
        <f>D83</f>
        <v>2.93075E-2</v>
      </c>
    </row>
    <row r="43" spans="2:43" ht="18" x14ac:dyDescent="0.25">
      <c r="B43" s="134" t="s">
        <v>495</v>
      </c>
      <c r="C43" s="11" t="s">
        <v>564</v>
      </c>
      <c r="D43" s="15">
        <f>SUM(E43:F43)</f>
        <v>0.52196399999999998</v>
      </c>
      <c r="E43" s="189">
        <f>D62</f>
        <v>0.50740392999999995</v>
      </c>
      <c r="F43" s="189">
        <v>1.456007E-2</v>
      </c>
      <c r="H43" s="134" t="s">
        <v>495</v>
      </c>
      <c r="I43" s="11" t="s">
        <v>31</v>
      </c>
      <c r="J43" s="185">
        <f>E43/$D43</f>
        <v>0.97210522181606385</v>
      </c>
      <c r="K43" s="185">
        <f>F43/$D43</f>
        <v>2.7894778183936056E-2</v>
      </c>
      <c r="AE43" s="318"/>
      <c r="AF43" s="15">
        <f>AF42-AG42</f>
        <v>3.9639913260258036E-2</v>
      </c>
      <c r="AG43" s="15">
        <f>AG42-AH42</f>
        <v>7.5138454892883788E-2</v>
      </c>
      <c r="AH43" s="15">
        <f t="shared" ref="AH43:AJ43" si="27">AH42-AI42</f>
        <v>3.7301130567137103E-3</v>
      </c>
      <c r="AI43" s="15">
        <f t="shared" si="27"/>
        <v>-6.7778868783105323E-3</v>
      </c>
      <c r="AJ43" s="15">
        <f t="shared" si="27"/>
        <v>8.8969422668455006E-2</v>
      </c>
      <c r="AM43" s="318"/>
      <c r="AN43" s="15">
        <f>AN42-AO42</f>
        <v>2.4751428083100005E-2</v>
      </c>
      <c r="AO43" s="15">
        <f t="shared" ref="AO43:AQ43" si="28">AO42-AP42</f>
        <v>1.228739999999999E-3</v>
      </c>
      <c r="AP43" s="15">
        <f t="shared" si="28"/>
        <v>-2.2327099999999989E-3</v>
      </c>
      <c r="AQ43" s="15">
        <f t="shared" si="28"/>
        <v>2.93075E-2</v>
      </c>
    </row>
    <row r="44" spans="2:43" ht="30" x14ac:dyDescent="0.25">
      <c r="B44" s="134" t="s">
        <v>496</v>
      </c>
      <c r="C44" s="11" t="s">
        <v>564</v>
      </c>
      <c r="D44" s="15">
        <f t="shared" ref="D44:D57" si="29">SUM(E44:F44)</f>
        <v>0.40989023999999991</v>
      </c>
      <c r="E44" s="189">
        <f t="shared" ref="E44:E57" si="30">D63</f>
        <v>0.40439548999999991</v>
      </c>
      <c r="F44" s="189">
        <v>5.4947499999999996E-3</v>
      </c>
      <c r="H44" s="134" t="s">
        <v>496</v>
      </c>
      <c r="I44" s="11" t="s">
        <v>31</v>
      </c>
      <c r="J44" s="185">
        <f t="shared" ref="J44:K57" si="31">E44/$D44</f>
        <v>0.98659458200322114</v>
      </c>
      <c r="K44" s="185">
        <f t="shared" si="31"/>
        <v>1.3405417996778848E-2</v>
      </c>
      <c r="AE44" s="134" t="s">
        <v>598</v>
      </c>
      <c r="AF44" s="193">
        <f>AF43/$AF42</f>
        <v>0.19750827056610581</v>
      </c>
      <c r="AG44" s="193">
        <f t="shared" ref="AG44:AJ44" si="32">AG43/$AF42</f>
        <v>0.37438190597105819</v>
      </c>
      <c r="AH44" s="193">
        <f t="shared" si="32"/>
        <v>1.858551440338797E-2</v>
      </c>
      <c r="AI44" s="193">
        <f t="shared" si="32"/>
        <v>-3.3771232208268984E-2</v>
      </c>
      <c r="AJ44" s="193">
        <f t="shared" si="32"/>
        <v>0.44329554126771697</v>
      </c>
      <c r="AM44" s="186" t="s">
        <v>598</v>
      </c>
      <c r="AN44" s="193">
        <f>AN43/$AN$42</f>
        <v>0.4665243169984572</v>
      </c>
      <c r="AO44" s="193">
        <f t="shared" ref="AO44:AQ44" si="33">AO43/$AN$42</f>
        <v>2.3159758190279274E-2</v>
      </c>
      <c r="AP44" s="193">
        <f t="shared" si="33"/>
        <v>-4.2082966053858799E-2</v>
      </c>
      <c r="AQ44" s="193">
        <f t="shared" si="33"/>
        <v>0.55239889086512239</v>
      </c>
    </row>
    <row r="45" spans="2:43" x14ac:dyDescent="0.25">
      <c r="B45" s="134" t="s">
        <v>497</v>
      </c>
      <c r="C45" s="11" t="s">
        <v>512</v>
      </c>
      <c r="D45" s="15">
        <f t="shared" si="29"/>
        <v>2.830353E-2</v>
      </c>
      <c r="E45" s="189">
        <f t="shared" si="30"/>
        <v>2.7074790000000001E-2</v>
      </c>
      <c r="F45" s="189">
        <v>1.2287400000000001E-3</v>
      </c>
      <c r="H45" s="134" t="s">
        <v>497</v>
      </c>
      <c r="I45" s="11" t="s">
        <v>31</v>
      </c>
      <c r="J45" s="185">
        <f t="shared" si="31"/>
        <v>0.95658704055642529</v>
      </c>
      <c r="K45" s="185">
        <f t="shared" si="31"/>
        <v>4.3412959443574706E-2</v>
      </c>
      <c r="AE45" s="318" t="str">
        <f>$B$27</f>
        <v>Ionizing radiation</v>
      </c>
      <c r="AF45" s="15">
        <f>D8</f>
        <v>3941.0115999999998</v>
      </c>
      <c r="AG45" s="15">
        <f>AN45*Calculations!$C$47</f>
        <v>3411.0386908375995</v>
      </c>
      <c r="AH45" s="15">
        <f>AO45*Calculations!$C$47</f>
        <v>2838.0657195936737</v>
      </c>
      <c r="AI45" s="15">
        <f>AP45*Calculations!$C$47</f>
        <v>2704.8572808407685</v>
      </c>
      <c r="AJ45" s="15">
        <f>AQ45*Calculations!$C$47</f>
        <v>2621.961932939475</v>
      </c>
      <c r="AM45" s="318" t="str">
        <f>$B$27</f>
        <v>Ionizing radiation</v>
      </c>
      <c r="AN45" s="15">
        <f>D27</f>
        <v>1123.6334173399998</v>
      </c>
      <c r="AO45" s="15">
        <f>D46</f>
        <v>934.88985971</v>
      </c>
      <c r="AP45" s="15">
        <f>D65</f>
        <v>891.00954440999999</v>
      </c>
      <c r="AQ45" s="15">
        <f>D84</f>
        <v>863.70291100999998</v>
      </c>
    </row>
    <row r="46" spans="2:43" x14ac:dyDescent="0.25">
      <c r="B46" s="134" t="s">
        <v>561</v>
      </c>
      <c r="C46" s="11" t="s">
        <v>513</v>
      </c>
      <c r="D46" s="15">
        <f t="shared" si="29"/>
        <v>934.88985971</v>
      </c>
      <c r="E46" s="189">
        <f t="shared" si="30"/>
        <v>891.00954440999999</v>
      </c>
      <c r="F46" s="189">
        <v>43.880315299999999</v>
      </c>
      <c r="H46" s="134" t="s">
        <v>561</v>
      </c>
      <c r="I46" s="11" t="s">
        <v>31</v>
      </c>
      <c r="J46" s="185">
        <f t="shared" si="31"/>
        <v>0.9530636525316345</v>
      </c>
      <c r="K46" s="185">
        <f t="shared" si="31"/>
        <v>4.6936347468365461E-2</v>
      </c>
      <c r="AE46" s="318"/>
      <c r="AF46" s="15">
        <f>AF45-AG45</f>
        <v>529.97290916240036</v>
      </c>
      <c r="AG46" s="15">
        <f>AG45-AH45</f>
        <v>572.97297124392571</v>
      </c>
      <c r="AH46" s="15">
        <f t="shared" ref="AH46:AJ46" si="34">AH45-AI45</f>
        <v>133.20843875290529</v>
      </c>
      <c r="AI46" s="15">
        <f t="shared" si="34"/>
        <v>82.895347901293462</v>
      </c>
      <c r="AJ46" s="15">
        <f t="shared" si="34"/>
        <v>2621.961932939475</v>
      </c>
      <c r="AM46" s="318"/>
      <c r="AN46" s="15">
        <f>AN45-AO45</f>
        <v>188.74355762999983</v>
      </c>
      <c r="AO46" s="15">
        <f t="shared" ref="AO46:AQ46" si="35">AO45-AP45</f>
        <v>43.880315300000007</v>
      </c>
      <c r="AP46" s="15">
        <f t="shared" si="35"/>
        <v>27.30663340000001</v>
      </c>
      <c r="AQ46" s="15">
        <f t="shared" si="35"/>
        <v>863.70291100999998</v>
      </c>
    </row>
    <row r="47" spans="2:43" ht="30" x14ac:dyDescent="0.25">
      <c r="B47" s="134" t="s">
        <v>498</v>
      </c>
      <c r="C47" s="11" t="s">
        <v>514</v>
      </c>
      <c r="D47" s="15">
        <f t="shared" si="29"/>
        <v>4.1936119999999994E-6</v>
      </c>
      <c r="E47" s="189">
        <f t="shared" si="30"/>
        <v>4.0634619999999995E-6</v>
      </c>
      <c r="F47" s="189">
        <v>1.3015000000000001E-7</v>
      </c>
      <c r="H47" s="134" t="s">
        <v>498</v>
      </c>
      <c r="I47" s="11" t="s">
        <v>31</v>
      </c>
      <c r="J47" s="185">
        <f t="shared" si="31"/>
        <v>0.96896470155083492</v>
      </c>
      <c r="K47" s="185">
        <f t="shared" si="31"/>
        <v>3.1035298449165069E-2</v>
      </c>
      <c r="AE47" s="134" t="s">
        <v>598</v>
      </c>
      <c r="AF47" s="193">
        <f>AF46/$AF45</f>
        <v>0.13447636367332702</v>
      </c>
      <c r="AG47" s="193">
        <f t="shared" ref="AG47:AJ47" si="36">AG46/$AF45</f>
        <v>0.14538728362127271</v>
      </c>
      <c r="AH47" s="193">
        <f t="shared" si="36"/>
        <v>3.3800570075182043E-2</v>
      </c>
      <c r="AI47" s="193">
        <f t="shared" si="36"/>
        <v>2.1034027887990348E-2</v>
      </c>
      <c r="AJ47" s="193">
        <f t="shared" si="36"/>
        <v>0.66530175474222786</v>
      </c>
      <c r="AM47" s="186" t="s">
        <v>598</v>
      </c>
      <c r="AN47" s="193">
        <f>AN46/$AN45</f>
        <v>0.1679760985364927</v>
      </c>
      <c r="AO47" s="193">
        <f t="shared" ref="AO47:AQ47" si="37">AO46/$AN45</f>
        <v>3.9052162941076253E-2</v>
      </c>
      <c r="AP47" s="193">
        <f t="shared" si="37"/>
        <v>2.4302083738879498E-2</v>
      </c>
      <c r="AQ47" s="193">
        <f t="shared" si="37"/>
        <v>0.76866965478355154</v>
      </c>
    </row>
    <row r="48" spans="2:43" ht="16.5" customHeight="1" x14ac:dyDescent="0.25">
      <c r="B48" s="134" t="s">
        <v>499</v>
      </c>
      <c r="C48" s="11" t="s">
        <v>565</v>
      </c>
      <c r="D48" s="15">
        <f t="shared" si="29"/>
        <v>7.2887100000000003E-3</v>
      </c>
      <c r="E48" s="189">
        <f t="shared" si="30"/>
        <v>7.1765300000000004E-3</v>
      </c>
      <c r="F48" s="189">
        <v>1.1218E-4</v>
      </c>
      <c r="H48" s="134" t="s">
        <v>499</v>
      </c>
      <c r="I48" s="11" t="s">
        <v>31</v>
      </c>
      <c r="J48" s="185">
        <f t="shared" si="31"/>
        <v>0.9846090734848828</v>
      </c>
      <c r="K48" s="185">
        <f t="shared" si="31"/>
        <v>1.5390926515117215E-2</v>
      </c>
      <c r="AE48" s="318" t="str">
        <f>$B$28</f>
        <v>Ozone layer depletion</v>
      </c>
      <c r="AF48" s="15">
        <f>D9</f>
        <v>2.9200000000041998E-5</v>
      </c>
      <c r="AG48" s="15">
        <f>AN48*Calculations!$C$47</f>
        <v>1.7535435001519141E-5</v>
      </c>
      <c r="AH48" s="15">
        <f>AO48*Calculations!$C$47</f>
        <v>1.2730640229821884E-5</v>
      </c>
      <c r="AI48" s="15">
        <f>AP48*Calculations!$C$47</f>
        <v>1.2335541010840415E-5</v>
      </c>
      <c r="AJ48" s="15">
        <f>AQ48*Calculations!$C$47</f>
        <v>1.2152068044287959E-5</v>
      </c>
      <c r="AM48" s="318" t="str">
        <f>$B$28</f>
        <v>Ozone layer depletion</v>
      </c>
      <c r="AN48" s="15">
        <f>D28</f>
        <v>5.7763639000125558E-6</v>
      </c>
      <c r="AO48" s="15">
        <f>D47</f>
        <v>4.1936119999999994E-6</v>
      </c>
      <c r="AP48" s="15">
        <f>D66</f>
        <v>4.0634619999999995E-6</v>
      </c>
      <c r="AQ48" s="15">
        <f>D85</f>
        <v>4.0030239999999994E-6</v>
      </c>
    </row>
    <row r="49" spans="2:43" x14ac:dyDescent="0.25">
      <c r="B49" s="134" t="s">
        <v>500</v>
      </c>
      <c r="C49" s="11" t="s">
        <v>515</v>
      </c>
      <c r="D49" s="15">
        <f t="shared" si="29"/>
        <v>1867.9197110999999</v>
      </c>
      <c r="E49" s="189">
        <f t="shared" si="30"/>
        <v>1816.9431981999999</v>
      </c>
      <c r="F49" s="189">
        <v>50.976512900000003</v>
      </c>
      <c r="H49" s="134" t="s">
        <v>500</v>
      </c>
      <c r="I49" s="11" t="s">
        <v>31</v>
      </c>
      <c r="J49" s="185">
        <f t="shared" si="31"/>
        <v>0.97270947321928503</v>
      </c>
      <c r="K49" s="185">
        <f t="shared" si="31"/>
        <v>2.7290526780715016E-2</v>
      </c>
      <c r="AE49" s="318"/>
      <c r="AF49" s="15">
        <f>AF48-AG48</f>
        <v>1.1664564998522857E-5</v>
      </c>
      <c r="AG49" s="15">
        <f>AG48-AH48</f>
        <v>4.8047947716972563E-6</v>
      </c>
      <c r="AH49" s="15">
        <f t="shared" ref="AH49:AJ49" si="38">AH48-AI48</f>
        <v>3.950992189814691E-7</v>
      </c>
      <c r="AI49" s="15">
        <f t="shared" si="38"/>
        <v>1.8347296655245649E-7</v>
      </c>
      <c r="AJ49" s="15">
        <f t="shared" si="38"/>
        <v>1.2152068044287959E-5</v>
      </c>
      <c r="AM49" s="318"/>
      <c r="AN49" s="15">
        <f>AN48-AO48</f>
        <v>1.5827519000125563E-6</v>
      </c>
      <c r="AO49" s="15">
        <f t="shared" ref="AO49:AQ49" si="39">AO48-AP48</f>
        <v>1.3014999999999993E-7</v>
      </c>
      <c r="AP49" s="15">
        <f t="shared" si="39"/>
        <v>6.0438000000000081E-8</v>
      </c>
      <c r="AQ49" s="15">
        <f t="shared" si="39"/>
        <v>4.0030239999999994E-6</v>
      </c>
    </row>
    <row r="50" spans="2:43" ht="30" x14ac:dyDescent="0.25">
      <c r="B50" s="134" t="s">
        <v>562</v>
      </c>
      <c r="C50" s="11" t="s">
        <v>516</v>
      </c>
      <c r="D50" s="15">
        <f t="shared" si="29"/>
        <v>854.16789189999997</v>
      </c>
      <c r="E50" s="189">
        <f t="shared" si="30"/>
        <v>841.98364370000002</v>
      </c>
      <c r="F50" s="189">
        <v>12.184248200000001</v>
      </c>
      <c r="H50" s="134" t="s">
        <v>562</v>
      </c>
      <c r="I50" s="11" t="s">
        <v>31</v>
      </c>
      <c r="J50" s="185">
        <f t="shared" si="31"/>
        <v>0.98573553476366638</v>
      </c>
      <c r="K50" s="185">
        <f t="shared" si="31"/>
        <v>1.4264465236333712E-2</v>
      </c>
      <c r="AE50" s="134" t="s">
        <v>598</v>
      </c>
      <c r="AF50" s="193">
        <f>AF49/$AF48</f>
        <v>0.3994714040584274</v>
      </c>
      <c r="AG50" s="193">
        <f t="shared" ref="AG50:AJ50" si="40">AG49/$AF48</f>
        <v>0.16454776615377897</v>
      </c>
      <c r="AH50" s="193">
        <f t="shared" si="40"/>
        <v>1.3530795170578796E-2</v>
      </c>
      <c r="AI50" s="193">
        <f t="shared" si="40"/>
        <v>6.2833207723353634E-3</v>
      </c>
      <c r="AJ50" s="193">
        <f t="shared" si="40"/>
        <v>0.41616671384487947</v>
      </c>
      <c r="AM50" s="186" t="s">
        <v>598</v>
      </c>
      <c r="AN50" s="193">
        <f>AN49/$AN48</f>
        <v>0.27400488047664656</v>
      </c>
      <c r="AO50" s="193">
        <f t="shared" ref="AO50:AQ50" si="41">AO49/$AN48</f>
        <v>2.2531475207044526E-2</v>
      </c>
      <c r="AP50" s="193">
        <f t="shared" si="41"/>
        <v>1.0462983469560965E-2</v>
      </c>
      <c r="AQ50" s="193">
        <f t="shared" si="41"/>
        <v>0.69300066084674794</v>
      </c>
    </row>
    <row r="51" spans="2:43" ht="18" x14ac:dyDescent="0.25">
      <c r="B51" s="134" t="s">
        <v>501</v>
      </c>
      <c r="C51" s="11" t="s">
        <v>566</v>
      </c>
      <c r="D51" s="15">
        <f t="shared" si="29"/>
        <v>0.45398537999999999</v>
      </c>
      <c r="E51" s="189">
        <f t="shared" si="30"/>
        <v>0.43482904</v>
      </c>
      <c r="F51" s="189">
        <v>1.9156340000000001E-2</v>
      </c>
      <c r="H51" s="134" t="s">
        <v>501</v>
      </c>
      <c r="I51" s="11" t="s">
        <v>31</v>
      </c>
      <c r="J51" s="185">
        <f t="shared" si="31"/>
        <v>0.95780405968139326</v>
      </c>
      <c r="K51" s="185">
        <f t="shared" si="31"/>
        <v>4.2195940318606739E-2</v>
      </c>
      <c r="AE51" s="318" t="str">
        <f>$B$29</f>
        <v>Respiratory organics</v>
      </c>
      <c r="AF51" s="15">
        <f>D10</f>
        <v>6.8300299000000009E-2</v>
      </c>
      <c r="AG51" s="15">
        <f>AN51*Calculations!$C$47</f>
        <v>3.9337278432704202E-2</v>
      </c>
      <c r="AH51" s="15">
        <f>AO51*Calculations!$C$47</f>
        <v>2.2126497336783919E-2</v>
      </c>
      <c r="AI51" s="15">
        <f>AP51*Calculations!$C$47</f>
        <v>2.1785950042236542E-2</v>
      </c>
      <c r="AJ51" s="15">
        <f>AQ51*Calculations!$C$47</f>
        <v>2.1918095021124465E-2</v>
      </c>
      <c r="AM51" s="318" t="str">
        <f>$B$29</f>
        <v>Respiratory organics</v>
      </c>
      <c r="AN51" s="15">
        <f>D29</f>
        <v>1.2958129355999997E-2</v>
      </c>
      <c r="AO51" s="15">
        <f>D48</f>
        <v>7.2887100000000003E-3</v>
      </c>
      <c r="AP51" s="15">
        <f>D67</f>
        <v>7.1765300000000004E-3</v>
      </c>
      <c r="AQ51" s="15">
        <f>D86</f>
        <v>7.2200600000000004E-3</v>
      </c>
    </row>
    <row r="52" spans="2:43" x14ac:dyDescent="0.25">
      <c r="B52" s="134" t="s">
        <v>502</v>
      </c>
      <c r="C52" s="11" t="s">
        <v>563</v>
      </c>
      <c r="D52" s="15">
        <f t="shared" si="29"/>
        <v>0.61026373</v>
      </c>
      <c r="E52" s="189">
        <f t="shared" si="30"/>
        <v>0.59689475000000003</v>
      </c>
      <c r="F52" s="189">
        <v>1.3368980000000001E-2</v>
      </c>
      <c r="H52" s="134" t="s">
        <v>502</v>
      </c>
      <c r="I52" s="11" t="s">
        <v>31</v>
      </c>
      <c r="J52" s="185">
        <f t="shared" si="31"/>
        <v>0.9780931106621723</v>
      </c>
      <c r="K52" s="185">
        <f t="shared" si="31"/>
        <v>2.1906889337827765E-2</v>
      </c>
      <c r="AE52" s="318"/>
      <c r="AF52" s="15">
        <f>AF51-AG51</f>
        <v>2.8963020567295807E-2</v>
      </c>
      <c r="AG52" s="15">
        <f>AG51-AH51</f>
        <v>1.7210781095920284E-2</v>
      </c>
      <c r="AH52" s="15">
        <f t="shared" ref="AH52:AJ52" si="42">AH51-AI51</f>
        <v>3.4054729454737614E-4</v>
      </c>
      <c r="AI52" s="15">
        <f t="shared" si="42"/>
        <v>-1.3214497888792281E-4</v>
      </c>
      <c r="AJ52" s="15">
        <f t="shared" si="42"/>
        <v>2.1918095021124465E-2</v>
      </c>
      <c r="AM52" s="318"/>
      <c r="AN52" s="15">
        <f>AN51-AO51</f>
        <v>5.669419355999997E-3</v>
      </c>
      <c r="AO52" s="15">
        <f t="shared" ref="AO52:AQ52" si="43">AO51-AP51</f>
        <v>1.1217999999999992E-4</v>
      </c>
      <c r="AP52" s="15">
        <f t="shared" si="43"/>
        <v>-4.3529999999999958E-5</v>
      </c>
      <c r="AQ52" s="15">
        <f t="shared" si="43"/>
        <v>7.2200600000000004E-3</v>
      </c>
    </row>
    <row r="53" spans="2:43" ht="30" x14ac:dyDescent="0.25">
      <c r="B53" s="134" t="s">
        <v>503</v>
      </c>
      <c r="C53" s="11" t="s">
        <v>566</v>
      </c>
      <c r="D53" s="15">
        <f t="shared" si="29"/>
        <v>215.12753782999999</v>
      </c>
      <c r="E53" s="189">
        <f t="shared" si="30"/>
        <v>215.12097003</v>
      </c>
      <c r="F53" s="189">
        <v>6.5678000000000004E-3</v>
      </c>
      <c r="H53" s="134" t="s">
        <v>503</v>
      </c>
      <c r="I53" s="11" t="s">
        <v>31</v>
      </c>
      <c r="J53" s="185">
        <f t="shared" si="31"/>
        <v>0.99996947020327454</v>
      </c>
      <c r="K53" s="185">
        <f t="shared" si="31"/>
        <v>3.0529796725466483E-5</v>
      </c>
      <c r="AE53" s="134" t="s">
        <v>598</v>
      </c>
      <c r="AF53" s="193">
        <f>AF52/$AF51</f>
        <v>0.42405408162701896</v>
      </c>
      <c r="AG53" s="193">
        <f t="shared" ref="AG53:AJ53" si="44">AG52/$AF51</f>
        <v>0.25198690705468629</v>
      </c>
      <c r="AH53" s="193">
        <f t="shared" si="44"/>
        <v>4.9860293371098725E-3</v>
      </c>
      <c r="AI53" s="193">
        <f t="shared" si="44"/>
        <v>-1.934764281016146E-3</v>
      </c>
      <c r="AJ53" s="193">
        <f t="shared" si="44"/>
        <v>0.32090774626220103</v>
      </c>
      <c r="AM53" s="186" t="s">
        <v>598</v>
      </c>
      <c r="AN53" s="193">
        <f>AN52/$AN51</f>
        <v>0.4375183485396284</v>
      </c>
      <c r="AO53" s="193">
        <f t="shared" ref="AO53:AQ53" si="45">AO52/$AN51</f>
        <v>8.6571137637283472E-3</v>
      </c>
      <c r="AP53" s="193">
        <f t="shared" si="45"/>
        <v>-3.3592811743189057E-3</v>
      </c>
      <c r="AQ53" s="193">
        <f t="shared" si="45"/>
        <v>0.55718381887096213</v>
      </c>
    </row>
    <row r="54" spans="2:43" ht="18" x14ac:dyDescent="0.25">
      <c r="B54" s="134" t="s">
        <v>504</v>
      </c>
      <c r="C54" s="11" t="s">
        <v>567</v>
      </c>
      <c r="D54" s="15">
        <f t="shared" si="29"/>
        <v>3.9880890000000002E-3</v>
      </c>
      <c r="E54" s="189">
        <f t="shared" si="30"/>
        <v>3.864199E-3</v>
      </c>
      <c r="F54" s="189">
        <v>1.2389000000000001E-4</v>
      </c>
      <c r="H54" s="134" t="s">
        <v>504</v>
      </c>
      <c r="I54" s="11" t="s">
        <v>31</v>
      </c>
      <c r="J54" s="185">
        <f t="shared" si="31"/>
        <v>0.96893499618488954</v>
      </c>
      <c r="K54" s="185">
        <f t="shared" si="31"/>
        <v>3.1065003815110445E-2</v>
      </c>
      <c r="AE54" s="318" t="str">
        <f>$B$30</f>
        <v>Aquatic ecotoxicity</v>
      </c>
      <c r="AF54" s="15">
        <f>D11</f>
        <v>15220.539000000001</v>
      </c>
      <c r="AG54" s="15">
        <f>AN54*Calculations!$C$47</f>
        <v>9635.0952332292163</v>
      </c>
      <c r="AH54" s="15">
        <f>AO54*Calculations!$C$47</f>
        <v>5670.4849710004009</v>
      </c>
      <c r="AI54" s="15">
        <f>AP54*Calculations!$C$47</f>
        <v>5515.7344490396727</v>
      </c>
      <c r="AJ54" s="15">
        <f>AQ54*Calculations!$C$47</f>
        <v>5515.7350844162884</v>
      </c>
      <c r="AM54" s="318" t="str">
        <f>$B$30</f>
        <v>Aquatic ecotoxicity</v>
      </c>
      <c r="AN54" s="15">
        <f>D30</f>
        <v>3173.90565295852</v>
      </c>
      <c r="AO54" s="15">
        <f>D49</f>
        <v>1867.9197110999999</v>
      </c>
      <c r="AP54" s="15">
        <f>D68</f>
        <v>1816.9431981999999</v>
      </c>
      <c r="AQ54" s="15">
        <f>D87</f>
        <v>1816.9434074999999</v>
      </c>
    </row>
    <row r="55" spans="2:43" ht="18" x14ac:dyDescent="0.25">
      <c r="B55" s="176" t="s">
        <v>505</v>
      </c>
      <c r="C55" s="165" t="s">
        <v>578</v>
      </c>
      <c r="D55" s="195">
        <f t="shared" si="29"/>
        <v>27.886835610000002</v>
      </c>
      <c r="E55" s="196">
        <f t="shared" si="30"/>
        <v>26.927950670000001</v>
      </c>
      <c r="F55" s="196">
        <v>0.95888494000000002</v>
      </c>
      <c r="H55" s="134" t="s">
        <v>505</v>
      </c>
      <c r="I55" s="11" t="s">
        <v>31</v>
      </c>
      <c r="J55" s="185">
        <f t="shared" si="31"/>
        <v>0.96561513993878345</v>
      </c>
      <c r="K55" s="185">
        <f t="shared" si="31"/>
        <v>3.4384860061216528E-2</v>
      </c>
      <c r="AE55" s="318"/>
      <c r="AF55" s="15">
        <f>AF54-AG54</f>
        <v>5585.4437667707844</v>
      </c>
      <c r="AG55" s="15">
        <f>AG54-AH54</f>
        <v>3964.6102622288154</v>
      </c>
      <c r="AH55" s="15">
        <f t="shared" ref="AH55:AJ55" si="46">AH54-AI54</f>
        <v>154.75052196072829</v>
      </c>
      <c r="AI55" s="15">
        <f t="shared" si="46"/>
        <v>-6.3537661571899662E-4</v>
      </c>
      <c r="AJ55" s="15">
        <f t="shared" si="46"/>
        <v>5515.7350844162884</v>
      </c>
      <c r="AM55" s="318"/>
      <c r="AN55" s="15">
        <f>AN54-AO54</f>
        <v>1305.9859418585202</v>
      </c>
      <c r="AO55" s="15">
        <f t="shared" ref="AO55:AQ55" si="47">AO54-AP54</f>
        <v>50.976512899999989</v>
      </c>
      <c r="AP55" s="15">
        <f t="shared" si="47"/>
        <v>-2.0930000005137117E-4</v>
      </c>
      <c r="AQ55" s="15">
        <f t="shared" si="47"/>
        <v>1816.9434074999999</v>
      </c>
    </row>
    <row r="56" spans="2:43" ht="30" x14ac:dyDescent="0.25">
      <c r="B56" s="134" t="s">
        <v>506</v>
      </c>
      <c r="C56" s="11" t="s">
        <v>517</v>
      </c>
      <c r="D56" s="15">
        <f t="shared" si="29"/>
        <v>531.31996206999997</v>
      </c>
      <c r="E56" s="189">
        <f t="shared" si="30"/>
        <v>511.79246847000002</v>
      </c>
      <c r="F56" s="189">
        <v>19.5274936</v>
      </c>
      <c r="H56" s="134" t="s">
        <v>506</v>
      </c>
      <c r="I56" s="11" t="s">
        <v>31</v>
      </c>
      <c r="J56" s="185">
        <f t="shared" si="31"/>
        <v>0.96324720508538453</v>
      </c>
      <c r="K56" s="185">
        <f t="shared" si="31"/>
        <v>3.6752794914615507E-2</v>
      </c>
      <c r="AE56" s="134" t="s">
        <v>598</v>
      </c>
      <c r="AF56" s="193">
        <f>AF55/$AF54</f>
        <v>0.36696754081907246</v>
      </c>
      <c r="AG56" s="193">
        <f t="shared" ref="AG56:AJ56" si="48">AG55/$AF54</f>
        <v>0.26047765208767015</v>
      </c>
      <c r="AH56" s="193">
        <f t="shared" si="48"/>
        <v>1.0167216940262647E-2</v>
      </c>
      <c r="AI56" s="193">
        <f t="shared" si="48"/>
        <v>-4.1744685632946154E-8</v>
      </c>
      <c r="AJ56" s="193">
        <f t="shared" si="48"/>
        <v>0.36238763189768036</v>
      </c>
      <c r="AM56" s="186" t="s">
        <v>598</v>
      </c>
      <c r="AN56" s="193">
        <f>AN55/$AN54</f>
        <v>0.41147598090735943</v>
      </c>
      <c r="AO56" s="193">
        <f t="shared" ref="AO56:AQ56" si="49">AO55/$AN54</f>
        <v>1.6061130504141739E-2</v>
      </c>
      <c r="AP56" s="193">
        <f t="shared" si="49"/>
        <v>-6.5943989184516107E-8</v>
      </c>
      <c r="AQ56" s="193">
        <f t="shared" si="49"/>
        <v>0.57246295453248797</v>
      </c>
    </row>
    <row r="57" spans="2:43" x14ac:dyDescent="0.25">
      <c r="B57" s="134" t="s">
        <v>507</v>
      </c>
      <c r="C57" s="11" t="s">
        <v>518</v>
      </c>
      <c r="D57" s="15">
        <f t="shared" si="29"/>
        <v>0.52378835999999995</v>
      </c>
      <c r="E57" s="189">
        <f t="shared" si="30"/>
        <v>0.51289432999999995</v>
      </c>
      <c r="F57" s="189">
        <v>1.0894030000000001E-2</v>
      </c>
      <c r="H57" s="134" t="s">
        <v>507</v>
      </c>
      <c r="I57" s="11" t="s">
        <v>31</v>
      </c>
      <c r="J57" s="185">
        <f t="shared" si="31"/>
        <v>0.97920146602723279</v>
      </c>
      <c r="K57" s="185">
        <f t="shared" si="31"/>
        <v>2.0798533972767173E-2</v>
      </c>
      <c r="AE57" s="318" t="str">
        <f>$B$31</f>
        <v>Terrestrial ecotoxicity</v>
      </c>
      <c r="AF57" s="15">
        <f>D12</f>
        <v>7970.0001140000004</v>
      </c>
      <c r="AG57" s="15">
        <f>AN57*Calculations!$C$47</f>
        <v>3843.1052870979179</v>
      </c>
      <c r="AH57" s="15">
        <f>AO57*Calculations!$C$47</f>
        <v>2593.0162656069019</v>
      </c>
      <c r="AI57" s="15">
        <f>AP57*Calculations!$C$47</f>
        <v>2556.0282752289045</v>
      </c>
      <c r="AJ57" s="15">
        <f>AQ57*Calculations!$C$47</f>
        <v>2557.1500601171997</v>
      </c>
      <c r="AM57" s="318" t="str">
        <f>$B$31</f>
        <v>Terrestrial ecotoxicity</v>
      </c>
      <c r="AN57" s="15">
        <f>D31</f>
        <v>1265.9608753599</v>
      </c>
      <c r="AO57" s="15">
        <f>D50</f>
        <v>854.16789189999997</v>
      </c>
      <c r="AP57" s="15">
        <f>D69</f>
        <v>841.98364370000002</v>
      </c>
      <c r="AQ57" s="15">
        <f>D88</f>
        <v>842.35317190000001</v>
      </c>
    </row>
    <row r="58" spans="2:43" x14ac:dyDescent="0.25">
      <c r="AE58" s="318"/>
      <c r="AF58" s="15">
        <f>AF57-AG57</f>
        <v>4126.8948269020821</v>
      </c>
      <c r="AG58" s="15">
        <f>AG57-AH57</f>
        <v>1250.089021491016</v>
      </c>
      <c r="AH58" s="15">
        <f t="shared" ref="AH58:AJ58" si="50">AH57-AI57</f>
        <v>36.987990377997448</v>
      </c>
      <c r="AI58" s="15">
        <f t="shared" si="50"/>
        <v>-1.1217848882952239</v>
      </c>
      <c r="AJ58" s="15">
        <f t="shared" si="50"/>
        <v>2557.1500601171997</v>
      </c>
      <c r="AM58" s="318"/>
      <c r="AN58" s="15">
        <f>AN57-AO57</f>
        <v>411.79298345990003</v>
      </c>
      <c r="AO58" s="15">
        <f t="shared" ref="AO58:AQ58" si="51">AO57-AP57</f>
        <v>12.184248199999956</v>
      </c>
      <c r="AP58" s="15">
        <f t="shared" si="51"/>
        <v>-0.36952819999999065</v>
      </c>
      <c r="AQ58" s="15">
        <f t="shared" si="51"/>
        <v>842.35317190000001</v>
      </c>
    </row>
    <row r="59" spans="2:43" ht="30" x14ac:dyDescent="0.25">
      <c r="B59" s="319" t="s">
        <v>712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AE59" s="134" t="s">
        <v>598</v>
      </c>
      <c r="AF59" s="193">
        <f>AF58/$AF57</f>
        <v>0.5178036095197579</v>
      </c>
      <c r="AG59" s="193">
        <f t="shared" ref="AG59:AJ59" si="52">AG58/$AF57</f>
        <v>0.1568493103651436</v>
      </c>
      <c r="AH59" s="193">
        <f t="shared" si="52"/>
        <v>4.6409021140444923E-3</v>
      </c>
      <c r="AI59" s="193">
        <f t="shared" si="52"/>
        <v>-1.4075092499995213E-4</v>
      </c>
      <c r="AJ59" s="193">
        <f t="shared" si="52"/>
        <v>0.32084692892605393</v>
      </c>
      <c r="AM59" s="186" t="s">
        <v>598</v>
      </c>
      <c r="AN59" s="193">
        <f>AN58/$AN57</f>
        <v>0.32528097153305108</v>
      </c>
      <c r="AO59" s="193">
        <f t="shared" ref="AO59:AQ59" si="53">AO58/$AN57</f>
        <v>9.6245061258596141E-3</v>
      </c>
      <c r="AP59" s="193">
        <f t="shared" si="53"/>
        <v>-2.9189543467916215E-4</v>
      </c>
      <c r="AQ59" s="193">
        <f t="shared" si="53"/>
        <v>0.66538641777576846</v>
      </c>
    </row>
    <row r="60" spans="2:43" x14ac:dyDescent="0.25">
      <c r="AE60" s="318" t="str">
        <f>$B$32</f>
        <v>Terrestrial acid/nutri</v>
      </c>
      <c r="AF60" s="15">
        <f>D13</f>
        <v>3.1070007329999996</v>
      </c>
      <c r="AG60" s="15">
        <f>AN60*Calculations!$C$47</f>
        <v>2.5505188209850131</v>
      </c>
      <c r="AH60" s="15">
        <f>AO60*Calculations!$C$47</f>
        <v>1.3781734081214418</v>
      </c>
      <c r="AI60" s="15">
        <f>AP60*Calculations!$C$47</f>
        <v>1.3200200852436588</v>
      </c>
      <c r="AJ60" s="15">
        <f>AQ60*Calculations!$C$47</f>
        <v>1.330394209838252</v>
      </c>
      <c r="AM60" s="318" t="str">
        <f>$B$32</f>
        <v>Terrestrial acid/nutri</v>
      </c>
      <c r="AN60" s="15">
        <f>D32</f>
        <v>0.84016876926999995</v>
      </c>
      <c r="AO60" s="15">
        <f>D51</f>
        <v>0.45398537999999999</v>
      </c>
      <c r="AP60" s="15">
        <f>D70</f>
        <v>0.43482904</v>
      </c>
      <c r="AQ60" s="15">
        <f>D89</f>
        <v>0.43824638999999999</v>
      </c>
    </row>
    <row r="61" spans="2:43" ht="30.95" customHeight="1" x14ac:dyDescent="0.25">
      <c r="B61" s="167" t="s">
        <v>569</v>
      </c>
      <c r="C61" s="167" t="s">
        <v>365</v>
      </c>
      <c r="D61" s="167" t="s">
        <v>596</v>
      </c>
      <c r="E61" s="167" t="s">
        <v>574</v>
      </c>
      <c r="F61" s="167" t="s">
        <v>572</v>
      </c>
      <c r="G61" s="167" t="s">
        <v>363</v>
      </c>
      <c r="I61" s="133" t="s">
        <v>569</v>
      </c>
      <c r="J61" s="133" t="s">
        <v>365</v>
      </c>
      <c r="K61" s="167" t="s">
        <v>574</v>
      </c>
      <c r="L61" s="167" t="s">
        <v>572</v>
      </c>
      <c r="M61" s="167" t="s">
        <v>363</v>
      </c>
      <c r="AE61" s="318"/>
      <c r="AF61" s="15">
        <f>AF60-AG60</f>
        <v>0.55648191201498642</v>
      </c>
      <c r="AG61" s="15">
        <f>AG60-AH60</f>
        <v>1.1723454128635713</v>
      </c>
      <c r="AH61" s="15">
        <f t="shared" ref="AH61:AJ61" si="54">AH60-AI60</f>
        <v>5.8153322877783076E-2</v>
      </c>
      <c r="AI61" s="15">
        <f t="shared" si="54"/>
        <v>-1.0374124594593193E-2</v>
      </c>
      <c r="AJ61" s="15">
        <f t="shared" si="54"/>
        <v>1.330394209838252</v>
      </c>
      <c r="AM61" s="318"/>
      <c r="AN61" s="15">
        <f>AN60-AO60</f>
        <v>0.38618338926999995</v>
      </c>
      <c r="AO61" s="15">
        <f t="shared" ref="AO61:AQ61" si="55">AO60-AP60</f>
        <v>1.9156339999999994E-2</v>
      </c>
      <c r="AP61" s="15">
        <f t="shared" si="55"/>
        <v>-3.4173499999999857E-3</v>
      </c>
      <c r="AQ61" s="15">
        <f t="shared" si="55"/>
        <v>0.43824638999999999</v>
      </c>
    </row>
    <row r="62" spans="2:43" ht="30" x14ac:dyDescent="0.25">
      <c r="B62" s="134" t="s">
        <v>495</v>
      </c>
      <c r="C62" s="11" t="s">
        <v>564</v>
      </c>
      <c r="D62" s="15">
        <f>SUM(E62:G62)</f>
        <v>0.50740392999999995</v>
      </c>
      <c r="E62" s="189">
        <f>D81</f>
        <v>0.52165205999999997</v>
      </c>
      <c r="F62" s="189">
        <v>1.3882719999999999E-2</v>
      </c>
      <c r="G62" s="189">
        <v>-2.8130849999999999E-2</v>
      </c>
      <c r="H62" s="190">
        <f>SUM(E62:F62)</f>
        <v>0.53553477999999999</v>
      </c>
      <c r="I62" s="134" t="s">
        <v>495</v>
      </c>
      <c r="J62" s="11" t="s">
        <v>31</v>
      </c>
      <c r="K62" s="185">
        <f>E62/$H62</f>
        <v>0.97407690309114936</v>
      </c>
      <c r="L62" s="185">
        <f>F62/$H62</f>
        <v>2.5923096908850626E-2</v>
      </c>
      <c r="M62" s="185">
        <f>G62/$H62</f>
        <v>-5.2528521116779754E-2</v>
      </c>
      <c r="AE62" s="134" t="s">
        <v>598</v>
      </c>
      <c r="AF62" s="193">
        <f>AF61/$AF60</f>
        <v>0.17910581935320918</v>
      </c>
      <c r="AG62" s="193">
        <f t="shared" ref="AG62:AJ62" si="56">AG61/$AF60</f>
        <v>0.37732382886553101</v>
      </c>
      <c r="AH62" s="193">
        <f t="shared" si="56"/>
        <v>1.8716868090865393E-2</v>
      </c>
      <c r="AI62" s="193">
        <f t="shared" si="56"/>
        <v>-3.3389514474225241E-3</v>
      </c>
      <c r="AJ62" s="193">
        <f t="shared" si="56"/>
        <v>0.42819243513781691</v>
      </c>
      <c r="AM62" s="186" t="s">
        <v>598</v>
      </c>
      <c r="AN62" s="193">
        <f>AN61/$AN60</f>
        <v>0.45964977918132366</v>
      </c>
      <c r="AO62" s="193">
        <f t="shared" ref="AO62:AQ62" si="57">AO61/$AN60</f>
        <v>2.2800585668810831E-2</v>
      </c>
      <c r="AP62" s="193">
        <f t="shared" si="57"/>
        <v>-4.0674565932380816E-3</v>
      </c>
      <c r="AQ62" s="193">
        <f t="shared" si="57"/>
        <v>0.52161709174310356</v>
      </c>
    </row>
    <row r="63" spans="2:43" ht="18" x14ac:dyDescent="0.25">
      <c r="B63" s="134" t="s">
        <v>496</v>
      </c>
      <c r="C63" s="11" t="s">
        <v>564</v>
      </c>
      <c r="D63" s="15">
        <f t="shared" ref="D63:D76" si="58">SUM(E63:G63)</f>
        <v>0.40439548999999991</v>
      </c>
      <c r="E63" s="189">
        <f t="shared" ref="E63:E76" si="59">D82</f>
        <v>0.41045109999999996</v>
      </c>
      <c r="F63" s="189">
        <v>5.2391299999999998E-3</v>
      </c>
      <c r="G63" s="189">
        <v>-1.1294739999999999E-2</v>
      </c>
      <c r="H63" s="190">
        <f t="shared" ref="H63:H76" si="60">SUM(E63:F63)</f>
        <v>0.41569022999999994</v>
      </c>
      <c r="I63" s="134" t="s">
        <v>496</v>
      </c>
      <c r="J63" s="11" t="s">
        <v>31</v>
      </c>
      <c r="K63" s="185">
        <f t="shared" ref="K63:M76" si="61">E63/$H63</f>
        <v>0.98739655247610703</v>
      </c>
      <c r="L63" s="185">
        <f t="shared" si="61"/>
        <v>1.2603447523892973E-2</v>
      </c>
      <c r="M63" s="185">
        <f t="shared" si="61"/>
        <v>-2.7171049942645995E-2</v>
      </c>
      <c r="AE63" s="318" t="str">
        <f>$B$33</f>
        <v>Land occupation</v>
      </c>
      <c r="AF63" s="15">
        <f>D14</f>
        <v>10.24</v>
      </c>
      <c r="AG63" s="15">
        <f>AN63*Calculations!$C$47</f>
        <v>7.9328338723621217</v>
      </c>
      <c r="AH63" s="15">
        <f>AO63*Calculations!$C$47</f>
        <v>1.8525910341584204</v>
      </c>
      <c r="AI63" s="15">
        <f>AP63*Calculations!$C$47</f>
        <v>1.81200652738486</v>
      </c>
      <c r="AJ63" s="15">
        <f>AQ63*Calculations!$C$47</f>
        <v>1.8209568072873374</v>
      </c>
      <c r="AM63" s="318" t="str">
        <f>$B$33</f>
        <v>Land occupation</v>
      </c>
      <c r="AN63" s="15">
        <f>D33</f>
        <v>2.6131621600000003</v>
      </c>
      <c r="AO63" s="15">
        <f>D52</f>
        <v>0.61026373</v>
      </c>
      <c r="AP63" s="15">
        <f>D71</f>
        <v>0.59689475000000003</v>
      </c>
      <c r="AQ63" s="15">
        <f>D90</f>
        <v>0.59984307000000003</v>
      </c>
    </row>
    <row r="64" spans="2:43" x14ac:dyDescent="0.25">
      <c r="B64" s="134" t="s">
        <v>497</v>
      </c>
      <c r="C64" s="11" t="s">
        <v>512</v>
      </c>
      <c r="D64" s="15">
        <f t="shared" si="58"/>
        <v>2.7074790000000001E-2</v>
      </c>
      <c r="E64" s="189">
        <f t="shared" si="59"/>
        <v>2.93075E-2</v>
      </c>
      <c r="F64" s="189">
        <v>1.17157E-3</v>
      </c>
      <c r="G64" s="189">
        <v>-3.40428E-3</v>
      </c>
      <c r="H64" s="190">
        <f t="shared" si="60"/>
        <v>3.047907E-2</v>
      </c>
      <c r="I64" s="134" t="s">
        <v>497</v>
      </c>
      <c r="J64" s="11" t="s">
        <v>31</v>
      </c>
      <c r="K64" s="185">
        <f t="shared" si="61"/>
        <v>0.96156149121347867</v>
      </c>
      <c r="L64" s="185">
        <f t="shared" si="61"/>
        <v>3.8438508786521372E-2</v>
      </c>
      <c r="M64" s="185">
        <f t="shared" si="61"/>
        <v>-0.11169238431487574</v>
      </c>
      <c r="AE64" s="318"/>
      <c r="AF64" s="15">
        <f>AF63-AG63</f>
        <v>2.3071661276378785</v>
      </c>
      <c r="AG64" s="15">
        <f>AG63-AH63</f>
        <v>6.0802428382037013</v>
      </c>
      <c r="AH64" s="15">
        <f t="shared" ref="AH64:AJ64" si="62">AH63-AI63</f>
        <v>4.0584506773560403E-2</v>
      </c>
      <c r="AI64" s="15">
        <f t="shared" si="62"/>
        <v>-8.9502799024774315E-3</v>
      </c>
      <c r="AJ64" s="15">
        <f t="shared" si="62"/>
        <v>1.8209568072873374</v>
      </c>
      <c r="AM64" s="318"/>
      <c r="AN64" s="15">
        <f>AN63-AO63</f>
        <v>2.0028984300000001</v>
      </c>
      <c r="AO64" s="15">
        <f t="shared" ref="AO64:AQ64" si="63">AO63-AP63</f>
        <v>1.3368979999999975E-2</v>
      </c>
      <c r="AP64" s="15">
        <f t="shared" si="63"/>
        <v>-2.9483200000000043E-3</v>
      </c>
      <c r="AQ64" s="15">
        <f t="shared" si="63"/>
        <v>0.59984307000000003</v>
      </c>
    </row>
    <row r="65" spans="2:43" ht="30" x14ac:dyDescent="0.25">
      <c r="B65" s="134" t="s">
        <v>561</v>
      </c>
      <c r="C65" s="11" t="s">
        <v>513</v>
      </c>
      <c r="D65" s="15">
        <f t="shared" si="58"/>
        <v>891.00954440999999</v>
      </c>
      <c r="E65" s="189">
        <f t="shared" si="59"/>
        <v>863.70291100999998</v>
      </c>
      <c r="F65" s="189">
        <v>41.838957200000003</v>
      </c>
      <c r="G65" s="189">
        <v>-14.5323238</v>
      </c>
      <c r="H65" s="190">
        <f t="shared" si="60"/>
        <v>905.54186820999996</v>
      </c>
      <c r="I65" s="134" t="s">
        <v>561</v>
      </c>
      <c r="J65" s="11" t="s">
        <v>31</v>
      </c>
      <c r="K65" s="185">
        <f t="shared" si="61"/>
        <v>0.95379677222136205</v>
      </c>
      <c r="L65" s="185">
        <f t="shared" si="61"/>
        <v>4.620322777863798E-2</v>
      </c>
      <c r="M65" s="185">
        <f t="shared" si="61"/>
        <v>-1.6048207498926905E-2</v>
      </c>
      <c r="AE65" s="134" t="s">
        <v>598</v>
      </c>
      <c r="AF65" s="193">
        <f>AF64/$AF63</f>
        <v>0.22530919215213657</v>
      </c>
      <c r="AG65" s="193">
        <f t="shared" ref="AG65:AJ65" si="64">AG64/$AF63</f>
        <v>0.59377371466833018</v>
      </c>
      <c r="AH65" s="193">
        <f t="shared" si="64"/>
        <v>3.9633307396055081E-3</v>
      </c>
      <c r="AI65" s="193">
        <f t="shared" si="64"/>
        <v>-8.7405077172631167E-4</v>
      </c>
      <c r="AJ65" s="193">
        <f t="shared" si="64"/>
        <v>0.17782781321165406</v>
      </c>
      <c r="AM65" s="186" t="s">
        <v>598</v>
      </c>
      <c r="AN65" s="193">
        <f>AN64/$AN63</f>
        <v>0.76646541904617194</v>
      </c>
      <c r="AO65" s="193">
        <f t="shared" ref="AO65:AQ65" si="65">AO64/$AN63</f>
        <v>5.1160162215114786E-3</v>
      </c>
      <c r="AP65" s="193">
        <f t="shared" si="65"/>
        <v>-1.1282575743405084E-3</v>
      </c>
      <c r="AQ65" s="193">
        <f t="shared" si="65"/>
        <v>0.22954682230665699</v>
      </c>
    </row>
    <row r="66" spans="2:43" x14ac:dyDescent="0.25">
      <c r="B66" s="134" t="s">
        <v>498</v>
      </c>
      <c r="C66" s="11" t="s">
        <v>514</v>
      </c>
      <c r="D66" s="15">
        <f t="shared" si="58"/>
        <v>4.0634619999999995E-6</v>
      </c>
      <c r="E66" s="189">
        <f t="shared" si="59"/>
        <v>4.0030239999999994E-6</v>
      </c>
      <c r="F66" s="189">
        <v>1.2408999999999999E-7</v>
      </c>
      <c r="G66" s="189">
        <v>-6.3652000000000006E-8</v>
      </c>
      <c r="H66" s="190">
        <f t="shared" si="60"/>
        <v>4.1271139999999998E-6</v>
      </c>
      <c r="I66" s="134" t="s">
        <v>498</v>
      </c>
      <c r="J66" s="11" t="s">
        <v>31</v>
      </c>
      <c r="K66" s="185">
        <f t="shared" si="61"/>
        <v>0.96993298464738309</v>
      </c>
      <c r="L66" s="185">
        <f t="shared" si="61"/>
        <v>3.0067015352616865E-2</v>
      </c>
      <c r="M66" s="185">
        <f t="shared" si="61"/>
        <v>-1.5422883884477146E-2</v>
      </c>
      <c r="AE66" s="318" t="str">
        <f>$B$34</f>
        <v>Aquatic acidification</v>
      </c>
      <c r="AF66" s="15">
        <f>D15</f>
        <v>1.0360026199999999</v>
      </c>
      <c r="AG66" s="15">
        <f>AN66*Calculations!$C$47</f>
        <v>653.49599429671821</v>
      </c>
      <c r="AH66" s="15">
        <f>AO66*Calculations!$C$47</f>
        <v>653.06740052277792</v>
      </c>
      <c r="AI66" s="15">
        <f>AP66*Calculations!$C$47</f>
        <v>653.04746250779192</v>
      </c>
      <c r="AJ66" s="15">
        <f>AQ66*Calculations!$C$47</f>
        <v>653.05056689782884</v>
      </c>
      <c r="AM66" s="318" t="str">
        <f>$B$34</f>
        <v>Aquatic acidification</v>
      </c>
      <c r="AN66" s="15">
        <f>D34</f>
        <v>215.2687213024</v>
      </c>
      <c r="AO66" s="15">
        <f>D53</f>
        <v>215.12753782999999</v>
      </c>
      <c r="AP66" s="15">
        <f>D72</f>
        <v>215.12097003</v>
      </c>
      <c r="AQ66" s="15">
        <f>D91</f>
        <v>215.12199264999998</v>
      </c>
    </row>
    <row r="67" spans="2:43" ht="18" x14ac:dyDescent="0.25">
      <c r="B67" s="134" t="s">
        <v>499</v>
      </c>
      <c r="C67" s="11" t="s">
        <v>565</v>
      </c>
      <c r="D67" s="15">
        <f t="shared" si="58"/>
        <v>7.1765300000000004E-3</v>
      </c>
      <c r="E67" s="189">
        <f t="shared" si="59"/>
        <v>7.2200600000000004E-3</v>
      </c>
      <c r="F67" s="189">
        <v>1.0696000000000001E-4</v>
      </c>
      <c r="G67" s="189">
        <v>-1.5049E-4</v>
      </c>
      <c r="H67" s="190">
        <f t="shared" si="60"/>
        <v>7.3270200000000001E-3</v>
      </c>
      <c r="I67" s="134" t="s">
        <v>499</v>
      </c>
      <c r="J67" s="11" t="s">
        <v>31</v>
      </c>
      <c r="K67" s="185">
        <f t="shared" si="61"/>
        <v>0.98540197788459705</v>
      </c>
      <c r="L67" s="185">
        <f t="shared" si="61"/>
        <v>1.4598022115402988E-2</v>
      </c>
      <c r="M67" s="185">
        <f t="shared" si="61"/>
        <v>-2.0539045887686947E-2</v>
      </c>
      <c r="AE67" s="318"/>
      <c r="AF67" s="15">
        <f>AF66-AG66</f>
        <v>-652.45999167671823</v>
      </c>
      <c r="AG67" s="15">
        <f>AG66-AH66</f>
        <v>0.42859377394029252</v>
      </c>
      <c r="AH67" s="15">
        <f t="shared" ref="AH67:AJ67" si="66">AH66-AI66</f>
        <v>1.9938014985996233E-2</v>
      </c>
      <c r="AI67" s="15">
        <f t="shared" si="66"/>
        <v>-3.1043900369240873E-3</v>
      </c>
      <c r="AJ67" s="15">
        <f t="shared" si="66"/>
        <v>653.05056689782884</v>
      </c>
      <c r="AM67" s="318"/>
      <c r="AN67" s="15">
        <f>AN66-AO66</f>
        <v>0.14118347240000162</v>
      </c>
      <c r="AO67" s="15">
        <f t="shared" ref="AO67:AQ67" si="67">AO66-AP66</f>
        <v>6.5677999999991243E-3</v>
      </c>
      <c r="AP67" s="15">
        <f t="shared" si="67"/>
        <v>-1.0226199999863184E-3</v>
      </c>
      <c r="AQ67" s="15">
        <f t="shared" si="67"/>
        <v>215.12199264999998</v>
      </c>
    </row>
    <row r="68" spans="2:43" ht="30" x14ac:dyDescent="0.25">
      <c r="B68" s="134" t="s">
        <v>500</v>
      </c>
      <c r="C68" s="11" t="s">
        <v>515</v>
      </c>
      <c r="D68" s="15">
        <f t="shared" si="58"/>
        <v>1816.9431981999999</v>
      </c>
      <c r="E68" s="189">
        <f t="shared" si="59"/>
        <v>1816.9434074999999</v>
      </c>
      <c r="F68" s="189">
        <v>48.605032700000002</v>
      </c>
      <c r="G68" s="189">
        <v>-48.605241999999997</v>
      </c>
      <c r="H68" s="190">
        <f t="shared" si="60"/>
        <v>1865.5484402</v>
      </c>
      <c r="I68" s="134" t="s">
        <v>500</v>
      </c>
      <c r="J68" s="11" t="s">
        <v>31</v>
      </c>
      <c r="K68" s="185">
        <f t="shared" si="61"/>
        <v>0.97394598196828963</v>
      </c>
      <c r="L68" s="185">
        <f t="shared" si="61"/>
        <v>2.6054018031710396E-2</v>
      </c>
      <c r="M68" s="185">
        <f t="shared" si="61"/>
        <v>-2.6054130223919125E-2</v>
      </c>
      <c r="AE68" s="134" t="s">
        <v>598</v>
      </c>
      <c r="AF68" s="193">
        <f>AF67/$AF66</f>
        <v>-629.78604405143142</v>
      </c>
      <c r="AG68" s="193">
        <f t="shared" ref="AG68:AJ68" si="68">AG67/$AF66</f>
        <v>0.41369950776793651</v>
      </c>
      <c r="AH68" s="193">
        <f t="shared" si="68"/>
        <v>1.924513954028054E-2</v>
      </c>
      <c r="AI68" s="193">
        <f t="shared" si="68"/>
        <v>-2.9965079016152371E-3</v>
      </c>
      <c r="AJ68" s="193">
        <f t="shared" si="68"/>
        <v>630.35609591202478</v>
      </c>
      <c r="AM68" s="186" t="s">
        <v>598</v>
      </c>
      <c r="AN68" s="193">
        <f>AN67/$AN66</f>
        <v>6.5584759153966131E-4</v>
      </c>
      <c r="AO68" s="193">
        <f t="shared" ref="AO68:AQ68" si="69">AO67/$AN66</f>
        <v>3.050977383180982E-5</v>
      </c>
      <c r="AP68" s="193">
        <f t="shared" si="69"/>
        <v>-4.7504346836797854E-6</v>
      </c>
      <c r="AQ68" s="193">
        <f t="shared" si="69"/>
        <v>0.99931839306931225</v>
      </c>
    </row>
    <row r="69" spans="2:43" x14ac:dyDescent="0.25">
      <c r="B69" s="134" t="s">
        <v>562</v>
      </c>
      <c r="C69" s="11" t="s">
        <v>516</v>
      </c>
      <c r="D69" s="15">
        <f t="shared" si="58"/>
        <v>841.98364370000002</v>
      </c>
      <c r="E69" s="189">
        <f t="shared" si="59"/>
        <v>842.35317190000001</v>
      </c>
      <c r="F69" s="189">
        <v>11.6174243</v>
      </c>
      <c r="G69" s="189">
        <v>-11.986952499999999</v>
      </c>
      <c r="H69" s="190">
        <f t="shared" si="60"/>
        <v>853.97059620000005</v>
      </c>
      <c r="I69" s="134" t="s">
        <v>562</v>
      </c>
      <c r="J69" s="11" t="s">
        <v>31</v>
      </c>
      <c r="K69" s="185">
        <f t="shared" si="61"/>
        <v>0.98639599026981106</v>
      </c>
      <c r="L69" s="185">
        <f t="shared" si="61"/>
        <v>1.360400973018888E-2</v>
      </c>
      <c r="M69" s="185">
        <f t="shared" si="61"/>
        <v>-1.4036727439257936E-2</v>
      </c>
      <c r="AE69" s="318" t="str">
        <f>$B$35</f>
        <v>Aquatic eutrophication</v>
      </c>
      <c r="AF69" s="15">
        <f>D16</f>
        <v>9.3839999999999993E-2</v>
      </c>
      <c r="AG69" s="15">
        <f>AN69*Calculations!$C$47</f>
        <v>8.6107595319700497E-2</v>
      </c>
      <c r="AH69" s="15">
        <f>AO69*Calculations!$C$47</f>
        <v>1.2106729536139761E-2</v>
      </c>
      <c r="AI69" s="15">
        <f>AP69*Calculations!$C$47</f>
        <v>1.1730633936911069E-2</v>
      </c>
      <c r="AJ69" s="15">
        <f>AQ69*Calculations!$C$47</f>
        <v>1.2161463603894166E-2</v>
      </c>
      <c r="AM69" s="318" t="str">
        <f>$B$35</f>
        <v>Aquatic eutrophication</v>
      </c>
      <c r="AN69" s="15">
        <f>D35</f>
        <v>2.8364782799999998E-2</v>
      </c>
      <c r="AO69" s="15">
        <f>D54</f>
        <v>3.9880890000000002E-3</v>
      </c>
      <c r="AP69" s="15">
        <f>D73</f>
        <v>3.864199E-3</v>
      </c>
      <c r="AQ69" s="15">
        <f>D92</f>
        <v>4.0061189999999998E-3</v>
      </c>
    </row>
    <row r="70" spans="2:43" ht="18" x14ac:dyDescent="0.25">
      <c r="B70" s="134" t="s">
        <v>501</v>
      </c>
      <c r="C70" s="11" t="s">
        <v>566</v>
      </c>
      <c r="D70" s="15">
        <f t="shared" si="58"/>
        <v>0.43482904</v>
      </c>
      <c r="E70" s="189">
        <f t="shared" si="59"/>
        <v>0.43824638999999999</v>
      </c>
      <c r="F70" s="189">
        <v>1.8265170000000001E-2</v>
      </c>
      <c r="G70" s="189">
        <v>-2.168252E-2</v>
      </c>
      <c r="H70" s="190">
        <f t="shared" si="60"/>
        <v>0.45651155999999998</v>
      </c>
      <c r="I70" s="134" t="s">
        <v>501</v>
      </c>
      <c r="J70" s="11" t="s">
        <v>31</v>
      </c>
      <c r="K70" s="185">
        <f t="shared" si="61"/>
        <v>0.95998968788435501</v>
      </c>
      <c r="L70" s="185">
        <f t="shared" si="61"/>
        <v>4.0010312115645007E-2</v>
      </c>
      <c r="M70" s="185">
        <f t="shared" si="61"/>
        <v>-4.7496102836913925E-2</v>
      </c>
      <c r="AE70" s="318"/>
      <c r="AF70" s="15">
        <f>AF69-AG69</f>
        <v>7.7324046802994956E-3</v>
      </c>
      <c r="AG70" s="15">
        <f>AG69-AH69</f>
        <v>7.4000865783560743E-2</v>
      </c>
      <c r="AH70" s="15">
        <f t="shared" ref="AH70:AJ70" si="70">AH69-AI69</f>
        <v>3.7609559922869261E-4</v>
      </c>
      <c r="AI70" s="15">
        <f t="shared" si="70"/>
        <v>-4.3082966698309785E-4</v>
      </c>
      <c r="AJ70" s="15">
        <f t="shared" si="70"/>
        <v>1.2161463603894166E-2</v>
      </c>
      <c r="AM70" s="318"/>
      <c r="AN70" s="15">
        <f>AN69-AO69</f>
        <v>2.4376693799999998E-2</v>
      </c>
      <c r="AO70" s="15">
        <f t="shared" ref="AO70:AQ70" si="71">AO69-AP69</f>
        <v>1.238900000000002E-4</v>
      </c>
      <c r="AP70" s="15">
        <f t="shared" si="71"/>
        <v>-1.4191999999999981E-4</v>
      </c>
      <c r="AQ70" s="15">
        <f t="shared" si="71"/>
        <v>4.0061189999999998E-3</v>
      </c>
    </row>
    <row r="71" spans="2:43" ht="30" x14ac:dyDescent="0.25">
      <c r="B71" s="134" t="s">
        <v>502</v>
      </c>
      <c r="C71" s="11" t="s">
        <v>563</v>
      </c>
      <c r="D71" s="15">
        <f t="shared" si="58"/>
        <v>0.59689475000000003</v>
      </c>
      <c r="E71" s="189">
        <f t="shared" si="59"/>
        <v>0.59984307000000003</v>
      </c>
      <c r="F71" s="189">
        <v>1.2747039999999999E-2</v>
      </c>
      <c r="G71" s="189">
        <v>-1.5695359999999998E-2</v>
      </c>
      <c r="H71" s="190">
        <f t="shared" si="60"/>
        <v>0.61259011000000008</v>
      </c>
      <c r="I71" s="134" t="s">
        <v>502</v>
      </c>
      <c r="J71" s="11" t="s">
        <v>31</v>
      </c>
      <c r="K71" s="185">
        <f t="shared" si="61"/>
        <v>0.9791915674250764</v>
      </c>
      <c r="L71" s="185">
        <f t="shared" si="61"/>
        <v>2.0808432574923545E-2</v>
      </c>
      <c r="M71" s="185">
        <f t="shared" si="61"/>
        <v>-2.5621308185990788E-2</v>
      </c>
      <c r="AE71" s="134" t="s">
        <v>598</v>
      </c>
      <c r="AF71" s="193">
        <f>AF70/$AF69</f>
        <v>8.2399879372330523E-2</v>
      </c>
      <c r="AG71" s="193">
        <f t="shared" ref="AG71:AJ71" si="72">AG70/$AF69</f>
        <v>0.78858552625277867</v>
      </c>
      <c r="AH71" s="193">
        <f t="shared" si="72"/>
        <v>4.0078388664609192E-3</v>
      </c>
      <c r="AI71" s="193">
        <f t="shared" si="72"/>
        <v>-4.5911089831958424E-3</v>
      </c>
      <c r="AJ71" s="193">
        <f t="shared" si="72"/>
        <v>0.12959786449162583</v>
      </c>
      <c r="AM71" s="186" t="s">
        <v>598</v>
      </c>
      <c r="AN71" s="193">
        <f>AN70/$AN69</f>
        <v>0.85939998102153636</v>
      </c>
      <c r="AO71" s="193">
        <f t="shared" ref="AO71:AQ71" si="73">AO70/$AN69</f>
        <v>4.3677401259705822E-3</v>
      </c>
      <c r="AP71" s="193">
        <f t="shared" si="73"/>
        <v>-5.0033875105153216E-3</v>
      </c>
      <c r="AQ71" s="193">
        <f t="shared" si="73"/>
        <v>0.14123566636300844</v>
      </c>
    </row>
    <row r="72" spans="2:43" ht="18" x14ac:dyDescent="0.25">
      <c r="B72" s="134" t="s">
        <v>503</v>
      </c>
      <c r="C72" s="11" t="s">
        <v>566</v>
      </c>
      <c r="D72" s="15">
        <f t="shared" si="58"/>
        <v>215.12097003</v>
      </c>
      <c r="E72" s="189">
        <f t="shared" si="59"/>
        <v>215.12199264999998</v>
      </c>
      <c r="F72" s="189">
        <v>6.2622600000000004E-3</v>
      </c>
      <c r="G72" s="189">
        <v>-7.2848799999999997E-3</v>
      </c>
      <c r="H72" s="190">
        <f t="shared" si="60"/>
        <v>215.12825490999998</v>
      </c>
      <c r="I72" s="134" t="s">
        <v>503</v>
      </c>
      <c r="J72" s="11" t="s">
        <v>31</v>
      </c>
      <c r="K72" s="185">
        <f t="shared" si="61"/>
        <v>0.99997089057407818</v>
      </c>
      <c r="L72" s="185">
        <f t="shared" si="61"/>
        <v>2.910942592185229E-5</v>
      </c>
      <c r="M72" s="185">
        <f t="shared" si="61"/>
        <v>-3.3862962366555087E-5</v>
      </c>
      <c r="AE72" s="318" t="str">
        <f>$B$36</f>
        <v>Global warming</v>
      </c>
      <c r="AF72" s="15">
        <f>D17</f>
        <v>216.90000001830001</v>
      </c>
      <c r="AG72" s="15">
        <f>AN72*Calculations!$C$47</f>
        <v>154.16724369415525</v>
      </c>
      <c r="AH72" s="15">
        <f>AO72*Calculations!$C$47</f>
        <v>84.65668051767679</v>
      </c>
      <c r="AI72" s="15">
        <f>AP72*Calculations!$C$47</f>
        <v>81.745772404829353</v>
      </c>
      <c r="AJ72" s="15">
        <f>AQ72*Calculations!$C$47</f>
        <v>83.045983341486149</v>
      </c>
      <c r="AM72" s="318" t="str">
        <f>$B$36</f>
        <v>Global warming</v>
      </c>
      <c r="AN72" s="15">
        <f>D36</f>
        <v>50.784374665482098</v>
      </c>
      <c r="AO72" s="15">
        <f>D55</f>
        <v>27.886835610000002</v>
      </c>
      <c r="AP72" s="15">
        <f>D74</f>
        <v>26.927950670000001</v>
      </c>
      <c r="AQ72" s="15">
        <f>D93</f>
        <v>27.356254360000001</v>
      </c>
    </row>
    <row r="73" spans="2:43" ht="18" x14ac:dyDescent="0.25">
      <c r="B73" s="134" t="s">
        <v>504</v>
      </c>
      <c r="C73" s="11" t="s">
        <v>567</v>
      </c>
      <c r="D73" s="15">
        <f t="shared" si="58"/>
        <v>3.864199E-3</v>
      </c>
      <c r="E73" s="189">
        <f t="shared" si="59"/>
        <v>4.0061189999999998E-3</v>
      </c>
      <c r="F73" s="189">
        <v>1.1813E-4</v>
      </c>
      <c r="G73" s="189">
        <v>-2.6005000000000001E-4</v>
      </c>
      <c r="H73" s="190">
        <f t="shared" si="60"/>
        <v>4.124249E-3</v>
      </c>
      <c r="I73" s="134" t="s">
        <v>504</v>
      </c>
      <c r="J73" s="11" t="s">
        <v>31</v>
      </c>
      <c r="K73" s="185">
        <f t="shared" si="61"/>
        <v>0.97135720951862992</v>
      </c>
      <c r="L73" s="185">
        <f t="shared" si="61"/>
        <v>2.8642790481370063E-2</v>
      </c>
      <c r="M73" s="185">
        <f t="shared" si="61"/>
        <v>-6.3053903874378106E-2</v>
      </c>
      <c r="AE73" s="318"/>
      <c r="AF73" s="15">
        <f>AF72-AG72</f>
        <v>62.732756324144759</v>
      </c>
      <c r="AG73" s="15">
        <f>AG72-AH72</f>
        <v>69.510563176478456</v>
      </c>
      <c r="AH73" s="15">
        <f t="shared" ref="AH73:AJ73" si="74">AH72-AI72</f>
        <v>2.9109081128474372</v>
      </c>
      <c r="AI73" s="15">
        <f t="shared" si="74"/>
        <v>-1.3002109366567964</v>
      </c>
      <c r="AJ73" s="15">
        <f t="shared" si="74"/>
        <v>83.045983341486149</v>
      </c>
      <c r="AM73" s="318"/>
      <c r="AN73" s="15">
        <f>AN72-AO72</f>
        <v>22.897539055482095</v>
      </c>
      <c r="AO73" s="15">
        <f t="shared" ref="AO73:AQ73" si="75">AO72-AP72</f>
        <v>0.9588849400000008</v>
      </c>
      <c r="AP73" s="15">
        <f t="shared" si="75"/>
        <v>-0.4283036899999999</v>
      </c>
      <c r="AQ73" s="15">
        <f t="shared" si="75"/>
        <v>27.356254360000001</v>
      </c>
    </row>
    <row r="74" spans="2:43" ht="30" x14ac:dyDescent="0.25">
      <c r="B74" s="176" t="s">
        <v>505</v>
      </c>
      <c r="C74" s="165" t="s">
        <v>578</v>
      </c>
      <c r="D74" s="195">
        <f t="shared" si="58"/>
        <v>26.927950670000001</v>
      </c>
      <c r="E74" s="196">
        <f t="shared" si="59"/>
        <v>27.356254360000001</v>
      </c>
      <c r="F74" s="196">
        <v>0.91427661999999998</v>
      </c>
      <c r="G74" s="196">
        <v>-1.34258031</v>
      </c>
      <c r="H74" s="190">
        <f t="shared" si="60"/>
        <v>28.27053098</v>
      </c>
      <c r="I74" s="134" t="s">
        <v>505</v>
      </c>
      <c r="J74" s="11" t="s">
        <v>31</v>
      </c>
      <c r="K74" s="185">
        <f t="shared" si="61"/>
        <v>0.96765972946716827</v>
      </c>
      <c r="L74" s="185">
        <f t="shared" si="61"/>
        <v>3.2340270532831714E-2</v>
      </c>
      <c r="M74" s="185">
        <f t="shared" si="61"/>
        <v>-4.7490452547559472E-2</v>
      </c>
      <c r="AE74" s="134" t="s">
        <v>598</v>
      </c>
      <c r="AF74" s="193">
        <f>AF73/$AF72</f>
        <v>0.28922432604357745</v>
      </c>
      <c r="AG74" s="193">
        <f t="shared" ref="AG74:AJ74" si="76">AG73/$AF72</f>
        <v>0.32047285924672109</v>
      </c>
      <c r="AH74" s="193">
        <f t="shared" si="76"/>
        <v>1.3420507665292033E-2</v>
      </c>
      <c r="AI74" s="193">
        <f t="shared" si="76"/>
        <v>-5.9945179186127098E-3</v>
      </c>
      <c r="AJ74" s="193">
        <f t="shared" si="76"/>
        <v>0.38287682496302211</v>
      </c>
      <c r="AM74" s="186" t="s">
        <v>598</v>
      </c>
      <c r="AN74" s="193">
        <f>AN73/$AN72</f>
        <v>0.45087764113093326</v>
      </c>
      <c r="AO74" s="193">
        <f t="shared" ref="AO74:AQ74" si="77">AO73/$AN72</f>
        <v>1.8881495466197998E-2</v>
      </c>
      <c r="AP74" s="193">
        <f t="shared" si="77"/>
        <v>-8.433769103612019E-3</v>
      </c>
      <c r="AQ74" s="193">
        <f t="shared" si="77"/>
        <v>0.53867463250648073</v>
      </c>
    </row>
    <row r="75" spans="2:43" x14ac:dyDescent="0.25">
      <c r="B75" s="134" t="s">
        <v>506</v>
      </c>
      <c r="C75" s="11" t="s">
        <v>517</v>
      </c>
      <c r="D75" s="15">
        <f t="shared" si="58"/>
        <v>511.79246847000002</v>
      </c>
      <c r="E75" s="189">
        <f t="shared" si="59"/>
        <v>510.78907106999998</v>
      </c>
      <c r="F75" s="189">
        <v>18.619054299999998</v>
      </c>
      <c r="G75" s="189">
        <v>-17.615656900000001</v>
      </c>
      <c r="H75" s="190">
        <f t="shared" si="60"/>
        <v>529.40812536999999</v>
      </c>
      <c r="I75" s="134" t="s">
        <v>506</v>
      </c>
      <c r="J75" s="11" t="s">
        <v>31</v>
      </c>
      <c r="K75" s="185">
        <f t="shared" si="61"/>
        <v>0.96483043344492059</v>
      </c>
      <c r="L75" s="185">
        <f t="shared" si="61"/>
        <v>3.5169566555079336E-2</v>
      </c>
      <c r="M75" s="185">
        <f t="shared" si="61"/>
        <v>-3.3274247326084257E-2</v>
      </c>
      <c r="AE75" s="318" t="str">
        <f>$B$37</f>
        <v>Non-renewable energy</v>
      </c>
      <c r="AF75" s="15">
        <f>D18</f>
        <v>3601.57</v>
      </c>
      <c r="AG75" s="15">
        <f>AN75*Calculations!$C$47</f>
        <v>2570.4877429299522</v>
      </c>
      <c r="AH75" s="15">
        <f>AO75*Calculations!$C$47</f>
        <v>1612.9397006770728</v>
      </c>
      <c r="AI75" s="15">
        <f>AP75*Calculations!$C$47</f>
        <v>1553.659658648447</v>
      </c>
      <c r="AJ75" s="15">
        <f>AQ75*Calculations!$C$47</f>
        <v>1550.6136230812704</v>
      </c>
      <c r="AM75" s="318" t="str">
        <f>$B$37</f>
        <v>Non-renewable energy</v>
      </c>
      <c r="AN75" s="15">
        <f>D37</f>
        <v>846.74675035999985</v>
      </c>
      <c r="AO75" s="15">
        <f>D56</f>
        <v>531.31996206999997</v>
      </c>
      <c r="AP75" s="15">
        <f>D75</f>
        <v>511.79246847000002</v>
      </c>
      <c r="AQ75" s="15">
        <f>D94</f>
        <v>510.78907106999998</v>
      </c>
    </row>
    <row r="76" spans="2:43" x14ac:dyDescent="0.25">
      <c r="B76" s="134" t="s">
        <v>507</v>
      </c>
      <c r="C76" s="11" t="s">
        <v>518</v>
      </c>
      <c r="D76" s="15">
        <f t="shared" si="58"/>
        <v>0.51289432999999995</v>
      </c>
      <c r="E76" s="189">
        <f t="shared" si="59"/>
        <v>0.51525430999999999</v>
      </c>
      <c r="F76" s="189">
        <v>1.0387230000000001E-2</v>
      </c>
      <c r="G76" s="189">
        <v>-1.274721E-2</v>
      </c>
      <c r="H76" s="190">
        <f t="shared" si="60"/>
        <v>0.52564153999999996</v>
      </c>
      <c r="I76" s="134" t="s">
        <v>507</v>
      </c>
      <c r="J76" s="11" t="s">
        <v>31</v>
      </c>
      <c r="K76" s="185">
        <f t="shared" si="61"/>
        <v>0.98023894762959574</v>
      </c>
      <c r="L76" s="185">
        <f t="shared" si="61"/>
        <v>1.9761052370404365E-2</v>
      </c>
      <c r="M76" s="185">
        <f t="shared" si="61"/>
        <v>-2.4250766025835785E-2</v>
      </c>
      <c r="AE76" s="318"/>
      <c r="AF76" s="15">
        <f>AF75-AG75</f>
        <v>1031.0822570700479</v>
      </c>
      <c r="AG76" s="15">
        <f>AG75-AH75</f>
        <v>957.54804225287944</v>
      </c>
      <c r="AH76" s="15">
        <f t="shared" ref="AH76:AJ76" si="78">AH75-AI75</f>
        <v>59.280042028625758</v>
      </c>
      <c r="AI76" s="15">
        <f t="shared" si="78"/>
        <v>3.0460355671766592</v>
      </c>
      <c r="AJ76" s="15">
        <f t="shared" si="78"/>
        <v>1550.6136230812704</v>
      </c>
      <c r="AM76" s="318"/>
      <c r="AN76" s="15">
        <f>AN75-AO75</f>
        <v>315.42678828999988</v>
      </c>
      <c r="AO76" s="15">
        <f t="shared" ref="AO76:AQ76" si="79">AO75-AP75</f>
        <v>19.527493599999957</v>
      </c>
      <c r="AP76" s="15">
        <f t="shared" si="79"/>
        <v>1.0033974000000399</v>
      </c>
      <c r="AQ76" s="15">
        <f t="shared" si="79"/>
        <v>510.78907106999998</v>
      </c>
    </row>
    <row r="77" spans="2:43" ht="30" x14ac:dyDescent="0.25">
      <c r="AE77" s="134" t="s">
        <v>598</v>
      </c>
      <c r="AF77" s="193">
        <f>AF76/$AF75</f>
        <v>0.28628688518341944</v>
      </c>
      <c r="AG77" s="193">
        <f t="shared" ref="AG77:AJ77" si="80">AG76/$AF75</f>
        <v>0.26586961859768915</v>
      </c>
      <c r="AH77" s="193">
        <f t="shared" si="80"/>
        <v>1.6459500170377294E-2</v>
      </c>
      <c r="AI77" s="193">
        <f t="shared" si="80"/>
        <v>8.4575214897299211E-4</v>
      </c>
      <c r="AJ77" s="193">
        <f t="shared" si="80"/>
        <v>0.4305382438995411</v>
      </c>
      <c r="AM77" s="186" t="s">
        <v>598</v>
      </c>
      <c r="AN77" s="193">
        <f>AN76/$AN75</f>
        <v>0.37251608955793941</v>
      </c>
      <c r="AO77" s="193">
        <f t="shared" ref="AO77:AQ77" si="81">AO76/$AN75</f>
        <v>2.3061787472697968E-2</v>
      </c>
      <c r="AP77" s="193">
        <f t="shared" si="81"/>
        <v>1.1850029534491145E-3</v>
      </c>
      <c r="AQ77" s="193">
        <f t="shared" si="81"/>
        <v>0.60323712001591345</v>
      </c>
    </row>
    <row r="78" spans="2:43" x14ac:dyDescent="0.25">
      <c r="B78" s="319" t="s">
        <v>713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AE78" s="318" t="str">
        <f>$B$38</f>
        <v>Mineral extraction</v>
      </c>
      <c r="AF78" s="15">
        <f>D19</f>
        <v>7.9630000000000001</v>
      </c>
      <c r="AG78" s="15">
        <f>AN78*Calculations!$C$47</f>
        <v>6.5935442684752443</v>
      </c>
      <c r="AH78" s="15">
        <f>AO78*Calculations!$C$47</f>
        <v>1.5900758505384924</v>
      </c>
      <c r="AI78" s="15">
        <f>AP78*Calculations!$C$47</f>
        <v>1.5570046039417909</v>
      </c>
      <c r="AJ78" s="15">
        <f>AQ78*Calculations!$C$47</f>
        <v>1.5641688471597079</v>
      </c>
      <c r="AM78" s="318" t="str">
        <f>$B$38</f>
        <v>Mineral extraction</v>
      </c>
      <c r="AN78" s="15">
        <f>D38</f>
        <v>2.1719855299999997</v>
      </c>
      <c r="AO78" s="15">
        <f>D57</f>
        <v>0.52378835999999995</v>
      </c>
      <c r="AP78" s="15">
        <f>D76</f>
        <v>0.51289432999999995</v>
      </c>
      <c r="AQ78" s="15">
        <f>D95</f>
        <v>0.51525430999999999</v>
      </c>
    </row>
    <row r="79" spans="2:43" x14ac:dyDescent="0.25">
      <c r="AE79" s="318"/>
      <c r="AF79" s="15">
        <f>AF78-AG78</f>
        <v>1.3694557315247557</v>
      </c>
      <c r="AG79" s="15">
        <f>AG78-AH78</f>
        <v>5.0034684179367517</v>
      </c>
      <c r="AH79" s="15">
        <f t="shared" ref="AH79:AJ79" si="82">AH78-AI78</f>
        <v>3.3071246596701576E-2</v>
      </c>
      <c r="AI79" s="15">
        <f t="shared" si="82"/>
        <v>-7.1642432179170878E-3</v>
      </c>
      <c r="AJ79" s="15">
        <f t="shared" si="82"/>
        <v>1.5641688471597079</v>
      </c>
      <c r="AM79" s="318"/>
      <c r="AN79" s="15">
        <f>AN78-AO78</f>
        <v>1.6481971699999998</v>
      </c>
      <c r="AO79" s="15">
        <f t="shared" ref="AO79:AQ79" si="83">AO78-AP78</f>
        <v>1.0894029999999999E-2</v>
      </c>
      <c r="AP79" s="15">
        <f t="shared" si="83"/>
        <v>-2.3599800000000393E-3</v>
      </c>
      <c r="AQ79" s="15">
        <f t="shared" si="83"/>
        <v>0.51525430999999999</v>
      </c>
    </row>
    <row r="80" spans="2:43" ht="32.450000000000003" customHeight="1" x14ac:dyDescent="0.25">
      <c r="B80" s="167" t="s">
        <v>569</v>
      </c>
      <c r="C80" s="167" t="s">
        <v>365</v>
      </c>
      <c r="D80" s="167" t="s">
        <v>223</v>
      </c>
      <c r="E80" s="167" t="s">
        <v>597</v>
      </c>
      <c r="F80" s="167" t="s">
        <v>575</v>
      </c>
      <c r="G80" s="167" t="s">
        <v>577</v>
      </c>
      <c r="H80" s="167" t="s">
        <v>217</v>
      </c>
      <c r="I80" s="167" t="s">
        <v>576</v>
      </c>
      <c r="J80" s="167" t="s">
        <v>572</v>
      </c>
      <c r="L80" s="133" t="s">
        <v>569</v>
      </c>
      <c r="M80" s="133" t="s">
        <v>365</v>
      </c>
      <c r="N80" s="167" t="s">
        <v>597</v>
      </c>
      <c r="O80" s="167" t="s">
        <v>575</v>
      </c>
      <c r="P80" s="167" t="s">
        <v>577</v>
      </c>
      <c r="Q80" s="167" t="s">
        <v>217</v>
      </c>
      <c r="R80" s="167" t="s">
        <v>576</v>
      </c>
      <c r="S80" s="167" t="s">
        <v>572</v>
      </c>
      <c r="AE80" s="134" t="s">
        <v>598</v>
      </c>
      <c r="AF80" s="193">
        <f>AF79/$AF78</f>
        <v>0.17197736173863565</v>
      </c>
      <c r="AG80" s="193">
        <f t="shared" ref="AG80:AJ80" si="84">AG79/$AF78</f>
        <v>0.6283396229984618</v>
      </c>
      <c r="AH80" s="193">
        <f t="shared" si="84"/>
        <v>4.1531139767300735E-3</v>
      </c>
      <c r="AI80" s="193">
        <f t="shared" si="84"/>
        <v>-8.9969147531295836E-4</v>
      </c>
      <c r="AJ80" s="193">
        <f t="shared" si="84"/>
        <v>0.19642959276148536</v>
      </c>
      <c r="AM80" s="186" t="s">
        <v>598</v>
      </c>
      <c r="AN80" s="193">
        <f>AN79/$AN78</f>
        <v>0.75884353152205386</v>
      </c>
      <c r="AO80" s="193">
        <f t="shared" ref="AO80:AQ80" si="85">AO79/$AN78</f>
        <v>5.0157010023911168E-3</v>
      </c>
      <c r="AP80" s="193">
        <f t="shared" si="85"/>
        <v>-1.0865542000181004E-3</v>
      </c>
      <c r="AQ80" s="193">
        <f t="shared" si="85"/>
        <v>0.23722732167557306</v>
      </c>
    </row>
    <row r="81" spans="2:19" ht="18" x14ac:dyDescent="0.25">
      <c r="B81" s="134" t="s">
        <v>495</v>
      </c>
      <c r="C81" s="11" t="s">
        <v>564</v>
      </c>
      <c r="D81" s="15">
        <f t="shared" ref="D81:D92" si="86">SUM(F81:J81)</f>
        <v>0.52165205999999997</v>
      </c>
      <c r="E81" s="189">
        <v>0</v>
      </c>
      <c r="F81" s="189">
        <v>6.9699999999999998E-2</v>
      </c>
      <c r="G81" s="189">
        <v>7.1400000000000005E-2</v>
      </c>
      <c r="H81" s="189">
        <v>0.21027225999999999</v>
      </c>
      <c r="I81" s="189">
        <v>1.9946129999999999E-2</v>
      </c>
      <c r="J81" s="189">
        <v>0.15033367</v>
      </c>
      <c r="L81" s="134" t="s">
        <v>495</v>
      </c>
      <c r="M81" s="11" t="s">
        <v>31</v>
      </c>
      <c r="N81" s="185">
        <f t="shared" ref="N81:S95" si="87">E81/$D81</f>
        <v>0</v>
      </c>
      <c r="O81" s="185">
        <f t="shared" si="87"/>
        <v>0.13361396483318785</v>
      </c>
      <c r="P81" s="185">
        <f t="shared" si="87"/>
        <v>0.13687284202424124</v>
      </c>
      <c r="Q81" s="185">
        <f t="shared" si="87"/>
        <v>0.40308910119131897</v>
      </c>
      <c r="R81" s="185">
        <f t="shared" si="87"/>
        <v>3.8236463592226592E-2</v>
      </c>
      <c r="S81" s="185">
        <f t="shared" si="87"/>
        <v>0.28818762835902539</v>
      </c>
    </row>
    <row r="82" spans="2:19" ht="18" x14ac:dyDescent="0.25">
      <c r="B82" s="134" t="s">
        <v>496</v>
      </c>
      <c r="C82" s="11" t="s">
        <v>564</v>
      </c>
      <c r="D82" s="15">
        <f t="shared" si="86"/>
        <v>0.41045109999999996</v>
      </c>
      <c r="E82" s="189">
        <v>0</v>
      </c>
      <c r="F82" s="189">
        <v>0.157</v>
      </c>
      <c r="G82" s="189">
        <v>2.7E-2</v>
      </c>
      <c r="H82" s="189">
        <v>0.10253900000000001</v>
      </c>
      <c r="I82" s="189">
        <v>6.7178489999999993E-2</v>
      </c>
      <c r="J82" s="189">
        <v>5.6733609999999997E-2</v>
      </c>
      <c r="L82" s="134" t="s">
        <v>496</v>
      </c>
      <c r="M82" s="11" t="s">
        <v>31</v>
      </c>
      <c r="N82" s="185">
        <f t="shared" si="87"/>
        <v>0</v>
      </c>
      <c r="O82" s="185">
        <f t="shared" si="87"/>
        <v>0.38250597939681491</v>
      </c>
      <c r="P82" s="185">
        <f t="shared" si="87"/>
        <v>6.5781283080980912E-2</v>
      </c>
      <c r="Q82" s="185">
        <f t="shared" si="87"/>
        <v>0.24982025873484079</v>
      </c>
      <c r="R82" s="185">
        <f t="shared" si="87"/>
        <v>0.16366989880158683</v>
      </c>
      <c r="S82" s="185">
        <f t="shared" si="87"/>
        <v>0.13822257998577664</v>
      </c>
    </row>
    <row r="83" spans="2:19" x14ac:dyDescent="0.25">
      <c r="B83" s="134" t="s">
        <v>497</v>
      </c>
      <c r="C83" s="11" t="s">
        <v>512</v>
      </c>
      <c r="D83" s="15">
        <f t="shared" si="86"/>
        <v>2.93075E-2</v>
      </c>
      <c r="E83" s="189">
        <v>0</v>
      </c>
      <c r="F83" s="189">
        <v>5.5100000000000001E-3</v>
      </c>
      <c r="G83" s="189">
        <v>6.0299999999999998E-3</v>
      </c>
      <c r="H83" s="189">
        <v>4.2387400000000004E-3</v>
      </c>
      <c r="I83" s="189">
        <v>8.4197999999999999E-4</v>
      </c>
      <c r="J83" s="189">
        <v>1.268678E-2</v>
      </c>
      <c r="L83" s="134" t="s">
        <v>497</v>
      </c>
      <c r="M83" s="11" t="s">
        <v>31</v>
      </c>
      <c r="N83" s="185">
        <f t="shared" si="87"/>
        <v>0</v>
      </c>
      <c r="O83" s="185">
        <f t="shared" si="87"/>
        <v>0.18800648298217179</v>
      </c>
      <c r="P83" s="185">
        <f t="shared" si="87"/>
        <v>0.20574938155762176</v>
      </c>
      <c r="Q83" s="185">
        <f t="shared" si="87"/>
        <v>0.1446298728994285</v>
      </c>
      <c r="R83" s="185">
        <f t="shared" si="87"/>
        <v>2.8729164889533396E-2</v>
      </c>
      <c r="S83" s="185">
        <f t="shared" si="87"/>
        <v>0.43288509767124456</v>
      </c>
    </row>
    <row r="84" spans="2:19" x14ac:dyDescent="0.25">
      <c r="B84" s="134" t="s">
        <v>561</v>
      </c>
      <c r="C84" s="11" t="s">
        <v>513</v>
      </c>
      <c r="D84" s="15">
        <f t="shared" si="86"/>
        <v>863.70291100999998</v>
      </c>
      <c r="E84" s="189">
        <v>0</v>
      </c>
      <c r="F84" s="189">
        <v>73.7</v>
      </c>
      <c r="G84" s="189">
        <v>215</v>
      </c>
      <c r="H84" s="189">
        <v>116.967382</v>
      </c>
      <c r="I84" s="189">
        <v>4.9685110100000003</v>
      </c>
      <c r="J84" s="189">
        <v>453.06701800000002</v>
      </c>
      <c r="L84" s="134" t="s">
        <v>561</v>
      </c>
      <c r="M84" s="11" t="s">
        <v>31</v>
      </c>
      <c r="N84" s="185">
        <f t="shared" si="87"/>
        <v>0</v>
      </c>
      <c r="O84" s="185">
        <f t="shared" si="87"/>
        <v>8.53302669940251E-2</v>
      </c>
      <c r="P84" s="185">
        <f t="shared" si="87"/>
        <v>0.24892818729600266</v>
      </c>
      <c r="Q84" s="185">
        <f t="shared" si="87"/>
        <v>0.13542548080939112</v>
      </c>
      <c r="R84" s="185">
        <f t="shared" si="87"/>
        <v>5.7525694850210762E-3</v>
      </c>
      <c r="S84" s="185">
        <f t="shared" si="87"/>
        <v>0.52456349541556013</v>
      </c>
    </row>
    <row r="85" spans="2:19" x14ac:dyDescent="0.25">
      <c r="B85" s="134" t="s">
        <v>498</v>
      </c>
      <c r="C85" s="11" t="s">
        <v>514</v>
      </c>
      <c r="D85" s="15">
        <f t="shared" si="86"/>
        <v>4.0030239999999994E-6</v>
      </c>
      <c r="E85" s="189">
        <v>0</v>
      </c>
      <c r="F85" s="189">
        <v>1.6199999999999999E-6</v>
      </c>
      <c r="G85" s="189">
        <v>6.3799999999999997E-7</v>
      </c>
      <c r="H85" s="189">
        <v>3.6693000000000002E-7</v>
      </c>
      <c r="I85" s="189">
        <v>3.4294000000000003E-8</v>
      </c>
      <c r="J85" s="189">
        <v>1.3437999999999999E-6</v>
      </c>
      <c r="L85" s="134" t="s">
        <v>498</v>
      </c>
      <c r="M85" s="11" t="s">
        <v>31</v>
      </c>
      <c r="N85" s="185">
        <f t="shared" si="87"/>
        <v>0</v>
      </c>
      <c r="O85" s="185">
        <f t="shared" si="87"/>
        <v>0.40469405129721936</v>
      </c>
      <c r="P85" s="185">
        <f t="shared" si="87"/>
        <v>0.15937950909112714</v>
      </c>
      <c r="Q85" s="185">
        <f t="shared" si="87"/>
        <v>9.1663202618820189E-2</v>
      </c>
      <c r="R85" s="185">
        <f t="shared" si="87"/>
        <v>8.567023330362248E-3</v>
      </c>
      <c r="S85" s="185">
        <f t="shared" si="87"/>
        <v>0.33569621366247121</v>
      </c>
    </row>
    <row r="86" spans="2:19" ht="18" x14ac:dyDescent="0.25">
      <c r="B86" s="134" t="s">
        <v>499</v>
      </c>
      <c r="C86" s="11" t="s">
        <v>565</v>
      </c>
      <c r="D86" s="15">
        <f t="shared" si="86"/>
        <v>7.2200600000000004E-3</v>
      </c>
      <c r="E86" s="189">
        <v>0</v>
      </c>
      <c r="F86" s="189">
        <v>4.0299999999999997E-3</v>
      </c>
      <c r="G86" s="189">
        <v>5.5000000000000003E-4</v>
      </c>
      <c r="H86" s="189">
        <v>1.34566E-3</v>
      </c>
      <c r="I86" s="189">
        <v>1.3613000000000001E-4</v>
      </c>
      <c r="J86" s="189">
        <v>1.1582700000000001E-3</v>
      </c>
      <c r="L86" s="134" t="s">
        <v>499</v>
      </c>
      <c r="M86" s="11" t="s">
        <v>31</v>
      </c>
      <c r="N86" s="185">
        <f t="shared" si="87"/>
        <v>0</v>
      </c>
      <c r="O86" s="185">
        <f t="shared" si="87"/>
        <v>0.55816710664454305</v>
      </c>
      <c r="P86" s="185">
        <f t="shared" si="87"/>
        <v>7.6176652271587778E-2</v>
      </c>
      <c r="Q86" s="185">
        <f t="shared" si="87"/>
        <v>0.18637795253779055</v>
      </c>
      <c r="R86" s="185">
        <f t="shared" si="87"/>
        <v>1.8854413952238625E-2</v>
      </c>
      <c r="S86" s="185">
        <f t="shared" si="87"/>
        <v>0.16042387459383994</v>
      </c>
    </row>
    <row r="87" spans="2:19" x14ac:dyDescent="0.25">
      <c r="B87" s="134" t="s">
        <v>500</v>
      </c>
      <c r="C87" s="11" t="s">
        <v>515</v>
      </c>
      <c r="D87" s="15">
        <f t="shared" si="86"/>
        <v>1816.9434074999999</v>
      </c>
      <c r="E87" s="189">
        <v>0</v>
      </c>
      <c r="F87" s="189">
        <v>774</v>
      </c>
      <c r="G87" s="189">
        <v>250</v>
      </c>
      <c r="H87" s="189">
        <v>237.652613</v>
      </c>
      <c r="I87" s="189">
        <v>28.955092499999999</v>
      </c>
      <c r="J87" s="189">
        <v>526.33570199999997</v>
      </c>
      <c r="L87" s="134" t="s">
        <v>500</v>
      </c>
      <c r="M87" s="11" t="s">
        <v>31</v>
      </c>
      <c r="N87" s="185">
        <f t="shared" si="87"/>
        <v>0</v>
      </c>
      <c r="O87" s="185">
        <f t="shared" si="87"/>
        <v>0.42599015291564607</v>
      </c>
      <c r="P87" s="185">
        <f t="shared" si="87"/>
        <v>0.13759371864200454</v>
      </c>
      <c r="Q87" s="185">
        <f t="shared" si="87"/>
        <v>0.13079802707063676</v>
      </c>
      <c r="R87" s="185">
        <f t="shared" si="87"/>
        <v>1.5936155402792862E-2</v>
      </c>
      <c r="S87" s="185">
        <f t="shared" si="87"/>
        <v>0.28968194596891977</v>
      </c>
    </row>
    <row r="88" spans="2:19" x14ac:dyDescent="0.25">
      <c r="B88" s="134" t="s">
        <v>562</v>
      </c>
      <c r="C88" s="11" t="s">
        <v>516</v>
      </c>
      <c r="D88" s="15">
        <f t="shared" si="86"/>
        <v>842.35317190000001</v>
      </c>
      <c r="E88" s="189">
        <v>0</v>
      </c>
      <c r="F88" s="189">
        <v>574</v>
      </c>
      <c r="G88" s="189">
        <v>59.8</v>
      </c>
      <c r="H88" s="189">
        <v>72.520386299999998</v>
      </c>
      <c r="I88" s="189">
        <v>10.229657599999999</v>
      </c>
      <c r="J88" s="189">
        <v>125.803128</v>
      </c>
      <c r="L88" s="134" t="s">
        <v>562</v>
      </c>
      <c r="M88" s="11" t="s">
        <v>31</v>
      </c>
      <c r="N88" s="185">
        <f t="shared" si="87"/>
        <v>0</v>
      </c>
      <c r="O88" s="185">
        <f t="shared" si="87"/>
        <v>0.68142439436097058</v>
      </c>
      <c r="P88" s="185">
        <f t="shared" si="87"/>
        <v>7.0991600666874627E-2</v>
      </c>
      <c r="Q88" s="185">
        <f t="shared" si="87"/>
        <v>8.6092613786238892E-2</v>
      </c>
      <c r="R88" s="185">
        <f t="shared" si="87"/>
        <v>1.2144143265853832E-2</v>
      </c>
      <c r="S88" s="185">
        <f t="shared" si="87"/>
        <v>0.14934724792006213</v>
      </c>
    </row>
    <row r="89" spans="2:19" ht="18" x14ac:dyDescent="0.25">
      <c r="B89" s="134" t="s">
        <v>501</v>
      </c>
      <c r="C89" s="11" t="s">
        <v>566</v>
      </c>
      <c r="D89" s="15">
        <f t="shared" si="86"/>
        <v>0.43824638999999999</v>
      </c>
      <c r="E89" s="189">
        <v>0</v>
      </c>
      <c r="F89" s="189">
        <v>7.7399999999999997E-2</v>
      </c>
      <c r="G89" s="189">
        <v>9.4E-2</v>
      </c>
      <c r="H89" s="189">
        <v>5.6835259999999999E-2</v>
      </c>
      <c r="I89" s="189">
        <v>1.2220679999999999E-2</v>
      </c>
      <c r="J89" s="189">
        <v>0.19779045000000001</v>
      </c>
      <c r="L89" s="134" t="s">
        <v>501</v>
      </c>
      <c r="M89" s="11" t="s">
        <v>31</v>
      </c>
      <c r="N89" s="185">
        <f t="shared" si="87"/>
        <v>0</v>
      </c>
      <c r="O89" s="185">
        <f t="shared" si="87"/>
        <v>0.17661297791865438</v>
      </c>
      <c r="P89" s="185">
        <f t="shared" si="87"/>
        <v>0.21449121349293945</v>
      </c>
      <c r="Q89" s="185">
        <f t="shared" si="87"/>
        <v>0.12968791368709279</v>
      </c>
      <c r="R89" s="185">
        <f t="shared" si="87"/>
        <v>2.788540939264782E-2</v>
      </c>
      <c r="S89" s="185">
        <f t="shared" si="87"/>
        <v>0.45132248550866561</v>
      </c>
    </row>
    <row r="90" spans="2:19" x14ac:dyDescent="0.25">
      <c r="B90" s="134" t="s">
        <v>502</v>
      </c>
      <c r="C90" s="11" t="s">
        <v>563</v>
      </c>
      <c r="D90" s="15">
        <f t="shared" si="86"/>
        <v>0.59984307000000003</v>
      </c>
      <c r="E90" s="189">
        <v>0</v>
      </c>
      <c r="F90" s="189">
        <v>0.32</v>
      </c>
      <c r="G90" s="189">
        <v>6.5600000000000006E-2</v>
      </c>
      <c r="H90" s="189">
        <v>7.0936570000000004E-2</v>
      </c>
      <c r="I90" s="189">
        <v>5.2709300000000001E-3</v>
      </c>
      <c r="J90" s="189">
        <v>0.13803557</v>
      </c>
      <c r="L90" s="134" t="s">
        <v>502</v>
      </c>
      <c r="M90" s="11" t="s">
        <v>31</v>
      </c>
      <c r="N90" s="185">
        <f t="shared" si="87"/>
        <v>0</v>
      </c>
      <c r="O90" s="185">
        <f t="shared" si="87"/>
        <v>0.53347286316069298</v>
      </c>
      <c r="P90" s="185">
        <f t="shared" si="87"/>
        <v>0.10936193694794206</v>
      </c>
      <c r="Q90" s="185">
        <f t="shared" si="87"/>
        <v>0.11825854718968414</v>
      </c>
      <c r="R90" s="185">
        <f t="shared" si="87"/>
        <v>8.7871816206862227E-3</v>
      </c>
      <c r="S90" s="185">
        <f t="shared" si="87"/>
        <v>0.23011947108099454</v>
      </c>
    </row>
    <row r="91" spans="2:19" ht="18" x14ac:dyDescent="0.25">
      <c r="B91" s="134" t="s">
        <v>503</v>
      </c>
      <c r="C91" s="11" t="s">
        <v>566</v>
      </c>
      <c r="D91" s="15">
        <f t="shared" si="86"/>
        <v>215.12199264999998</v>
      </c>
      <c r="E91" s="189">
        <v>0</v>
      </c>
      <c r="F91" s="189">
        <v>215</v>
      </c>
      <c r="G91" s="189">
        <v>3.2199999999999999E-2</v>
      </c>
      <c r="H91" s="189">
        <v>1.8493140000000002E-2</v>
      </c>
      <c r="I91" s="189">
        <v>3.4865999999999999E-3</v>
      </c>
      <c r="J91" s="189">
        <v>6.7812910000000004E-2</v>
      </c>
      <c r="L91" s="134" t="s">
        <v>503</v>
      </c>
      <c r="M91" s="11" t="s">
        <v>31</v>
      </c>
      <c r="N91" s="185">
        <f t="shared" si="87"/>
        <v>0</v>
      </c>
      <c r="O91" s="185">
        <f t="shared" si="87"/>
        <v>0.99943291409447632</v>
      </c>
      <c r="P91" s="185">
        <f t="shared" si="87"/>
        <v>1.496825108550797E-4</v>
      </c>
      <c r="Q91" s="185">
        <f t="shared" si="87"/>
        <v>8.5965826981195933E-5</v>
      </c>
      <c r="R91" s="185">
        <f t="shared" si="87"/>
        <v>1.6207547898985122E-5</v>
      </c>
      <c r="S91" s="185">
        <f t="shared" si="87"/>
        <v>3.1523001978849517E-4</v>
      </c>
    </row>
    <row r="92" spans="2:19" ht="18" x14ac:dyDescent="0.25">
      <c r="B92" s="134" t="s">
        <v>504</v>
      </c>
      <c r="C92" s="11" t="s">
        <v>567</v>
      </c>
      <c r="D92" s="15">
        <f t="shared" si="86"/>
        <v>4.0061189999999998E-3</v>
      </c>
      <c r="E92" s="189">
        <v>0</v>
      </c>
      <c r="F92" s="189">
        <v>1.07E-3</v>
      </c>
      <c r="G92" s="189">
        <v>6.0800000000000003E-4</v>
      </c>
      <c r="H92" s="189">
        <v>9.6997000000000001E-4</v>
      </c>
      <c r="I92" s="189">
        <v>7.8949000000000006E-5</v>
      </c>
      <c r="J92" s="189">
        <v>1.2792000000000001E-3</v>
      </c>
      <c r="L92" s="134" t="s">
        <v>504</v>
      </c>
      <c r="M92" s="11" t="s">
        <v>31</v>
      </c>
      <c r="N92" s="185">
        <f t="shared" si="87"/>
        <v>0</v>
      </c>
      <c r="O92" s="185">
        <f t="shared" si="87"/>
        <v>0.26709141690498961</v>
      </c>
      <c r="P92" s="185">
        <f t="shared" si="87"/>
        <v>0.15176783315722775</v>
      </c>
      <c r="Q92" s="185">
        <f t="shared" si="87"/>
        <v>0.24212211369657269</v>
      </c>
      <c r="R92" s="185">
        <f t="shared" si="87"/>
        <v>1.970710305909535E-2</v>
      </c>
      <c r="S92" s="185">
        <f t="shared" si="87"/>
        <v>0.31931153318211469</v>
      </c>
    </row>
    <row r="93" spans="2:19" ht="18" x14ac:dyDescent="0.25">
      <c r="B93" s="176" t="s">
        <v>505</v>
      </c>
      <c r="C93" s="165" t="s">
        <v>578</v>
      </c>
      <c r="D93" s="195">
        <f>SUM(F93:J93)</f>
        <v>27.356254360000001</v>
      </c>
      <c r="E93" s="196">
        <v>0</v>
      </c>
      <c r="F93" s="196">
        <v>8.73</v>
      </c>
      <c r="G93" s="196">
        <v>4.7</v>
      </c>
      <c r="H93" s="196">
        <v>3.57763404</v>
      </c>
      <c r="I93" s="196">
        <v>0.448073</v>
      </c>
      <c r="J93" s="196">
        <v>9.9005473199999994</v>
      </c>
      <c r="L93" s="134" t="s">
        <v>505</v>
      </c>
      <c r="M93" s="11" t="s">
        <v>31</v>
      </c>
      <c r="N93" s="185">
        <f t="shared" si="87"/>
        <v>0</v>
      </c>
      <c r="O93" s="185">
        <f t="shared" si="87"/>
        <v>0.3191226359104522</v>
      </c>
      <c r="P93" s="185">
        <f t="shared" si="87"/>
        <v>0.17180714648099946</v>
      </c>
      <c r="Q93" s="185">
        <f t="shared" si="87"/>
        <v>0.13077938203525316</v>
      </c>
      <c r="R93" s="185">
        <f t="shared" si="87"/>
        <v>1.6379179477698055E-2</v>
      </c>
      <c r="S93" s="185">
        <f t="shared" si="87"/>
        <v>0.36191165609559711</v>
      </c>
    </row>
    <row r="94" spans="2:19" x14ac:dyDescent="0.25">
      <c r="B94" s="134" t="s">
        <v>506</v>
      </c>
      <c r="C94" s="11" t="s">
        <v>517</v>
      </c>
      <c r="D94" s="15">
        <f>SUM(F94:J94)</f>
        <v>510.78907106999998</v>
      </c>
      <c r="E94" s="189">
        <v>0</v>
      </c>
      <c r="F94" s="189">
        <v>143</v>
      </c>
      <c r="G94" s="189">
        <v>95.8</v>
      </c>
      <c r="H94" s="189">
        <v>63.604869700000002</v>
      </c>
      <c r="I94" s="189">
        <v>6.7616013700000002</v>
      </c>
      <c r="J94" s="189">
        <v>201.62260000000001</v>
      </c>
      <c r="L94" s="134" t="s">
        <v>506</v>
      </c>
      <c r="M94" s="11" t="s">
        <v>31</v>
      </c>
      <c r="N94" s="185">
        <f t="shared" si="87"/>
        <v>0</v>
      </c>
      <c r="O94" s="185">
        <f t="shared" si="87"/>
        <v>0.27995900480103042</v>
      </c>
      <c r="P94" s="185">
        <f t="shared" si="87"/>
        <v>0.18755295566390709</v>
      </c>
      <c r="Q94" s="185">
        <f t="shared" si="87"/>
        <v>0.12452276938259592</v>
      </c>
      <c r="R94" s="185">
        <f t="shared" si="87"/>
        <v>1.3237560772073316E-2</v>
      </c>
      <c r="S94" s="185">
        <f t="shared" si="87"/>
        <v>0.39472770938039331</v>
      </c>
    </row>
    <row r="95" spans="2:19" x14ac:dyDescent="0.25">
      <c r="B95" s="134" t="s">
        <v>507</v>
      </c>
      <c r="C95" s="11" t="s">
        <v>518</v>
      </c>
      <c r="D95" s="15">
        <f>SUM(F95:J95)</f>
        <v>0.51525430999999999</v>
      </c>
      <c r="E95" s="189">
        <v>0</v>
      </c>
      <c r="F95" s="189">
        <v>0.17699999999999999</v>
      </c>
      <c r="G95" s="189">
        <v>5.3400000000000003E-2</v>
      </c>
      <c r="H95" s="189">
        <v>0.14356000999999999</v>
      </c>
      <c r="I95" s="189">
        <v>2.8812709999999998E-2</v>
      </c>
      <c r="J95" s="189">
        <v>0.11248159000000001</v>
      </c>
      <c r="L95" s="134" t="s">
        <v>507</v>
      </c>
      <c r="M95" s="11" t="s">
        <v>31</v>
      </c>
      <c r="N95" s="185">
        <f t="shared" si="87"/>
        <v>0</v>
      </c>
      <c r="O95" s="185">
        <f t="shared" si="87"/>
        <v>0.34351968836514923</v>
      </c>
      <c r="P95" s="185">
        <f t="shared" si="87"/>
        <v>0.10363814326948571</v>
      </c>
      <c r="Q95" s="185">
        <f t="shared" si="87"/>
        <v>0.27861971693162546</v>
      </c>
      <c r="R95" s="185">
        <f t="shared" si="87"/>
        <v>5.5919396385058863E-2</v>
      </c>
      <c r="S95" s="185">
        <f t="shared" si="87"/>
        <v>0.21830305504868072</v>
      </c>
    </row>
    <row r="97" spans="2:30" s="160" customFormat="1" ht="15.75" thickBot="1" x14ac:dyDescent="0.3">
      <c r="AD97" s="212"/>
    </row>
    <row r="100" spans="2:30" x14ac:dyDescent="0.25">
      <c r="B100" s="319" t="s">
        <v>709</v>
      </c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2" spans="2:30" ht="27.95" customHeight="1" x14ac:dyDescent="0.25">
      <c r="B102" s="167" t="s">
        <v>569</v>
      </c>
      <c r="C102" s="167" t="s">
        <v>365</v>
      </c>
      <c r="D102" s="167" t="s">
        <v>596</v>
      </c>
      <c r="E102" s="167" t="s">
        <v>646</v>
      </c>
      <c r="F102" s="167" t="s">
        <v>492</v>
      </c>
      <c r="G102" s="167" t="s">
        <v>568</v>
      </c>
      <c r="H102" s="167" t="s">
        <v>573</v>
      </c>
      <c r="L102" s="167" t="s">
        <v>569</v>
      </c>
      <c r="M102" s="167" t="s">
        <v>365</v>
      </c>
      <c r="N102" s="167" t="s">
        <v>646</v>
      </c>
      <c r="O102" s="167" t="s">
        <v>492</v>
      </c>
      <c r="P102" s="167" t="s">
        <v>568</v>
      </c>
      <c r="Q102" s="167" t="s">
        <v>573</v>
      </c>
    </row>
    <row r="103" spans="2:30" x14ac:dyDescent="0.25">
      <c r="B103" s="134" t="s">
        <v>508</v>
      </c>
      <c r="C103" s="11" t="s">
        <v>579</v>
      </c>
      <c r="D103" s="189">
        <f>SUM(E103:J103)</f>
        <v>1.665000187E-4</v>
      </c>
      <c r="E103" s="189">
        <v>0</v>
      </c>
      <c r="F103" s="189">
        <v>1.34E-4</v>
      </c>
      <c r="G103" s="189">
        <v>1.8700000000000001E-11</v>
      </c>
      <c r="H103" s="189">
        <v>3.2499999999999997E-5</v>
      </c>
      <c r="K103" s="190"/>
      <c r="L103" s="134" t="s">
        <v>508</v>
      </c>
      <c r="M103" s="11" t="s">
        <v>31</v>
      </c>
      <c r="N103" s="185">
        <f>E103/$D103</f>
        <v>0</v>
      </c>
      <c r="O103" s="185">
        <f t="shared" ref="O103:Q106" si="88">F103/$D103</f>
        <v>0.80480471441532642</v>
      </c>
      <c r="P103" s="185">
        <f t="shared" si="88"/>
        <v>1.1231229969825823E-7</v>
      </c>
      <c r="Q103" s="185">
        <f t="shared" si="88"/>
        <v>0.19519517327237393</v>
      </c>
    </row>
    <row r="104" spans="2:30" ht="17.25" x14ac:dyDescent="0.25">
      <c r="B104" s="134" t="s">
        <v>509</v>
      </c>
      <c r="C104" s="11" t="s">
        <v>580</v>
      </c>
      <c r="D104" s="189">
        <f t="shared" ref="D104:D106" si="89">SUM(E104:J104)</f>
        <v>78.300028700000013</v>
      </c>
      <c r="E104" s="189">
        <v>0</v>
      </c>
      <c r="F104" s="189">
        <v>42.2</v>
      </c>
      <c r="G104" s="189">
        <v>2.87E-5</v>
      </c>
      <c r="H104" s="189">
        <v>36.1</v>
      </c>
      <c r="K104" s="190"/>
      <c r="L104" s="134" t="s">
        <v>509</v>
      </c>
      <c r="M104" s="11" t="s">
        <v>31</v>
      </c>
      <c r="N104" s="185">
        <f t="shared" ref="N104:N106" si="90">E104/$D104</f>
        <v>0</v>
      </c>
      <c r="O104" s="185">
        <f t="shared" si="88"/>
        <v>0.53895254830219486</v>
      </c>
      <c r="P104" s="185">
        <f t="shared" si="88"/>
        <v>3.665388183950946E-7</v>
      </c>
      <c r="Q104" s="185">
        <f t="shared" si="88"/>
        <v>0.46104708515898662</v>
      </c>
    </row>
    <row r="105" spans="2:30" s="203" customFormat="1" ht="18" x14ac:dyDescent="0.25">
      <c r="B105" s="176" t="s">
        <v>510</v>
      </c>
      <c r="C105" s="165" t="s">
        <v>578</v>
      </c>
      <c r="D105" s="196">
        <f t="shared" si="89"/>
        <v>216.90000001830001</v>
      </c>
      <c r="E105" s="196">
        <v>0</v>
      </c>
      <c r="F105" s="196">
        <v>154</v>
      </c>
      <c r="G105" s="196">
        <v>1.8299999999999998E-8</v>
      </c>
      <c r="H105" s="196">
        <v>62.9</v>
      </c>
      <c r="I105" s="139"/>
      <c r="J105" s="139"/>
      <c r="K105" s="190"/>
      <c r="L105" s="176" t="s">
        <v>510</v>
      </c>
      <c r="M105" s="165" t="s">
        <v>31</v>
      </c>
      <c r="N105" s="202">
        <f t="shared" si="90"/>
        <v>0</v>
      </c>
      <c r="O105" s="202">
        <f t="shared" si="88"/>
        <v>0.71000461035964457</v>
      </c>
      <c r="P105" s="202">
        <f>G105/$D105</f>
        <v>8.4370677724555156E-11</v>
      </c>
      <c r="Q105" s="202">
        <f t="shared" si="88"/>
        <v>0.2899953895559847</v>
      </c>
      <c r="R105" s="139"/>
      <c r="S105" s="139"/>
      <c r="AD105" s="213"/>
    </row>
    <row r="106" spans="2:30" x14ac:dyDescent="0.25">
      <c r="B106" s="134" t="s">
        <v>511</v>
      </c>
      <c r="C106" s="11" t="s">
        <v>517</v>
      </c>
      <c r="D106" s="189">
        <f t="shared" si="89"/>
        <v>3611.66</v>
      </c>
      <c r="E106" s="189">
        <v>0</v>
      </c>
      <c r="F106" s="189">
        <v>2580</v>
      </c>
      <c r="G106" s="189">
        <v>1.66</v>
      </c>
      <c r="H106" s="189">
        <v>1030</v>
      </c>
      <c r="K106" s="190"/>
      <c r="L106" s="134" t="s">
        <v>511</v>
      </c>
      <c r="M106" s="11" t="s">
        <v>31</v>
      </c>
      <c r="N106" s="185">
        <f t="shared" si="90"/>
        <v>0</v>
      </c>
      <c r="O106" s="185">
        <f t="shared" si="88"/>
        <v>0.71435295681210309</v>
      </c>
      <c r="P106" s="185">
        <f t="shared" si="88"/>
        <v>4.5962244508065541E-4</v>
      </c>
      <c r="Q106" s="185">
        <f t="shared" si="88"/>
        <v>0.28518742074281633</v>
      </c>
    </row>
    <row r="108" spans="2:30" ht="17.25" x14ac:dyDescent="0.25">
      <c r="B108" s="319" t="s">
        <v>710</v>
      </c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</row>
    <row r="110" spans="2:30" ht="27.95" customHeight="1" x14ac:dyDescent="0.25">
      <c r="B110" s="167" t="s">
        <v>569</v>
      </c>
      <c r="C110" s="167" t="s">
        <v>365</v>
      </c>
      <c r="D110" s="167" t="s">
        <v>223</v>
      </c>
      <c r="E110" s="167" t="s">
        <v>494</v>
      </c>
      <c r="F110" s="167" t="s">
        <v>230</v>
      </c>
      <c r="G110" s="167" t="s">
        <v>570</v>
      </c>
      <c r="H110" s="167" t="s">
        <v>341</v>
      </c>
      <c r="I110" s="167" t="s">
        <v>571</v>
      </c>
      <c r="J110" s="167" t="s">
        <v>572</v>
      </c>
      <c r="L110" s="133" t="s">
        <v>569</v>
      </c>
      <c r="M110" s="133" t="s">
        <v>365</v>
      </c>
      <c r="N110" s="167" t="s">
        <v>494</v>
      </c>
      <c r="O110" s="167" t="s">
        <v>230</v>
      </c>
      <c r="P110" s="167" t="s">
        <v>570</v>
      </c>
      <c r="Q110" s="167" t="s">
        <v>341</v>
      </c>
      <c r="R110" s="167" t="s">
        <v>571</v>
      </c>
      <c r="S110" s="167" t="s">
        <v>572</v>
      </c>
    </row>
    <row r="111" spans="2:30" x14ac:dyDescent="0.25">
      <c r="B111" s="134" t="s">
        <v>508</v>
      </c>
      <c r="C111" s="11" t="s">
        <v>579</v>
      </c>
      <c r="D111" s="189">
        <f>SUM(E111:J111)</f>
        <v>4.3988770585699999E-5</v>
      </c>
      <c r="E111" s="189">
        <f>D119</f>
        <v>2.2636950000000004E-5</v>
      </c>
      <c r="F111" s="189">
        <v>1.8919999999999998E-5</v>
      </c>
      <c r="G111" s="189">
        <v>3.0855000000000001E-8</v>
      </c>
      <c r="H111" s="189">
        <v>5.5857000000000003E-12</v>
      </c>
      <c r="I111" s="189">
        <v>7.3875999999999998E-7</v>
      </c>
      <c r="J111" s="189">
        <v>1.6621999999999999E-6</v>
      </c>
      <c r="L111" s="134" t="s">
        <v>508</v>
      </c>
      <c r="M111" s="11" t="s">
        <v>31</v>
      </c>
      <c r="N111" s="185">
        <f t="shared" ref="N111:S114" si="91">E111/$D111</f>
        <v>0.51460747137495333</v>
      </c>
      <c r="O111" s="185">
        <f t="shared" si="91"/>
        <v>0.43010977001822753</v>
      </c>
      <c r="P111" s="185">
        <f t="shared" si="91"/>
        <v>7.0142901447740023E-4</v>
      </c>
      <c r="Q111" s="185">
        <f t="shared" si="91"/>
        <v>1.2698013437583582E-7</v>
      </c>
      <c r="R111" s="185">
        <f t="shared" si="91"/>
        <v>1.6794286136293118E-2</v>
      </c>
      <c r="S111" s="185">
        <f t="shared" si="91"/>
        <v>3.7786916475914263E-2</v>
      </c>
    </row>
    <row r="112" spans="2:30" ht="17.25" x14ac:dyDescent="0.25">
      <c r="B112" s="134" t="s">
        <v>509</v>
      </c>
      <c r="C112" s="11" t="s">
        <v>580</v>
      </c>
      <c r="D112" s="189">
        <f>SUM(E112:J112)</f>
        <v>13.895880075600001</v>
      </c>
      <c r="E112" s="189">
        <f t="shared" ref="E112:E114" si="92">D120</f>
        <v>7.98824706</v>
      </c>
      <c r="F112" s="189">
        <v>5.6318285899999996</v>
      </c>
      <c r="G112" s="189">
        <v>5.7965000000000002E-4</v>
      </c>
      <c r="H112" s="189">
        <v>8.5855999999999996E-6</v>
      </c>
      <c r="I112" s="189">
        <v>3.5666139999999999E-2</v>
      </c>
      <c r="J112" s="189">
        <v>0.23955004999999999</v>
      </c>
      <c r="L112" s="134" t="s">
        <v>509</v>
      </c>
      <c r="M112" s="11" t="s">
        <v>31</v>
      </c>
      <c r="N112" s="185">
        <f t="shared" si="91"/>
        <v>0.57486442143572403</v>
      </c>
      <c r="O112" s="185">
        <f t="shared" si="91"/>
        <v>0.40528765068209088</v>
      </c>
      <c r="P112" s="185">
        <f t="shared" si="91"/>
        <v>4.171380271320971E-5</v>
      </c>
      <c r="Q112" s="185">
        <f t="shared" si="91"/>
        <v>6.1785219455625507E-7</v>
      </c>
      <c r="R112" s="185">
        <f t="shared" si="91"/>
        <v>2.5666701069640596E-3</v>
      </c>
      <c r="S112" s="185">
        <f t="shared" si="91"/>
        <v>1.7238926120313153E-2</v>
      </c>
    </row>
    <row r="113" spans="2:30" s="203" customFormat="1" ht="18" x14ac:dyDescent="0.25">
      <c r="B113" s="176" t="s">
        <v>510</v>
      </c>
      <c r="C113" s="165" t="s">
        <v>578</v>
      </c>
      <c r="D113" s="196">
        <f>SUM(E113:J113)</f>
        <v>50.784374665482098</v>
      </c>
      <c r="E113" s="196">
        <f t="shared" si="92"/>
        <v>27.886835610000002</v>
      </c>
      <c r="F113" s="196">
        <v>13.9315973</v>
      </c>
      <c r="G113" s="196">
        <v>0.47771999999999998</v>
      </c>
      <c r="H113" s="196">
        <v>5.4821000000000003E-9</v>
      </c>
      <c r="I113" s="196">
        <v>6.7667284800000003</v>
      </c>
      <c r="J113" s="196">
        <v>1.7214932700000001</v>
      </c>
      <c r="K113" s="139"/>
      <c r="L113" s="176" t="s">
        <v>510</v>
      </c>
      <c r="M113" s="165" t="s">
        <v>31</v>
      </c>
      <c r="N113" s="202">
        <f t="shared" si="91"/>
        <v>0.5491223588690668</v>
      </c>
      <c r="O113" s="202">
        <f t="shared" si="91"/>
        <v>0.27432842073507391</v>
      </c>
      <c r="P113" s="202">
        <f t="shared" si="91"/>
        <v>9.406830410864625E-3</v>
      </c>
      <c r="Q113" s="202">
        <f t="shared" si="91"/>
        <v>1.0794855772293595E-10</v>
      </c>
      <c r="R113" s="202">
        <f t="shared" si="91"/>
        <v>0.13324430052693578</v>
      </c>
      <c r="S113" s="202">
        <f t="shared" si="91"/>
        <v>3.3898089350110495E-2</v>
      </c>
      <c r="AD113" s="213"/>
    </row>
    <row r="114" spans="2:30" x14ac:dyDescent="0.25">
      <c r="B114" s="134" t="s">
        <v>511</v>
      </c>
      <c r="C114" s="11" t="s">
        <v>517</v>
      </c>
      <c r="D114" s="189">
        <f>SUM(E114:J114)</f>
        <v>849.68833681000001</v>
      </c>
      <c r="E114" s="189">
        <f t="shared" si="92"/>
        <v>532.61335078000002</v>
      </c>
      <c r="F114" s="189">
        <v>161.69332299999999</v>
      </c>
      <c r="G114" s="189">
        <v>5.5734000000000004</v>
      </c>
      <c r="H114" s="189">
        <v>0.49695222999999999</v>
      </c>
      <c r="I114" s="189">
        <v>114.233898</v>
      </c>
      <c r="J114" s="189">
        <v>35.077412799999998</v>
      </c>
      <c r="L114" s="134" t="s">
        <v>511</v>
      </c>
      <c r="M114" s="11" t="s">
        <v>31</v>
      </c>
      <c r="N114" s="185">
        <f t="shared" si="91"/>
        <v>0.62683377858239142</v>
      </c>
      <c r="O114" s="185">
        <f t="shared" si="91"/>
        <v>0.19029721369019623</v>
      </c>
      <c r="P114" s="185">
        <f t="shared" si="91"/>
        <v>6.5593462432641065E-3</v>
      </c>
      <c r="Q114" s="185">
        <f t="shared" si="91"/>
        <v>5.8486413014178422E-4</v>
      </c>
      <c r="R114" s="185">
        <f t="shared" si="91"/>
        <v>0.13444211606913464</v>
      </c>
      <c r="S114" s="185">
        <f t="shared" si="91"/>
        <v>4.128268128487176E-2</v>
      </c>
    </row>
    <row r="116" spans="2:30" x14ac:dyDescent="0.25">
      <c r="B116" s="320" t="s">
        <v>711</v>
      </c>
      <c r="C116" s="321"/>
      <c r="D116" s="321"/>
      <c r="E116" s="321"/>
      <c r="F116" s="321"/>
      <c r="G116" s="321"/>
      <c r="H116" s="321"/>
      <c r="I116" s="321"/>
      <c r="J116" s="321"/>
      <c r="K116" s="322"/>
    </row>
    <row r="118" spans="2:30" ht="28.5" customHeight="1" x14ac:dyDescent="0.25">
      <c r="B118" s="167" t="s">
        <v>569</v>
      </c>
      <c r="C118" s="167" t="s">
        <v>365</v>
      </c>
      <c r="D118" s="167" t="s">
        <v>223</v>
      </c>
      <c r="E118" s="167" t="s">
        <v>493</v>
      </c>
      <c r="F118" s="167" t="s">
        <v>572</v>
      </c>
      <c r="H118" s="133" t="s">
        <v>569</v>
      </c>
      <c r="I118" s="133" t="s">
        <v>365</v>
      </c>
      <c r="J118" s="167" t="s">
        <v>493</v>
      </c>
      <c r="K118" s="167" t="s">
        <v>572</v>
      </c>
    </row>
    <row r="119" spans="2:30" x14ac:dyDescent="0.25">
      <c r="B119" s="134" t="s">
        <v>508</v>
      </c>
      <c r="C119" s="11" t="s">
        <v>579</v>
      </c>
      <c r="D119" s="189">
        <f>SUM(E119:F119)</f>
        <v>2.2636950000000004E-5</v>
      </c>
      <c r="E119" s="189">
        <f>D127</f>
        <v>2.1711090000000002E-5</v>
      </c>
      <c r="F119" s="189">
        <v>9.2585999999999995E-7</v>
      </c>
      <c r="H119" s="134" t="s">
        <v>508</v>
      </c>
      <c r="I119" s="11" t="s">
        <v>31</v>
      </c>
      <c r="J119" s="185">
        <f>E119/$D119</f>
        <v>0.95909961368470575</v>
      </c>
      <c r="K119" s="185">
        <f>F119/$D119</f>
        <v>4.0900386315294232E-2</v>
      </c>
    </row>
    <row r="120" spans="2:30" ht="17.25" x14ac:dyDescent="0.25">
      <c r="B120" s="134" t="s">
        <v>509</v>
      </c>
      <c r="C120" s="11" t="s">
        <v>580</v>
      </c>
      <c r="D120" s="189">
        <f t="shared" ref="D120:D122" si="93">SUM(E120:F120)</f>
        <v>7.98824706</v>
      </c>
      <c r="E120" s="189">
        <f t="shared" ref="E120:E122" si="94">D128</f>
        <v>7.8548158499999996</v>
      </c>
      <c r="F120" s="189">
        <v>0.13343120999999999</v>
      </c>
      <c r="H120" s="134" t="s">
        <v>509</v>
      </c>
      <c r="I120" s="11" t="s">
        <v>31</v>
      </c>
      <c r="J120" s="185">
        <f t="shared" ref="J120:K122" si="95">E120/$D120</f>
        <v>0.98329655943315297</v>
      </c>
      <c r="K120" s="185">
        <f t="shared" si="95"/>
        <v>1.6703440566846965E-2</v>
      </c>
    </row>
    <row r="121" spans="2:30" s="203" customFormat="1" ht="18" x14ac:dyDescent="0.25">
      <c r="B121" s="176" t="s">
        <v>510</v>
      </c>
      <c r="C121" s="165" t="s">
        <v>578</v>
      </c>
      <c r="D121" s="196">
        <f t="shared" si="93"/>
        <v>27.886835610000002</v>
      </c>
      <c r="E121" s="196">
        <f t="shared" si="94"/>
        <v>26.927950670000001</v>
      </c>
      <c r="F121" s="196">
        <v>0.95888494000000002</v>
      </c>
      <c r="H121" s="176" t="s">
        <v>510</v>
      </c>
      <c r="I121" s="165" t="s">
        <v>31</v>
      </c>
      <c r="J121" s="202">
        <f t="shared" si="95"/>
        <v>0.96561513993878345</v>
      </c>
      <c r="K121" s="202">
        <f t="shared" si="95"/>
        <v>3.4384860061216528E-2</v>
      </c>
      <c r="AD121" s="213"/>
    </row>
    <row r="122" spans="2:30" x14ac:dyDescent="0.25">
      <c r="B122" s="134" t="s">
        <v>511</v>
      </c>
      <c r="C122" s="11" t="s">
        <v>517</v>
      </c>
      <c r="D122" s="189">
        <f t="shared" si="93"/>
        <v>532.61335078000002</v>
      </c>
      <c r="E122" s="189">
        <f t="shared" si="94"/>
        <v>513.07496318000005</v>
      </c>
      <c r="F122" s="189">
        <v>19.5383876</v>
      </c>
      <c r="H122" s="134" t="s">
        <v>511</v>
      </c>
      <c r="I122" s="11" t="s">
        <v>31</v>
      </c>
      <c r="J122" s="185">
        <f t="shared" si="95"/>
        <v>0.96331600105144488</v>
      </c>
      <c r="K122" s="185">
        <f t="shared" si="95"/>
        <v>3.668399894855523E-2</v>
      </c>
    </row>
    <row r="124" spans="2:30" x14ac:dyDescent="0.25">
      <c r="B124" s="319" t="s">
        <v>712</v>
      </c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6" spans="2:30" ht="28.5" customHeight="1" x14ac:dyDescent="0.25">
      <c r="B126" s="167" t="s">
        <v>569</v>
      </c>
      <c r="C126" s="167" t="s">
        <v>365</v>
      </c>
      <c r="D126" s="167" t="s">
        <v>223</v>
      </c>
      <c r="E126" s="167" t="s">
        <v>574</v>
      </c>
      <c r="F126" s="167" t="s">
        <v>572</v>
      </c>
      <c r="G126" s="167" t="s">
        <v>363</v>
      </c>
      <c r="I126" s="133" t="s">
        <v>569</v>
      </c>
      <c r="J126" s="133" t="s">
        <v>365</v>
      </c>
      <c r="K126" s="167" t="s">
        <v>574</v>
      </c>
      <c r="L126" s="167" t="s">
        <v>572</v>
      </c>
      <c r="M126" s="167" t="s">
        <v>363</v>
      </c>
    </row>
    <row r="127" spans="2:30" x14ac:dyDescent="0.25">
      <c r="B127" s="134" t="s">
        <v>508</v>
      </c>
      <c r="C127" s="11" t="s">
        <v>579</v>
      </c>
      <c r="D127" s="189">
        <f>SUM(E127:G127)</f>
        <v>2.1711090000000002E-5</v>
      </c>
      <c r="E127" s="189">
        <f>D135</f>
        <v>2.3325100000000001E-5</v>
      </c>
      <c r="F127" s="189">
        <v>8.8278999999999998E-7</v>
      </c>
      <c r="G127" s="189">
        <v>-2.4968E-6</v>
      </c>
      <c r="H127" s="190">
        <f>SUM(E127:F127)</f>
        <v>2.4207890000000002E-5</v>
      </c>
      <c r="I127" s="134" t="s">
        <v>508</v>
      </c>
      <c r="J127" s="11" t="s">
        <v>31</v>
      </c>
      <c r="K127" s="185">
        <f>E127/$H127</f>
        <v>0.96353296383947551</v>
      </c>
      <c r="L127" s="185">
        <f t="shared" ref="L127:M130" si="96">F127/$H127</f>
        <v>3.6467036160524519E-2</v>
      </c>
      <c r="M127" s="185">
        <f t="shared" si="96"/>
        <v>-0.10313992669332188</v>
      </c>
    </row>
    <row r="128" spans="2:30" ht="17.25" x14ac:dyDescent="0.25">
      <c r="B128" s="134" t="s">
        <v>509</v>
      </c>
      <c r="C128" s="11" t="s">
        <v>580</v>
      </c>
      <c r="D128" s="189">
        <f t="shared" ref="D128:D130" si="97">SUM(E128:G128)</f>
        <v>7.8548158499999996</v>
      </c>
      <c r="E128" s="189">
        <f t="shared" ref="E128:E130" si="98">D136</f>
        <v>7.8645065499999998</v>
      </c>
      <c r="F128" s="189">
        <v>0.12722385</v>
      </c>
      <c r="G128" s="189">
        <v>-0.13691455</v>
      </c>
      <c r="H128" s="190">
        <f t="shared" ref="H128:H130" si="99">SUM(E128:F128)</f>
        <v>7.9917303999999998</v>
      </c>
      <c r="I128" s="134" t="s">
        <v>509</v>
      </c>
      <c r="J128" s="11" t="s">
        <v>31</v>
      </c>
      <c r="K128" s="185">
        <f t="shared" ref="K128:K130" si="100">E128/$H128</f>
        <v>0.9840805628277951</v>
      </c>
      <c r="L128" s="185">
        <f t="shared" si="96"/>
        <v>1.5919437172204908E-2</v>
      </c>
      <c r="M128" s="185">
        <f t="shared" si="96"/>
        <v>-1.7132028127475371E-2</v>
      </c>
    </row>
    <row r="129" spans="2:30" s="203" customFormat="1" ht="18" x14ac:dyDescent="0.25">
      <c r="B129" s="176" t="s">
        <v>510</v>
      </c>
      <c r="C129" s="165" t="s">
        <v>578</v>
      </c>
      <c r="D129" s="196">
        <f t="shared" si="97"/>
        <v>26.927950670000001</v>
      </c>
      <c r="E129" s="196">
        <f t="shared" si="98"/>
        <v>27.356254360000001</v>
      </c>
      <c r="F129" s="196">
        <v>0.91427661999999998</v>
      </c>
      <c r="G129" s="196">
        <v>-1.34258031</v>
      </c>
      <c r="H129" s="190">
        <f t="shared" si="99"/>
        <v>28.27053098</v>
      </c>
      <c r="I129" s="176" t="s">
        <v>510</v>
      </c>
      <c r="J129" s="165" t="s">
        <v>31</v>
      </c>
      <c r="K129" s="202">
        <f>E129/$H129</f>
        <v>0.96765972946716827</v>
      </c>
      <c r="L129" s="202">
        <f t="shared" si="96"/>
        <v>3.2340270532831714E-2</v>
      </c>
      <c r="M129" s="202">
        <f>G129/$H129</f>
        <v>-4.7490452547559472E-2</v>
      </c>
      <c r="AD129" s="213"/>
    </row>
    <row r="130" spans="2:30" x14ac:dyDescent="0.25">
      <c r="B130" s="134" t="s">
        <v>511</v>
      </c>
      <c r="C130" s="11" t="s">
        <v>517</v>
      </c>
      <c r="D130" s="189">
        <f t="shared" si="97"/>
        <v>513.07496318000005</v>
      </c>
      <c r="E130" s="189">
        <f t="shared" si="98"/>
        <v>512.07392578000008</v>
      </c>
      <c r="F130" s="189">
        <v>18.629441499999999</v>
      </c>
      <c r="G130" s="189">
        <v>-17.628404100000001</v>
      </c>
      <c r="H130" s="190">
        <f t="shared" si="99"/>
        <v>530.70336728000007</v>
      </c>
      <c r="I130" s="134" t="s">
        <v>511</v>
      </c>
      <c r="J130" s="11" t="s">
        <v>31</v>
      </c>
      <c r="K130" s="185">
        <f t="shared" si="100"/>
        <v>0.96489669625523389</v>
      </c>
      <c r="L130" s="185">
        <f t="shared" si="96"/>
        <v>3.5103303744766085E-2</v>
      </c>
      <c r="M130" s="185">
        <f t="shared" si="96"/>
        <v>-3.3217057186485162E-2</v>
      </c>
    </row>
    <row r="132" spans="2:30" x14ac:dyDescent="0.25">
      <c r="B132" s="319" t="s">
        <v>713</v>
      </c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4" spans="2:30" ht="27.95" customHeight="1" x14ac:dyDescent="0.25">
      <c r="B134" s="167" t="s">
        <v>569</v>
      </c>
      <c r="C134" s="167" t="s">
        <v>365</v>
      </c>
      <c r="D134" s="167" t="s">
        <v>223</v>
      </c>
      <c r="E134" s="167" t="s">
        <v>597</v>
      </c>
      <c r="F134" s="167" t="s">
        <v>575</v>
      </c>
      <c r="G134" s="167" t="s">
        <v>577</v>
      </c>
      <c r="H134" s="167" t="s">
        <v>217</v>
      </c>
      <c r="I134" s="167" t="s">
        <v>576</v>
      </c>
      <c r="J134" s="167" t="s">
        <v>572</v>
      </c>
      <c r="L134" s="133" t="s">
        <v>569</v>
      </c>
      <c r="M134" s="133" t="s">
        <v>365</v>
      </c>
      <c r="N134" s="167" t="s">
        <v>597</v>
      </c>
      <c r="O134" s="167" t="s">
        <v>575</v>
      </c>
      <c r="P134" s="167" t="s">
        <v>577</v>
      </c>
      <c r="Q134" s="167" t="s">
        <v>217</v>
      </c>
      <c r="R134" s="167" t="s">
        <v>576</v>
      </c>
      <c r="S134" s="167" t="s">
        <v>572</v>
      </c>
    </row>
    <row r="135" spans="2:30" x14ac:dyDescent="0.25">
      <c r="B135" s="134" t="s">
        <v>508</v>
      </c>
      <c r="C135" s="11" t="s">
        <v>579</v>
      </c>
      <c r="D135" s="189">
        <f>SUM(E135:J135)</f>
        <v>2.3325100000000001E-5</v>
      </c>
      <c r="E135" s="189">
        <v>0</v>
      </c>
      <c r="F135" s="189">
        <v>4.5199999999999999E-6</v>
      </c>
      <c r="G135" s="189">
        <v>4.5399999999999997E-6</v>
      </c>
      <c r="H135" s="189">
        <v>3.8708000000000003E-6</v>
      </c>
      <c r="I135" s="189">
        <v>8.3470000000000003E-7</v>
      </c>
      <c r="J135" s="189">
        <v>9.5596000000000008E-6</v>
      </c>
      <c r="L135" s="134" t="s">
        <v>508</v>
      </c>
      <c r="M135" s="11" t="s">
        <v>31</v>
      </c>
      <c r="N135" s="185">
        <f t="shared" ref="N135:S138" si="101">E135/$D135</f>
        <v>0</v>
      </c>
      <c r="O135" s="185">
        <f t="shared" si="101"/>
        <v>0.19378266331119692</v>
      </c>
      <c r="P135" s="185">
        <f t="shared" si="101"/>
        <v>0.19464010872407833</v>
      </c>
      <c r="Q135" s="185">
        <f t="shared" si="101"/>
        <v>0.16594998520906662</v>
      </c>
      <c r="R135" s="185">
        <f t="shared" si="101"/>
        <v>3.5785484306605331E-2</v>
      </c>
      <c r="S135" s="185">
        <f t="shared" si="101"/>
        <v>0.40984175844905274</v>
      </c>
    </row>
    <row r="136" spans="2:30" ht="17.25" x14ac:dyDescent="0.25">
      <c r="B136" s="134" t="s">
        <v>509</v>
      </c>
      <c r="C136" s="11" t="s">
        <v>580</v>
      </c>
      <c r="D136" s="189">
        <f t="shared" ref="D136:D138" si="102">SUM(E136:J136)</f>
        <v>7.8645065499999998</v>
      </c>
      <c r="E136" s="189">
        <v>0</v>
      </c>
      <c r="F136" s="189">
        <v>5.01</v>
      </c>
      <c r="G136" s="189">
        <v>0.65400000000000003</v>
      </c>
      <c r="H136" s="189">
        <v>0.72199595000000005</v>
      </c>
      <c r="I136" s="189">
        <v>0.10082496000000001</v>
      </c>
      <c r="J136" s="189">
        <v>1.3776856399999999</v>
      </c>
      <c r="L136" s="134" t="s">
        <v>509</v>
      </c>
      <c r="M136" s="11" t="s">
        <v>31</v>
      </c>
      <c r="N136" s="185">
        <f t="shared" si="101"/>
        <v>0</v>
      </c>
      <c r="O136" s="185">
        <f t="shared" si="101"/>
        <v>0.63703933211168851</v>
      </c>
      <c r="P136" s="185">
        <f t="shared" si="101"/>
        <v>8.3158427784639596E-2</v>
      </c>
      <c r="Q136" s="185">
        <f t="shared" si="101"/>
        <v>9.1804354845378064E-2</v>
      </c>
      <c r="R136" s="185">
        <f t="shared" si="101"/>
        <v>1.2820252530656231E-2</v>
      </c>
      <c r="S136" s="185">
        <f t="shared" si="101"/>
        <v>0.17517763272763756</v>
      </c>
    </row>
    <row r="137" spans="2:30" s="203" customFormat="1" ht="18" x14ac:dyDescent="0.25">
      <c r="B137" s="176" t="s">
        <v>510</v>
      </c>
      <c r="C137" s="165" t="s">
        <v>578</v>
      </c>
      <c r="D137" s="196">
        <f>SUM(F137:J137)</f>
        <v>27.356254360000001</v>
      </c>
      <c r="E137" s="196">
        <v>0</v>
      </c>
      <c r="F137" s="196">
        <v>8.73</v>
      </c>
      <c r="G137" s="196">
        <v>4.7</v>
      </c>
      <c r="H137" s="196">
        <v>3.57763404</v>
      </c>
      <c r="I137" s="196">
        <v>0.448073</v>
      </c>
      <c r="J137" s="196">
        <v>9.9005473199999994</v>
      </c>
      <c r="L137" s="176" t="s">
        <v>510</v>
      </c>
      <c r="M137" s="165" t="s">
        <v>31</v>
      </c>
      <c r="N137" s="202">
        <f t="shared" si="101"/>
        <v>0</v>
      </c>
      <c r="O137" s="202">
        <f t="shared" si="101"/>
        <v>0.3191226359104522</v>
      </c>
      <c r="P137" s="202">
        <f t="shared" si="101"/>
        <v>0.17180714648099946</v>
      </c>
      <c r="Q137" s="202">
        <f t="shared" si="101"/>
        <v>0.13077938203525316</v>
      </c>
      <c r="R137" s="202">
        <f t="shared" si="101"/>
        <v>1.6379179477698055E-2</v>
      </c>
      <c r="S137" s="202">
        <f t="shared" si="101"/>
        <v>0.36191165609559711</v>
      </c>
      <c r="AD137" s="213"/>
    </row>
    <row r="138" spans="2:30" x14ac:dyDescent="0.25">
      <c r="B138" s="134" t="s">
        <v>511</v>
      </c>
      <c r="C138" s="11" t="s">
        <v>517</v>
      </c>
      <c r="D138" s="189">
        <f t="shared" si="102"/>
        <v>512.07392578000008</v>
      </c>
      <c r="E138" s="189">
        <v>0</v>
      </c>
      <c r="F138" s="189">
        <v>144</v>
      </c>
      <c r="G138" s="189">
        <v>95.8</v>
      </c>
      <c r="H138" s="189">
        <v>63.748429700000003</v>
      </c>
      <c r="I138" s="189">
        <v>6.7904140799999997</v>
      </c>
      <c r="J138" s="189">
        <v>201.73508200000001</v>
      </c>
      <c r="L138" s="134" t="s">
        <v>511</v>
      </c>
      <c r="M138" s="11" t="s">
        <v>31</v>
      </c>
      <c r="N138" s="185">
        <f t="shared" si="101"/>
        <v>0</v>
      </c>
      <c r="O138" s="185">
        <f t="shared" si="101"/>
        <v>0.28120939721868604</v>
      </c>
      <c r="P138" s="185">
        <f t="shared" si="101"/>
        <v>0.18708236287187585</v>
      </c>
      <c r="Q138" s="185">
        <f t="shared" si="101"/>
        <v>0.124490677010936</v>
      </c>
      <c r="R138" s="185">
        <f t="shared" si="101"/>
        <v>1.3260612849319989E-2</v>
      </c>
      <c r="S138" s="185">
        <f t="shared" si="101"/>
        <v>0.39395695004918196</v>
      </c>
    </row>
    <row r="140" spans="2:30" x14ac:dyDescent="0.25">
      <c r="G140" s="214"/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40"/>
  <sheetViews>
    <sheetView topLeftCell="A112" zoomScale="90" zoomScaleNormal="90" workbookViewId="0">
      <selection activeCell="B133" sqref="B133"/>
    </sheetView>
  </sheetViews>
  <sheetFormatPr defaultColWidth="10.85546875" defaultRowHeight="15" x14ac:dyDescent="0.25"/>
  <cols>
    <col min="1" max="1" width="10.85546875" style="139"/>
    <col min="2" max="2" width="20.7109375" style="139" bestFit="1" customWidth="1"/>
    <col min="3" max="3" width="12.140625" style="139" bestFit="1" customWidth="1"/>
    <col min="4" max="4" width="15" style="139" bestFit="1" customWidth="1"/>
    <col min="5" max="5" width="13.5703125" style="139" customWidth="1"/>
    <col min="6" max="6" width="14.28515625" style="139" customWidth="1"/>
    <col min="7" max="7" width="12.42578125" style="139" bestFit="1" customWidth="1"/>
    <col min="8" max="8" width="19.85546875" style="139" bestFit="1" customWidth="1"/>
    <col min="9" max="9" width="20.5703125" style="139" bestFit="1" customWidth="1"/>
    <col min="10" max="10" width="12.140625" style="139" customWidth="1"/>
    <col min="11" max="11" width="20.42578125" style="139" customWidth="1"/>
    <col min="12" max="12" width="22.140625" style="139" customWidth="1"/>
    <col min="13" max="13" width="10.85546875" style="139" customWidth="1"/>
    <col min="14" max="14" width="14.28515625" style="139" customWidth="1"/>
    <col min="15" max="15" width="19.85546875" style="139" customWidth="1"/>
    <col min="16" max="16" width="10.85546875" style="139" customWidth="1"/>
    <col min="17" max="17" width="13.140625" style="139" customWidth="1"/>
    <col min="18" max="18" width="13.5703125" style="139" customWidth="1"/>
    <col min="19" max="23" width="10.85546875" style="139" customWidth="1"/>
    <col min="24" max="24" width="13.28515625" style="139" customWidth="1"/>
    <col min="25" max="25" width="13.42578125" style="139" customWidth="1"/>
    <col min="26" max="26" width="10.85546875" style="139"/>
    <col min="27" max="27" width="15.5703125" style="139" bestFit="1" customWidth="1"/>
    <col min="28" max="29" width="10.85546875" style="139"/>
    <col min="30" max="30" width="10.85546875" style="208"/>
    <col min="31" max="31" width="14.42578125" style="139" bestFit="1" customWidth="1"/>
    <col min="32" max="32" width="13.42578125" style="139" customWidth="1"/>
    <col min="33" max="33" width="14.140625" style="139" customWidth="1"/>
    <col min="34" max="34" width="13.140625" style="139" customWidth="1"/>
    <col min="35" max="38" width="10.85546875" style="139"/>
    <col min="39" max="39" width="15.5703125" style="139" bestFit="1" customWidth="1"/>
    <col min="40" max="40" width="11.85546875" style="139" customWidth="1"/>
    <col min="41" max="41" width="13.5703125" style="139" customWidth="1"/>
    <col min="42" max="16384" width="10.85546875" style="139"/>
  </cols>
  <sheetData>
    <row r="1" spans="1:44" ht="15.75" thickBot="1" x14ac:dyDescent="0.3">
      <c r="A1" s="187" t="s">
        <v>581</v>
      </c>
    </row>
    <row r="2" spans="1:44" ht="18" thickBot="1" x14ac:dyDescent="0.3">
      <c r="B2" s="319" t="s">
        <v>714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AF2" s="314" t="s">
        <v>658</v>
      </c>
      <c r="AG2" s="315"/>
      <c r="AH2" s="315"/>
      <c r="AI2" s="315"/>
      <c r="AJ2" s="316"/>
      <c r="AN2" s="314" t="s">
        <v>659</v>
      </c>
      <c r="AO2" s="315"/>
      <c r="AP2" s="315"/>
      <c r="AQ2" s="316"/>
    </row>
    <row r="4" spans="1:44" ht="30" customHeight="1" x14ac:dyDescent="0.25">
      <c r="B4" s="167" t="s">
        <v>569</v>
      </c>
      <c r="C4" s="167" t="s">
        <v>365</v>
      </c>
      <c r="D4" s="167" t="s">
        <v>596</v>
      </c>
      <c r="E4" s="167" t="s">
        <v>646</v>
      </c>
      <c r="F4" s="167" t="s">
        <v>492</v>
      </c>
      <c r="G4" s="167" t="s">
        <v>568</v>
      </c>
      <c r="H4" s="167" t="s">
        <v>573</v>
      </c>
      <c r="L4" s="167" t="s">
        <v>569</v>
      </c>
      <c r="M4" s="167" t="s">
        <v>365</v>
      </c>
      <c r="N4" s="167" t="s">
        <v>646</v>
      </c>
      <c r="O4" s="167" t="s">
        <v>492</v>
      </c>
      <c r="P4" s="167" t="s">
        <v>568</v>
      </c>
      <c r="Q4" s="167" t="s">
        <v>573</v>
      </c>
      <c r="AF4" s="167" t="s">
        <v>646</v>
      </c>
      <c r="AG4" s="167" t="s">
        <v>492</v>
      </c>
      <c r="AH4" s="167" t="s">
        <v>494</v>
      </c>
      <c r="AI4" s="167" t="s">
        <v>493</v>
      </c>
      <c r="AJ4" s="167" t="s">
        <v>597</v>
      </c>
      <c r="AM4" s="209" t="s">
        <v>611</v>
      </c>
      <c r="AN4" s="167" t="s">
        <v>492</v>
      </c>
      <c r="AO4" s="167" t="s">
        <v>494</v>
      </c>
      <c r="AP4" s="167" t="s">
        <v>493</v>
      </c>
      <c r="AQ4" s="167" t="s">
        <v>597</v>
      </c>
    </row>
    <row r="5" spans="1:44" ht="18" x14ac:dyDescent="0.25">
      <c r="B5" s="134" t="s">
        <v>495</v>
      </c>
      <c r="C5" s="11" t="s">
        <v>564</v>
      </c>
      <c r="D5" s="15">
        <f>SUM(E5:J5)</f>
        <v>2.9520000591000004</v>
      </c>
      <c r="E5" s="189">
        <v>0</v>
      </c>
      <c r="F5" s="189">
        <v>2.4500000000000002</v>
      </c>
      <c r="G5" s="189">
        <v>5.91E-8</v>
      </c>
      <c r="H5" s="189">
        <v>0.502</v>
      </c>
      <c r="K5" s="190"/>
      <c r="L5" s="134" t="s">
        <v>495</v>
      </c>
      <c r="M5" s="11" t="s">
        <v>31</v>
      </c>
      <c r="N5" s="185">
        <f>E5/$D5</f>
        <v>0</v>
      </c>
      <c r="O5" s="185">
        <f t="shared" ref="O5:Q19" si="0">F5/$D5</f>
        <v>0.8299457828422101</v>
      </c>
      <c r="P5" s="185">
        <f t="shared" si="0"/>
        <v>2.0020324802438615E-8</v>
      </c>
      <c r="Q5" s="185">
        <f t="shared" si="0"/>
        <v>0.17005419713746506</v>
      </c>
      <c r="T5" s="207"/>
      <c r="AE5" s="317" t="s">
        <v>505</v>
      </c>
      <c r="AF5" s="15">
        <f>D105</f>
        <v>217.9</v>
      </c>
      <c r="AG5" s="15">
        <f>AN5*Calculations!$C$47</f>
        <v>155.5029613764591</v>
      </c>
      <c r="AH5" s="15">
        <f>AO5*Calculations!$C$47</f>
        <v>85.992398199980627</v>
      </c>
      <c r="AI5" s="15">
        <f>AP5*Calculations!$C$47</f>
        <v>83.081490087133204</v>
      </c>
      <c r="AJ5" s="15">
        <f>AQ5*Calculations!$C$47</f>
        <v>84.381701023789986</v>
      </c>
      <c r="AM5" s="317" t="s">
        <v>505</v>
      </c>
      <c r="AN5" s="15">
        <f>D113</f>
        <v>51.224374665482095</v>
      </c>
      <c r="AO5" s="15">
        <f>D121</f>
        <v>28.32683561</v>
      </c>
      <c r="AP5" s="15">
        <f>D129</f>
        <v>27.367950669999999</v>
      </c>
      <c r="AQ5" s="15">
        <f>D137</f>
        <v>27.796254359999999</v>
      </c>
    </row>
    <row r="6" spans="1:44" ht="18" x14ac:dyDescent="0.25">
      <c r="B6" s="134" t="s">
        <v>496</v>
      </c>
      <c r="C6" s="11" t="s">
        <v>564</v>
      </c>
      <c r="D6" s="15">
        <f t="shared" ref="D6:D19" si="1">SUM(E6:J6)</f>
        <v>5.8400012600000002</v>
      </c>
      <c r="E6" s="189">
        <v>0</v>
      </c>
      <c r="F6" s="189">
        <v>4.71</v>
      </c>
      <c r="G6" s="189">
        <v>1.26E-6</v>
      </c>
      <c r="H6" s="189">
        <v>1.1299999999999999</v>
      </c>
      <c r="K6" s="190"/>
      <c r="L6" s="134" t="s">
        <v>496</v>
      </c>
      <c r="M6" s="11" t="s">
        <v>31</v>
      </c>
      <c r="N6" s="185">
        <f t="shared" ref="N6:N19" si="2">E6/$D6</f>
        <v>0</v>
      </c>
      <c r="O6" s="185">
        <f t="shared" si="0"/>
        <v>0.80650667530849129</v>
      </c>
      <c r="P6" s="185">
        <f t="shared" si="0"/>
        <v>2.1575337810800404E-7</v>
      </c>
      <c r="Q6" s="185">
        <f t="shared" si="0"/>
        <v>0.19349310893813057</v>
      </c>
      <c r="T6" s="207"/>
      <c r="AE6" s="317"/>
      <c r="AF6" s="15">
        <f t="shared" ref="AF6:AI6" si="3">AF5-AG5</f>
        <v>62.397038623540908</v>
      </c>
      <c r="AG6" s="15">
        <f t="shared" si="3"/>
        <v>69.51056317647847</v>
      </c>
      <c r="AH6" s="15">
        <f t="shared" si="3"/>
        <v>2.910908112847423</v>
      </c>
      <c r="AI6" s="15">
        <f t="shared" si="3"/>
        <v>-1.3002109366567822</v>
      </c>
      <c r="AJ6" s="15">
        <f>AJ5-AK5</f>
        <v>84.381701023789986</v>
      </c>
      <c r="AM6" s="317"/>
      <c r="AN6" s="15">
        <f t="shared" ref="AN6:AP6" si="4">AN5-AO5</f>
        <v>22.897539055482095</v>
      </c>
      <c r="AO6" s="15">
        <f t="shared" si="4"/>
        <v>0.9588849400000008</v>
      </c>
      <c r="AP6" s="15">
        <f t="shared" si="4"/>
        <v>-0.4283036899999999</v>
      </c>
      <c r="AQ6" s="15">
        <f>AQ5-AR5</f>
        <v>27.796254359999999</v>
      </c>
    </row>
    <row r="7" spans="1:44" x14ac:dyDescent="0.25">
      <c r="B7" s="134" t="s">
        <v>497</v>
      </c>
      <c r="C7" s="11" t="s">
        <v>512</v>
      </c>
      <c r="D7" s="15">
        <f t="shared" si="1"/>
        <v>0.20270001700000001</v>
      </c>
      <c r="E7" s="189">
        <v>0</v>
      </c>
      <c r="F7" s="189">
        <v>0.16300000000000001</v>
      </c>
      <c r="G7" s="189">
        <v>1.7E-8</v>
      </c>
      <c r="H7" s="189">
        <v>3.9699999999999999E-2</v>
      </c>
      <c r="K7" s="190"/>
      <c r="L7" s="134" t="s">
        <v>497</v>
      </c>
      <c r="M7" s="11" t="s">
        <v>31</v>
      </c>
      <c r="N7" s="185">
        <f t="shared" si="2"/>
        <v>0</v>
      </c>
      <c r="O7" s="185">
        <f t="shared" si="0"/>
        <v>0.80414398781229501</v>
      </c>
      <c r="P7" s="185">
        <f t="shared" si="0"/>
        <v>8.3867777869993964E-8</v>
      </c>
      <c r="Q7" s="185">
        <f t="shared" si="0"/>
        <v>0.19585592831992707</v>
      </c>
      <c r="T7" s="207"/>
      <c r="AE7" s="134" t="s">
        <v>598</v>
      </c>
      <c r="AF7" s="191">
        <f>AF6/$AF$5</f>
        <v>0.28635630391712208</v>
      </c>
      <c r="AG7" s="191">
        <f>AG6/$AF$5</f>
        <v>0.3190021256378085</v>
      </c>
      <c r="AH7" s="191">
        <f>AH6/$AF$5</f>
        <v>1.3358917452259858E-2</v>
      </c>
      <c r="AI7" s="191">
        <f>AI6/$AF$5</f>
        <v>-5.9670075110453517E-3</v>
      </c>
      <c r="AJ7" s="191">
        <f>AJ6/$AF$5</f>
        <v>0.3872496605038549</v>
      </c>
      <c r="AK7" s="192">
        <f>SUM(AF7:AJ7)</f>
        <v>0.99999999999999989</v>
      </c>
      <c r="AM7" s="134" t="s">
        <v>598</v>
      </c>
      <c r="AN7" s="193">
        <f>AN6/$AN$5</f>
        <v>0.44700475515832433</v>
      </c>
      <c r="AO7" s="193">
        <f t="shared" ref="AO7:AQ7" si="5">AO6/$AN$5</f>
        <v>1.871930982587772E-2</v>
      </c>
      <c r="AP7" s="193">
        <f t="shared" si="5"/>
        <v>-8.3613258882516989E-3</v>
      </c>
      <c r="AQ7" s="193">
        <f t="shared" si="5"/>
        <v>0.54263726090404962</v>
      </c>
      <c r="AR7" s="194">
        <f>SUM(AN7:AQ7)</f>
        <v>1</v>
      </c>
    </row>
    <row r="8" spans="1:44" x14ac:dyDescent="0.25">
      <c r="B8" s="134" t="s">
        <v>561</v>
      </c>
      <c r="C8" s="11" t="s">
        <v>513</v>
      </c>
      <c r="D8" s="15">
        <f t="shared" si="1"/>
        <v>4001.0115999999998</v>
      </c>
      <c r="E8" s="189">
        <v>0</v>
      </c>
      <c r="F8" s="189">
        <v>3470</v>
      </c>
      <c r="G8" s="189">
        <v>1.1599999999999999E-2</v>
      </c>
      <c r="H8" s="189">
        <v>531</v>
      </c>
      <c r="K8" s="190"/>
      <c r="L8" s="134" t="s">
        <v>561</v>
      </c>
      <c r="M8" s="11" t="s">
        <v>31</v>
      </c>
      <c r="N8" s="185">
        <f t="shared" si="2"/>
        <v>0</v>
      </c>
      <c r="O8" s="185">
        <f t="shared" si="0"/>
        <v>0.8672806647198924</v>
      </c>
      <c r="P8" s="185">
        <f t="shared" si="0"/>
        <v>2.8992667754324931E-6</v>
      </c>
      <c r="Q8" s="185">
        <f t="shared" si="0"/>
        <v>0.13271643601333225</v>
      </c>
      <c r="T8" s="207"/>
      <c r="AE8" s="317" t="s">
        <v>508</v>
      </c>
      <c r="AF8" s="189">
        <f>D103</f>
        <v>1.675000187E-4</v>
      </c>
      <c r="AG8" s="189">
        <f>AN8*Calculations!$C$47</f>
        <v>1.3481268209248812E-4</v>
      </c>
      <c r="AH8" s="189">
        <f>AO8*Calculations!$C$47</f>
        <v>6.9994490488626949E-5</v>
      </c>
      <c r="AI8" s="189">
        <f>AP8*Calculations!$C$47</f>
        <v>6.7183836912859107E-5</v>
      </c>
      <c r="AJ8" s="189">
        <f>AQ8*Calculations!$C$47</f>
        <v>7.2083522586530115E-5</v>
      </c>
      <c r="AM8" s="317" t="s">
        <v>508</v>
      </c>
      <c r="AN8" s="189">
        <f>D111</f>
        <v>4.4408770585699998E-5</v>
      </c>
      <c r="AO8" s="189">
        <f>D119</f>
        <v>2.3056950000000006E-5</v>
      </c>
      <c r="AP8" s="189">
        <f>D127</f>
        <v>2.2131090000000005E-5</v>
      </c>
      <c r="AQ8" s="189">
        <f>D135</f>
        <v>2.3745100000000004E-5</v>
      </c>
    </row>
    <row r="9" spans="1:44" x14ac:dyDescent="0.25">
      <c r="B9" s="134" t="s">
        <v>498</v>
      </c>
      <c r="C9" s="11" t="s">
        <v>514</v>
      </c>
      <c r="D9" s="15">
        <f t="shared" si="1"/>
        <v>2.9400000000041999E-5</v>
      </c>
      <c r="E9" s="189">
        <v>0</v>
      </c>
      <c r="F9" s="189">
        <v>1.77E-5</v>
      </c>
      <c r="G9" s="189">
        <v>4.1999999999999998E-17</v>
      </c>
      <c r="H9" s="189">
        <v>1.17E-5</v>
      </c>
      <c r="K9" s="190"/>
      <c r="L9" s="134" t="s">
        <v>498</v>
      </c>
      <c r="M9" s="11" t="s">
        <v>31</v>
      </c>
      <c r="N9" s="185">
        <f t="shared" si="2"/>
        <v>0</v>
      </c>
      <c r="O9" s="185">
        <f t="shared" si="0"/>
        <v>0.60204081632567052</v>
      </c>
      <c r="P9" s="185">
        <f t="shared" si="0"/>
        <v>1.4285714285693878E-12</v>
      </c>
      <c r="Q9" s="185">
        <f t="shared" si="0"/>
        <v>0.3979591836729009</v>
      </c>
      <c r="T9" s="207"/>
      <c r="AE9" s="317"/>
      <c r="AF9" s="189">
        <f t="shared" ref="AF9:AI9" si="6">AF8-AG8</f>
        <v>3.2687336607511877E-5</v>
      </c>
      <c r="AG9" s="189">
        <f t="shared" si="6"/>
        <v>6.481819160386117E-5</v>
      </c>
      <c r="AH9" s="189">
        <f t="shared" si="6"/>
        <v>2.810653575767842E-6</v>
      </c>
      <c r="AI9" s="189">
        <f t="shared" si="6"/>
        <v>-4.8996856736710075E-6</v>
      </c>
      <c r="AJ9" s="189">
        <f>AJ8-AK8</f>
        <v>7.2083522586530115E-5</v>
      </c>
      <c r="AM9" s="317"/>
      <c r="AN9" s="189">
        <f t="shared" ref="AN9:AP9" si="7">AN8-AO8</f>
        <v>2.1351820585699992E-5</v>
      </c>
      <c r="AO9" s="189">
        <f t="shared" si="7"/>
        <v>9.2586000000000133E-7</v>
      </c>
      <c r="AP9" s="189">
        <f t="shared" si="7"/>
        <v>-1.6140099999999991E-6</v>
      </c>
      <c r="AQ9" s="189">
        <f>AQ8-AR8</f>
        <v>2.3745100000000004E-5</v>
      </c>
    </row>
    <row r="10" spans="1:44" ht="18" x14ac:dyDescent="0.25">
      <c r="B10" s="134" t="s">
        <v>499</v>
      </c>
      <c r="C10" s="11" t="s">
        <v>565</v>
      </c>
      <c r="D10" s="15">
        <f t="shared" si="1"/>
        <v>6.8500299000000001E-2</v>
      </c>
      <c r="E10" s="189">
        <v>0</v>
      </c>
      <c r="F10" s="189">
        <v>3.95E-2</v>
      </c>
      <c r="G10" s="189">
        <v>2.9900000000000002E-7</v>
      </c>
      <c r="H10" s="189">
        <v>2.9000000000000001E-2</v>
      </c>
      <c r="K10" s="190"/>
      <c r="L10" s="134" t="s">
        <v>499</v>
      </c>
      <c r="M10" s="11" t="s">
        <v>31</v>
      </c>
      <c r="N10" s="185">
        <f t="shared" si="2"/>
        <v>0</v>
      </c>
      <c r="O10" s="185">
        <f t="shared" si="0"/>
        <v>0.57663981875465975</v>
      </c>
      <c r="P10" s="185">
        <f t="shared" si="0"/>
        <v>4.3649444508264115E-6</v>
      </c>
      <c r="Q10" s="185">
        <f t="shared" si="0"/>
        <v>0.42335581630088948</v>
      </c>
      <c r="T10" s="207"/>
      <c r="AE10" s="134" t="s">
        <v>598</v>
      </c>
      <c r="AF10" s="191">
        <f>AF9/$AF$8</f>
        <v>0.19514825646710138</v>
      </c>
      <c r="AG10" s="191">
        <f>AG9/$AF$8</f>
        <v>0.38697423502951028</v>
      </c>
      <c r="AH10" s="191">
        <f>AH9/$AF$8</f>
        <v>1.6780019474516288E-2</v>
      </c>
      <c r="AI10" s="191">
        <f>AI9/$AF$8</f>
        <v>-2.9251851502456027E-2</v>
      </c>
      <c r="AJ10" s="191">
        <f>AJ9/$AF$8</f>
        <v>0.43034934053132806</v>
      </c>
      <c r="AK10" s="192">
        <f>SUM(AF10:AJ10)</f>
        <v>1</v>
      </c>
      <c r="AM10" s="134" t="s">
        <v>598</v>
      </c>
      <c r="AN10" s="193">
        <f>AN9/$AN$8</f>
        <v>0.48080188449475925</v>
      </c>
      <c r="AO10" s="193">
        <f t="shared" ref="AO10:AQ10" si="8">AO9/$AN$8</f>
        <v>2.0848584362705508E-2</v>
      </c>
      <c r="AP10" s="193">
        <f t="shared" si="8"/>
        <v>-3.6344397260115194E-2</v>
      </c>
      <c r="AQ10" s="193">
        <f t="shared" si="8"/>
        <v>0.5346939284026504</v>
      </c>
      <c r="AR10" s="194">
        <f>SUM(AN10:AQ10)</f>
        <v>1</v>
      </c>
    </row>
    <row r="11" spans="1:44" x14ac:dyDescent="0.25">
      <c r="B11" s="134" t="s">
        <v>500</v>
      </c>
      <c r="C11" s="11" t="s">
        <v>515</v>
      </c>
      <c r="D11" s="15">
        <f t="shared" si="1"/>
        <v>15290.539000000001</v>
      </c>
      <c r="E11" s="189">
        <v>0</v>
      </c>
      <c r="F11" s="189">
        <v>9710</v>
      </c>
      <c r="G11" s="189">
        <v>0.53900000000000003</v>
      </c>
      <c r="H11" s="189">
        <v>5580</v>
      </c>
      <c r="K11" s="190"/>
      <c r="L11" s="134" t="s">
        <v>500</v>
      </c>
      <c r="M11" s="11" t="s">
        <v>31</v>
      </c>
      <c r="N11" s="185">
        <f t="shared" si="2"/>
        <v>0</v>
      </c>
      <c r="O11" s="185">
        <f t="shared" si="0"/>
        <v>0.6350332058274728</v>
      </c>
      <c r="P11" s="185">
        <f t="shared" si="0"/>
        <v>3.5250555915654774E-5</v>
      </c>
      <c r="Q11" s="185">
        <f t="shared" si="0"/>
        <v>0.36493154361661156</v>
      </c>
      <c r="T11" s="207"/>
      <c r="AE11" s="318" t="s">
        <v>509</v>
      </c>
      <c r="AF11" s="15">
        <f>D104</f>
        <v>78.300028700000013</v>
      </c>
      <c r="AG11" s="15">
        <f>AN11*Calculations!$C$47</f>
        <v>42.369207969939247</v>
      </c>
      <c r="AH11" s="15">
        <f>AO11*Calculations!$C$47</f>
        <v>24.435276425623432</v>
      </c>
      <c r="AI11" s="15">
        <f>AP11*Calculations!$C$47</f>
        <v>24.030216365241163</v>
      </c>
      <c r="AJ11" s="15">
        <f>AQ11*Calculations!$C$47</f>
        <v>24.059634636477305</v>
      </c>
      <c r="AM11" s="318" t="s">
        <v>509</v>
      </c>
      <c r="AN11" s="15">
        <f>D112</f>
        <v>13.956880075599999</v>
      </c>
      <c r="AO11" s="15">
        <f>D120</f>
        <v>8.049247059999999</v>
      </c>
      <c r="AP11" s="15">
        <f>D128</f>
        <v>7.9158158499999995</v>
      </c>
      <c r="AQ11" s="15">
        <f>D136</f>
        <v>7.9255065499999997</v>
      </c>
    </row>
    <row r="12" spans="1:44" x14ac:dyDescent="0.25">
      <c r="B12" s="134" t="s">
        <v>562</v>
      </c>
      <c r="C12" s="11" t="s">
        <v>516</v>
      </c>
      <c r="D12" s="15">
        <f t="shared" si="1"/>
        <v>7990.0001140000004</v>
      </c>
      <c r="E12" s="189">
        <v>0</v>
      </c>
      <c r="F12" s="189">
        <v>3860</v>
      </c>
      <c r="G12" s="189">
        <v>1.1400000000000001E-4</v>
      </c>
      <c r="H12" s="189">
        <v>4130</v>
      </c>
      <c r="K12" s="190"/>
      <c r="L12" s="134" t="s">
        <v>562</v>
      </c>
      <c r="M12" s="11" t="s">
        <v>31</v>
      </c>
      <c r="N12" s="185">
        <f t="shared" si="2"/>
        <v>0</v>
      </c>
      <c r="O12" s="185">
        <f t="shared" si="0"/>
        <v>0.483103872956966</v>
      </c>
      <c r="P12" s="185">
        <f t="shared" si="0"/>
        <v>1.4267834589920759E-8</v>
      </c>
      <c r="Q12" s="185">
        <f t="shared" si="0"/>
        <v>0.51689611277519931</v>
      </c>
      <c r="T12" s="207"/>
      <c r="AE12" s="318"/>
      <c r="AF12" s="15">
        <f t="shared" ref="AF12:AI12" si="9">AF11-AG11</f>
        <v>35.930820730060766</v>
      </c>
      <c r="AG12" s="15">
        <f t="shared" si="9"/>
        <v>17.933931544315815</v>
      </c>
      <c r="AH12" s="15">
        <f t="shared" si="9"/>
        <v>0.40506006038226872</v>
      </c>
      <c r="AI12" s="15">
        <f t="shared" si="9"/>
        <v>-2.9418271236142601E-2</v>
      </c>
      <c r="AJ12" s="15">
        <f>AJ11-AK11</f>
        <v>24.059634636477305</v>
      </c>
      <c r="AM12" s="318"/>
      <c r="AN12" s="15">
        <f t="shared" ref="AN12:AP12" si="10">AN11-AO11</f>
        <v>5.9076330156000001</v>
      </c>
      <c r="AO12" s="15">
        <f t="shared" si="10"/>
        <v>0.13343120999999947</v>
      </c>
      <c r="AP12" s="15">
        <f t="shared" si="10"/>
        <v>-9.6907000000001631E-3</v>
      </c>
      <c r="AQ12" s="15">
        <f>AQ11-AR11</f>
        <v>7.9255065499999997</v>
      </c>
    </row>
    <row r="13" spans="1:44" ht="18" x14ac:dyDescent="0.25">
      <c r="B13" s="134" t="s">
        <v>501</v>
      </c>
      <c r="C13" s="11" t="s">
        <v>566</v>
      </c>
      <c r="D13" s="15">
        <f t="shared" si="1"/>
        <v>3.1370007329999998</v>
      </c>
      <c r="E13" s="189">
        <v>0</v>
      </c>
      <c r="F13" s="189">
        <v>2.58</v>
      </c>
      <c r="G13" s="189">
        <v>7.3300000000000001E-7</v>
      </c>
      <c r="H13" s="189">
        <v>0.55700000000000005</v>
      </c>
      <c r="K13" s="190"/>
      <c r="L13" s="134" t="s">
        <v>501</v>
      </c>
      <c r="M13" s="11" t="s">
        <v>31</v>
      </c>
      <c r="N13" s="185">
        <f t="shared" si="2"/>
        <v>0</v>
      </c>
      <c r="O13" s="185">
        <f t="shared" si="0"/>
        <v>0.82244163122419012</v>
      </c>
      <c r="P13" s="185">
        <f t="shared" si="0"/>
        <v>2.3366268049896564E-7</v>
      </c>
      <c r="Q13" s="185">
        <f t="shared" si="0"/>
        <v>0.17755813511312943</v>
      </c>
      <c r="T13" s="207"/>
      <c r="AE13" s="134" t="s">
        <v>598</v>
      </c>
      <c r="AF13" s="191">
        <f>AF12/$AF$11</f>
        <v>0.45888643116245448</v>
      </c>
      <c r="AG13" s="191">
        <f>AG12/$AF$11</f>
        <v>0.2290411873669698</v>
      </c>
      <c r="AH13" s="191">
        <f>AH12/$AF$11</f>
        <v>5.1731789516223847E-3</v>
      </c>
      <c r="AI13" s="191">
        <f>AI12/$AF$11</f>
        <v>-3.7571213861052643E-4</v>
      </c>
      <c r="AJ13" s="191">
        <f>AJ12/$AF$11</f>
        <v>0.30727491465756385</v>
      </c>
      <c r="AK13" s="192">
        <f>SUM(AF13:AJ13)</f>
        <v>1</v>
      </c>
      <c r="AM13" s="134" t="s">
        <v>598</v>
      </c>
      <c r="AN13" s="193">
        <f>AN12/$AN$11</f>
        <v>0.42327747917874359</v>
      </c>
      <c r="AO13" s="193">
        <f t="shared" ref="AO13:AQ13" si="11">AO12/$AN$11</f>
        <v>9.5602462210210917E-3</v>
      </c>
      <c r="AP13" s="193">
        <f t="shared" si="11"/>
        <v>-6.943313940872681E-4</v>
      </c>
      <c r="AQ13" s="193">
        <f t="shared" si="11"/>
        <v>0.56785660599432253</v>
      </c>
      <c r="AR13" s="194">
        <f>SUM(AN13:AQ13)</f>
        <v>1</v>
      </c>
    </row>
    <row r="14" spans="1:44" x14ac:dyDescent="0.25">
      <c r="B14" s="134" t="s">
        <v>502</v>
      </c>
      <c r="C14" s="11" t="s">
        <v>563</v>
      </c>
      <c r="D14" s="15">
        <f t="shared" si="1"/>
        <v>10.26</v>
      </c>
      <c r="E14" s="189">
        <v>0</v>
      </c>
      <c r="F14" s="189">
        <v>7.95</v>
      </c>
      <c r="G14" s="189">
        <v>0</v>
      </c>
      <c r="H14" s="189">
        <v>2.31</v>
      </c>
      <c r="K14" s="190"/>
      <c r="L14" s="134" t="s">
        <v>502</v>
      </c>
      <c r="M14" s="11" t="s">
        <v>31</v>
      </c>
      <c r="N14" s="185">
        <f t="shared" si="2"/>
        <v>0</v>
      </c>
      <c r="O14" s="185">
        <f t="shared" si="0"/>
        <v>0.77485380116959068</v>
      </c>
      <c r="P14" s="185">
        <f t="shared" si="0"/>
        <v>0</v>
      </c>
      <c r="Q14" s="185">
        <f t="shared" si="0"/>
        <v>0.22514619883040937</v>
      </c>
      <c r="T14" s="207"/>
      <c r="AE14" s="317" t="s">
        <v>511</v>
      </c>
      <c r="AF14" s="15">
        <f>D106</f>
        <v>3641.66</v>
      </c>
      <c r="AG14" s="15">
        <f>AN14*Calculations!$C$47</f>
        <v>2607.3462240946933</v>
      </c>
      <c r="AH14" s="15">
        <f>AO14*Calculations!$C$47</f>
        <v>1644.794711693515</v>
      </c>
      <c r="AI14" s="15">
        <f>AP14*Calculations!$C$47</f>
        <v>1585.4815985093642</v>
      </c>
      <c r="AJ14" s="15">
        <f>AQ14*Calculations!$C$47</f>
        <v>1582.4427272461201</v>
      </c>
      <c r="AM14" s="317" t="s">
        <v>511</v>
      </c>
      <c r="AN14" s="15">
        <f>D114</f>
        <v>858.88833680999994</v>
      </c>
      <c r="AO14" s="15">
        <f>D122</f>
        <v>541.81335077999995</v>
      </c>
      <c r="AP14" s="15">
        <f>D130</f>
        <v>522.27496317999999</v>
      </c>
      <c r="AQ14" s="15">
        <f>D138</f>
        <v>521.27392578000001</v>
      </c>
    </row>
    <row r="15" spans="1:44" ht="18" x14ac:dyDescent="0.25">
      <c r="B15" s="134" t="s">
        <v>503</v>
      </c>
      <c r="C15" s="11" t="s">
        <v>566</v>
      </c>
      <c r="D15" s="15">
        <f t="shared" si="1"/>
        <v>1.04500262</v>
      </c>
      <c r="E15" s="189">
        <v>0</v>
      </c>
      <c r="F15" s="189">
        <v>0.89</v>
      </c>
      <c r="G15" s="189">
        <v>2.6199999999999999E-6</v>
      </c>
      <c r="H15" s="189">
        <v>0.155</v>
      </c>
      <c r="K15" s="190"/>
      <c r="L15" s="134" t="s">
        <v>503</v>
      </c>
      <c r="M15" s="11" t="s">
        <v>31</v>
      </c>
      <c r="N15" s="185">
        <f t="shared" si="2"/>
        <v>0</v>
      </c>
      <c r="O15" s="185">
        <f t="shared" si="0"/>
        <v>0.85167250585457865</v>
      </c>
      <c r="P15" s="185">
        <f t="shared" si="0"/>
        <v>2.5071707475719054E-6</v>
      </c>
      <c r="Q15" s="185">
        <f t="shared" si="0"/>
        <v>0.14832498697467381</v>
      </c>
      <c r="T15" s="207"/>
      <c r="AE15" s="317"/>
      <c r="AF15" s="15">
        <f t="shared" ref="AF15:AI15" si="12">AF14-AG14</f>
        <v>1034.3137759053066</v>
      </c>
      <c r="AG15" s="15">
        <f t="shared" si="12"/>
        <v>962.55151240117834</v>
      </c>
      <c r="AH15" s="15">
        <f t="shared" si="12"/>
        <v>59.313113184150779</v>
      </c>
      <c r="AI15" s="15">
        <f t="shared" si="12"/>
        <v>3.0388712632441184</v>
      </c>
      <c r="AJ15" s="15">
        <f>AJ14-AK14</f>
        <v>1582.4427272461201</v>
      </c>
      <c r="AM15" s="317"/>
      <c r="AN15" s="15">
        <f t="shared" ref="AN15:AP15" si="13">AN14-AO14</f>
        <v>317.07498602999999</v>
      </c>
      <c r="AO15" s="15">
        <f t="shared" si="13"/>
        <v>19.538387599999965</v>
      </c>
      <c r="AP15" s="15">
        <f t="shared" si="13"/>
        <v>1.0010373999999729</v>
      </c>
      <c r="AQ15" s="15">
        <f>AQ14-AR14</f>
        <v>521.27392578000001</v>
      </c>
    </row>
    <row r="16" spans="1:44" ht="18" x14ac:dyDescent="0.25">
      <c r="B16" s="134" t="s">
        <v>504</v>
      </c>
      <c r="C16" s="11" t="s">
        <v>567</v>
      </c>
      <c r="D16" s="15">
        <f t="shared" si="1"/>
        <v>9.4039999999999999E-2</v>
      </c>
      <c r="E16" s="189">
        <v>0</v>
      </c>
      <c r="F16" s="189">
        <v>8.6300000000000002E-2</v>
      </c>
      <c r="G16" s="189">
        <v>0</v>
      </c>
      <c r="H16" s="189">
        <v>7.7400000000000004E-3</v>
      </c>
      <c r="K16" s="190"/>
      <c r="L16" s="134" t="s">
        <v>504</v>
      </c>
      <c r="M16" s="11" t="s">
        <v>31</v>
      </c>
      <c r="N16" s="185">
        <f t="shared" si="2"/>
        <v>0</v>
      </c>
      <c r="O16" s="185">
        <f t="shared" si="0"/>
        <v>0.91769459804338582</v>
      </c>
      <c r="P16" s="185">
        <f t="shared" si="0"/>
        <v>0</v>
      </c>
      <c r="Q16" s="185">
        <f t="shared" si="0"/>
        <v>8.2305401956614205E-2</v>
      </c>
      <c r="T16" s="207"/>
      <c r="AE16" s="134" t="s">
        <v>598</v>
      </c>
      <c r="AF16" s="191">
        <f>AF15/$AF$14</f>
        <v>0.28402260944330515</v>
      </c>
      <c r="AG16" s="191">
        <f>AG15/$AF$14</f>
        <v>0.26431668865330055</v>
      </c>
      <c r="AH16" s="191">
        <f>AH15/$AF$14</f>
        <v>1.6287383551498707E-2</v>
      </c>
      <c r="AI16" s="191">
        <f>AI15/$AF$14</f>
        <v>8.3447418574060137E-4</v>
      </c>
      <c r="AJ16" s="191">
        <f>AJ15/$AF$14</f>
        <v>0.43453884416615501</v>
      </c>
      <c r="AK16" s="192">
        <f>SUM(AF16:AJ16)</f>
        <v>1</v>
      </c>
      <c r="AM16" s="134" t="s">
        <v>598</v>
      </c>
      <c r="AN16" s="193">
        <f>AN15/$AN$14</f>
        <v>0.36916904379869597</v>
      </c>
      <c r="AO16" s="193">
        <f t="shared" ref="AO16:AQ16" si="14">AO15/$AN$14</f>
        <v>2.2748460728396376E-2</v>
      </c>
      <c r="AP16" s="193">
        <f t="shared" si="14"/>
        <v>1.1655035434733334E-3</v>
      </c>
      <c r="AQ16" s="193">
        <f t="shared" si="14"/>
        <v>0.60691699192943438</v>
      </c>
      <c r="AR16" s="194">
        <f>SUM(AN16:AQ16)</f>
        <v>1</v>
      </c>
    </row>
    <row r="17" spans="2:45" ht="18" x14ac:dyDescent="0.25">
      <c r="B17" s="176" t="s">
        <v>505</v>
      </c>
      <c r="C17" s="165" t="s">
        <v>578</v>
      </c>
      <c r="D17" s="195">
        <f t="shared" si="1"/>
        <v>217.90000001830001</v>
      </c>
      <c r="E17" s="196">
        <v>0</v>
      </c>
      <c r="F17" s="196">
        <v>155</v>
      </c>
      <c r="G17" s="196">
        <v>1.8299999999999998E-8</v>
      </c>
      <c r="H17" s="196">
        <v>62.9</v>
      </c>
      <c r="K17" s="190"/>
      <c r="L17" s="197" t="s">
        <v>505</v>
      </c>
      <c r="M17" s="198" t="s">
        <v>31</v>
      </c>
      <c r="N17" s="199">
        <f t="shared" si="2"/>
        <v>0</v>
      </c>
      <c r="O17" s="199">
        <f t="shared" si="0"/>
        <v>0.71133547492878635</v>
      </c>
      <c r="P17" s="199">
        <f t="shared" si="0"/>
        <v>8.3983478652882512E-11</v>
      </c>
      <c r="Q17" s="199">
        <f t="shared" si="0"/>
        <v>0.28866452498723011</v>
      </c>
      <c r="T17" s="207"/>
    </row>
    <row r="18" spans="2:45" x14ac:dyDescent="0.25">
      <c r="B18" s="134" t="s">
        <v>506</v>
      </c>
      <c r="C18" s="11" t="s">
        <v>517</v>
      </c>
      <c r="D18" s="15">
        <f t="shared" si="1"/>
        <v>3631.57</v>
      </c>
      <c r="E18" s="189">
        <v>0</v>
      </c>
      <c r="F18" s="189">
        <v>2600</v>
      </c>
      <c r="G18" s="189">
        <v>1.57</v>
      </c>
      <c r="H18" s="189">
        <v>1030</v>
      </c>
      <c r="K18" s="190"/>
      <c r="L18" s="134" t="s">
        <v>506</v>
      </c>
      <c r="M18" s="11" t="s">
        <v>31</v>
      </c>
      <c r="N18" s="185">
        <f t="shared" si="2"/>
        <v>0</v>
      </c>
      <c r="O18" s="185">
        <f t="shared" si="0"/>
        <v>0.71594379290499699</v>
      </c>
      <c r="P18" s="185">
        <f t="shared" si="0"/>
        <v>4.3231990571570975E-4</v>
      </c>
      <c r="Q18" s="185">
        <f t="shared" si="0"/>
        <v>0.28362388718928727</v>
      </c>
      <c r="T18" s="207"/>
    </row>
    <row r="19" spans="2:45" x14ac:dyDescent="0.25">
      <c r="B19" s="134" t="s">
        <v>507</v>
      </c>
      <c r="C19" s="11" t="s">
        <v>518</v>
      </c>
      <c r="D19" s="15">
        <f t="shared" si="1"/>
        <v>7.9830000000000005</v>
      </c>
      <c r="E19" s="189">
        <v>0</v>
      </c>
      <c r="F19" s="189">
        <v>6.61</v>
      </c>
      <c r="G19" s="189">
        <v>9.2999999999999999E-2</v>
      </c>
      <c r="H19" s="189">
        <v>1.28</v>
      </c>
      <c r="K19" s="190"/>
      <c r="L19" s="134" t="s">
        <v>507</v>
      </c>
      <c r="M19" s="11" t="s">
        <v>31</v>
      </c>
      <c r="N19" s="185">
        <f t="shared" si="2"/>
        <v>0</v>
      </c>
      <c r="O19" s="185">
        <f t="shared" si="0"/>
        <v>0.82800952023048979</v>
      </c>
      <c r="P19" s="185">
        <f t="shared" si="0"/>
        <v>1.1649755730928222E-2</v>
      </c>
      <c r="Q19" s="185">
        <f t="shared" si="0"/>
        <v>0.16034072403858199</v>
      </c>
      <c r="T19" s="207"/>
    </row>
    <row r="21" spans="2:45" ht="17.25" x14ac:dyDescent="0.25">
      <c r="B21" s="319" t="s">
        <v>715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3" spans="2:45" ht="30.95" customHeight="1" x14ac:dyDescent="0.25">
      <c r="B23" s="167" t="s">
        <v>569</v>
      </c>
      <c r="C23" s="167" t="s">
        <v>365</v>
      </c>
      <c r="D23" s="167" t="s">
        <v>223</v>
      </c>
      <c r="E23" s="167" t="s">
        <v>494</v>
      </c>
      <c r="F23" s="167" t="s">
        <v>230</v>
      </c>
      <c r="G23" s="167" t="s">
        <v>570</v>
      </c>
      <c r="H23" s="167" t="s">
        <v>341</v>
      </c>
      <c r="I23" s="167" t="s">
        <v>571</v>
      </c>
      <c r="J23" s="167" t="s">
        <v>572</v>
      </c>
      <c r="L23" s="133" t="s">
        <v>569</v>
      </c>
      <c r="M23" s="133" t="s">
        <v>365</v>
      </c>
      <c r="N23" s="167" t="s">
        <v>494</v>
      </c>
      <c r="O23" s="167" t="s">
        <v>230</v>
      </c>
      <c r="P23" s="167" t="s">
        <v>570</v>
      </c>
      <c r="Q23" s="167" t="s">
        <v>341</v>
      </c>
      <c r="R23" s="167" t="s">
        <v>571</v>
      </c>
      <c r="S23" s="167" t="s">
        <v>572</v>
      </c>
    </row>
    <row r="24" spans="2:45" ht="18" x14ac:dyDescent="0.25">
      <c r="B24" s="134" t="s">
        <v>495</v>
      </c>
      <c r="C24" s="11" t="s">
        <v>564</v>
      </c>
      <c r="D24" s="15">
        <f>SUM(E24:J24)</f>
        <v>0.80753889765799991</v>
      </c>
      <c r="E24" s="189">
        <f>D43</f>
        <v>0.52856400000000003</v>
      </c>
      <c r="F24" s="189">
        <v>0.25269651999999998</v>
      </c>
      <c r="G24" s="189">
        <v>0</v>
      </c>
      <c r="H24" s="189">
        <v>1.7657999999999998E-8</v>
      </c>
      <c r="I24" s="189">
        <v>1.3855000000000001E-4</v>
      </c>
      <c r="J24" s="189">
        <v>2.6139809999999999E-2</v>
      </c>
      <c r="L24" s="134" t="s">
        <v>495</v>
      </c>
      <c r="M24" s="11" t="s">
        <v>31</v>
      </c>
      <c r="N24" s="185">
        <f>E24/$D24</f>
        <v>0.65453689170010942</v>
      </c>
      <c r="O24" s="185">
        <f t="shared" ref="O24:S38" si="15">F24/$D24</f>
        <v>0.31292179328186276</v>
      </c>
      <c r="P24" s="185">
        <f t="shared" si="15"/>
        <v>0</v>
      </c>
      <c r="Q24" s="185">
        <f t="shared" si="15"/>
        <v>2.1866438943326693E-8</v>
      </c>
      <c r="R24" s="185">
        <f t="shared" si="15"/>
        <v>1.7157068272725755E-4</v>
      </c>
      <c r="S24" s="185">
        <f t="shared" si="15"/>
        <v>3.2369722468861738E-2</v>
      </c>
      <c r="T24" s="207"/>
    </row>
    <row r="25" spans="2:45" ht="18" x14ac:dyDescent="0.25">
      <c r="B25" s="134" t="s">
        <v>496</v>
      </c>
      <c r="C25" s="11" t="s">
        <v>564</v>
      </c>
      <c r="D25" s="15">
        <f t="shared" ref="D25:D38" si="16">SUM(E25:J25)</f>
        <v>1.5519472581699998</v>
      </c>
      <c r="E25" s="189">
        <f t="shared" ref="E25:E38" si="17">D44</f>
        <v>0.41229023999999992</v>
      </c>
      <c r="F25" s="189">
        <v>1.1292310299999999</v>
      </c>
      <c r="G25" s="189">
        <v>0</v>
      </c>
      <c r="H25" s="189">
        <v>3.7817E-7</v>
      </c>
      <c r="I25" s="189">
        <v>5.6085E-4</v>
      </c>
      <c r="J25" s="189">
        <v>9.8647600000000002E-3</v>
      </c>
      <c r="L25" s="134" t="s">
        <v>496</v>
      </c>
      <c r="M25" s="11" t="s">
        <v>31</v>
      </c>
      <c r="N25" s="185">
        <f t="shared" ref="N25:N38" si="18">E25/$D25</f>
        <v>0.26565995579396023</v>
      </c>
      <c r="O25" s="185">
        <f t="shared" si="15"/>
        <v>0.72762204002444542</v>
      </c>
      <c r="P25" s="185">
        <f t="shared" si="15"/>
        <v>0</v>
      </c>
      <c r="Q25" s="185">
        <f t="shared" si="15"/>
        <v>2.4367451793814467E-7</v>
      </c>
      <c r="R25" s="185">
        <f t="shared" si="15"/>
        <v>3.6138470366662721E-4</v>
      </c>
      <c r="S25" s="185">
        <f t="shared" si="15"/>
        <v>6.3563758034098205E-3</v>
      </c>
      <c r="T25" s="207"/>
      <c r="AS25" s="139" t="s">
        <v>505</v>
      </c>
    </row>
    <row r="26" spans="2:45" x14ac:dyDescent="0.25">
      <c r="B26" s="134" t="s">
        <v>497</v>
      </c>
      <c r="C26" s="11" t="s">
        <v>512</v>
      </c>
      <c r="D26" s="15">
        <f t="shared" si="16"/>
        <v>5.3604958083100007E-2</v>
      </c>
      <c r="E26" s="189">
        <f t="shared" si="17"/>
        <v>2.8853530000000002E-2</v>
      </c>
      <c r="F26" s="189">
        <v>2.145611E-2</v>
      </c>
      <c r="G26" s="189">
        <v>4.3473000000000002E-5</v>
      </c>
      <c r="H26" s="189">
        <v>5.0831000000000004E-9</v>
      </c>
      <c r="I26" s="189">
        <v>1.0458799999999999E-3</v>
      </c>
      <c r="J26" s="189">
        <v>2.2059599999999999E-3</v>
      </c>
      <c r="L26" s="134" t="s">
        <v>497</v>
      </c>
      <c r="M26" s="11" t="s">
        <v>31</v>
      </c>
      <c r="N26" s="185">
        <f t="shared" si="18"/>
        <v>0.53826233676501334</v>
      </c>
      <c r="O26" s="185">
        <f t="shared" si="15"/>
        <v>0.40026353470397452</v>
      </c>
      <c r="P26" s="185">
        <f t="shared" si="15"/>
        <v>8.1098841515008478E-4</v>
      </c>
      <c r="Q26" s="185">
        <f t="shared" si="15"/>
        <v>9.4825183747369548E-8</v>
      </c>
      <c r="R26" s="185">
        <f t="shared" si="15"/>
        <v>1.9510881780350344E-2</v>
      </c>
      <c r="S26" s="185">
        <f t="shared" si="15"/>
        <v>4.1152163510327806E-2</v>
      </c>
      <c r="T26" s="207"/>
      <c r="AS26" s="139" t="s">
        <v>508</v>
      </c>
    </row>
    <row r="27" spans="2:45" x14ac:dyDescent="0.25">
      <c r="B27" s="134" t="s">
        <v>561</v>
      </c>
      <c r="C27" s="11" t="s">
        <v>513</v>
      </c>
      <c r="D27" s="15">
        <f t="shared" si="16"/>
        <v>1143.6334173399998</v>
      </c>
      <c r="E27" s="189">
        <f t="shared" si="17"/>
        <v>954.88985971</v>
      </c>
      <c r="F27" s="189">
        <v>108.956751</v>
      </c>
      <c r="G27" s="189">
        <v>0</v>
      </c>
      <c r="H27" s="189">
        <v>3.4710700000000001E-3</v>
      </c>
      <c r="I27" s="189">
        <v>1.00467876</v>
      </c>
      <c r="J27" s="189">
        <v>78.778656799999993</v>
      </c>
      <c r="L27" s="134" t="s">
        <v>561</v>
      </c>
      <c r="M27" s="11" t="s">
        <v>31</v>
      </c>
      <c r="N27" s="185">
        <f t="shared" si="18"/>
        <v>0.83496148786120439</v>
      </c>
      <c r="O27" s="185">
        <f t="shared" si="15"/>
        <v>9.527244425353075E-2</v>
      </c>
      <c r="P27" s="185">
        <f t="shared" si="15"/>
        <v>0</v>
      </c>
      <c r="Q27" s="185">
        <f t="shared" si="15"/>
        <v>3.0351246713946434E-6</v>
      </c>
      <c r="R27" s="185">
        <f t="shared" si="15"/>
        <v>8.7849720440733774E-4</v>
      </c>
      <c r="S27" s="185">
        <f t="shared" si="15"/>
        <v>6.8884535556186233E-2</v>
      </c>
      <c r="T27" s="207"/>
      <c r="AS27" s="139" t="s">
        <v>509</v>
      </c>
    </row>
    <row r="28" spans="2:45" x14ac:dyDescent="0.25">
      <c r="B28" s="134" t="s">
        <v>498</v>
      </c>
      <c r="C28" s="11" t="s">
        <v>514</v>
      </c>
      <c r="D28" s="15">
        <f t="shared" si="16"/>
        <v>5.8353639000125564E-6</v>
      </c>
      <c r="E28" s="189">
        <f t="shared" si="17"/>
        <v>4.2526120000000001E-6</v>
      </c>
      <c r="F28" s="189">
        <v>1.3468E-6</v>
      </c>
      <c r="G28" s="189">
        <v>0</v>
      </c>
      <c r="H28" s="189">
        <v>1.2556E-17</v>
      </c>
      <c r="I28" s="189">
        <v>2.2918999999999999E-9</v>
      </c>
      <c r="J28" s="189">
        <v>2.3365999999999999E-7</v>
      </c>
      <c r="L28" s="134" t="s">
        <v>498</v>
      </c>
      <c r="M28" s="11" t="s">
        <v>31</v>
      </c>
      <c r="N28" s="185">
        <f t="shared" si="18"/>
        <v>0.72876551880352303</v>
      </c>
      <c r="O28" s="185">
        <f t="shared" si="15"/>
        <v>0.23079965929752932</v>
      </c>
      <c r="P28" s="185">
        <f t="shared" si="15"/>
        <v>0</v>
      </c>
      <c r="Q28" s="185">
        <f t="shared" si="15"/>
        <v>2.1517081393969247E-12</v>
      </c>
      <c r="R28" s="185">
        <f t="shared" si="15"/>
        <v>3.9276042407484959E-4</v>
      </c>
      <c r="S28" s="185">
        <f t="shared" si="15"/>
        <v>4.004206147272104E-2</v>
      </c>
      <c r="T28" s="207"/>
      <c r="AS28" s="139" t="s">
        <v>511</v>
      </c>
    </row>
    <row r="29" spans="2:45" ht="18" x14ac:dyDescent="0.25">
      <c r="B29" s="134" t="s">
        <v>499</v>
      </c>
      <c r="C29" s="11" t="s">
        <v>565</v>
      </c>
      <c r="D29" s="15">
        <f t="shared" si="16"/>
        <v>1.3009129356E-2</v>
      </c>
      <c r="E29" s="189">
        <f t="shared" si="17"/>
        <v>7.3397100000000002E-3</v>
      </c>
      <c r="F29" s="189">
        <v>3.17205E-3</v>
      </c>
      <c r="G29" s="189">
        <v>1.9904999999999999E-4</v>
      </c>
      <c r="H29" s="189">
        <v>8.9355999999999996E-8</v>
      </c>
      <c r="I29" s="189">
        <v>2.09683E-3</v>
      </c>
      <c r="J29" s="189">
        <v>2.0139999999999999E-4</v>
      </c>
      <c r="L29" s="134" t="s">
        <v>499</v>
      </c>
      <c r="M29" s="11" t="s">
        <v>31</v>
      </c>
      <c r="N29" s="185">
        <f t="shared" si="18"/>
        <v>0.56419686507420419</v>
      </c>
      <c r="O29" s="185">
        <f t="shared" si="15"/>
        <v>0.24383261271339457</v>
      </c>
      <c r="P29" s="185">
        <f t="shared" si="15"/>
        <v>1.5300793354644847E-2</v>
      </c>
      <c r="Q29" s="185">
        <f t="shared" si="15"/>
        <v>6.8687148505282337E-6</v>
      </c>
      <c r="R29" s="185">
        <f t="shared" si="15"/>
        <v>0.16118142441507136</v>
      </c>
      <c r="S29" s="185">
        <f t="shared" si="15"/>
        <v>1.5481435727834576E-2</v>
      </c>
      <c r="T29" s="207"/>
    </row>
    <row r="30" spans="2:45" x14ac:dyDescent="0.25">
      <c r="B30" s="134" t="s">
        <v>500</v>
      </c>
      <c r="C30" s="11" t="s">
        <v>515</v>
      </c>
      <c r="D30" s="15">
        <f t="shared" si="16"/>
        <v>3196.90565295852</v>
      </c>
      <c r="E30" s="189">
        <f t="shared" si="17"/>
        <v>1890.9197110999999</v>
      </c>
      <c r="F30" s="189">
        <v>1213.7295899999999</v>
      </c>
      <c r="G30" s="189">
        <v>3.6852000000000002E-7</v>
      </c>
      <c r="H30" s="189">
        <v>0.16112594</v>
      </c>
      <c r="I30" s="189">
        <v>0.57671265000000005</v>
      </c>
      <c r="J30" s="189">
        <v>91.518512900000005</v>
      </c>
      <c r="L30" s="134" t="s">
        <v>500</v>
      </c>
      <c r="M30" s="11" t="s">
        <v>31</v>
      </c>
      <c r="N30" s="185">
        <f t="shared" si="18"/>
        <v>0.59148436531121318</v>
      </c>
      <c r="O30" s="185">
        <f t="shared" si="15"/>
        <v>0.37965761950990806</v>
      </c>
      <c r="P30" s="185">
        <f t="shared" si="15"/>
        <v>1.1527396801934386E-10</v>
      </c>
      <c r="Q30" s="185">
        <f t="shared" si="15"/>
        <v>5.0400592789120578E-5</v>
      </c>
      <c r="R30" s="185">
        <f t="shared" si="15"/>
        <v>1.8039714417793077E-4</v>
      </c>
      <c r="S30" s="185">
        <f t="shared" si="15"/>
        <v>2.8627217326637654E-2</v>
      </c>
      <c r="T30" s="207"/>
    </row>
    <row r="31" spans="2:45" x14ac:dyDescent="0.25">
      <c r="B31" s="134" t="s">
        <v>562</v>
      </c>
      <c r="C31" s="11" t="s">
        <v>516</v>
      </c>
      <c r="D31" s="15">
        <f t="shared" si="16"/>
        <v>1271.4608753599</v>
      </c>
      <c r="E31" s="189">
        <f t="shared" si="17"/>
        <v>859.66789189999997</v>
      </c>
      <c r="F31" s="189">
        <v>389.18070999999998</v>
      </c>
      <c r="G31" s="189">
        <v>1.4599E-6</v>
      </c>
      <c r="H31" s="189">
        <v>3.4010000000000001E-5</v>
      </c>
      <c r="I31" s="189">
        <v>0.73776668999999995</v>
      </c>
      <c r="J31" s="189">
        <v>21.8744713</v>
      </c>
      <c r="L31" s="134" t="s">
        <v>562</v>
      </c>
      <c r="M31" s="11" t="s">
        <v>31</v>
      </c>
      <c r="N31" s="185">
        <f t="shared" si="18"/>
        <v>0.67612610703153742</v>
      </c>
      <c r="O31" s="185">
        <f t="shared" si="15"/>
        <v>0.30608941064729056</v>
      </c>
      <c r="P31" s="185">
        <f t="shared" si="15"/>
        <v>1.1482067818931199E-9</v>
      </c>
      <c r="Q31" s="185">
        <f t="shared" si="15"/>
        <v>2.6748758580851433E-8</v>
      </c>
      <c r="R31" s="185">
        <f t="shared" si="15"/>
        <v>5.8025119317270976E-4</v>
      </c>
      <c r="S31" s="185">
        <f t="shared" si="15"/>
        <v>1.7204203231033912E-2</v>
      </c>
      <c r="T31" s="207"/>
    </row>
    <row r="32" spans="2:45" ht="18.75" thickBot="1" x14ac:dyDescent="0.3">
      <c r="B32" s="134" t="s">
        <v>501</v>
      </c>
      <c r="C32" s="11" t="s">
        <v>566</v>
      </c>
      <c r="D32" s="15">
        <f t="shared" si="16"/>
        <v>0.84916876926999996</v>
      </c>
      <c r="E32" s="189">
        <f t="shared" si="17"/>
        <v>0.46298538</v>
      </c>
      <c r="F32" s="189">
        <v>0.32369068000000001</v>
      </c>
      <c r="G32" s="189">
        <v>5.5734000000000003E-4</v>
      </c>
      <c r="H32" s="189">
        <v>2.1927E-7</v>
      </c>
      <c r="I32" s="189">
        <v>2.7543620000000001E-2</v>
      </c>
      <c r="J32" s="189">
        <v>3.4391529999999997E-2</v>
      </c>
      <c r="L32" s="134" t="s">
        <v>501</v>
      </c>
      <c r="M32" s="11" t="s">
        <v>31</v>
      </c>
      <c r="N32" s="185">
        <f t="shared" si="18"/>
        <v>0.54522186490444291</v>
      </c>
      <c r="O32" s="185">
        <f t="shared" si="15"/>
        <v>0.38118533289709339</v>
      </c>
      <c r="P32" s="185">
        <f t="shared" si="15"/>
        <v>6.5633596072913196E-4</v>
      </c>
      <c r="Q32" s="185">
        <f t="shared" si="15"/>
        <v>2.5821722128158173E-7</v>
      </c>
      <c r="R32" s="185">
        <f t="shared" si="15"/>
        <v>3.2435978567226707E-2</v>
      </c>
      <c r="S32" s="185">
        <f t="shared" si="15"/>
        <v>4.0500229453286615E-2</v>
      </c>
      <c r="T32" s="207"/>
    </row>
    <row r="33" spans="2:43" ht="18" thickBot="1" x14ac:dyDescent="0.3">
      <c r="B33" s="134" t="s">
        <v>502</v>
      </c>
      <c r="C33" s="11" t="s">
        <v>563</v>
      </c>
      <c r="D33" s="15">
        <f t="shared" si="16"/>
        <v>2.6191621600000001</v>
      </c>
      <c r="E33" s="189">
        <f t="shared" si="17"/>
        <v>0.61626373000000001</v>
      </c>
      <c r="F33" s="189">
        <v>1.9778363699999999</v>
      </c>
      <c r="G33" s="189">
        <v>0</v>
      </c>
      <c r="H33" s="189">
        <v>0</v>
      </c>
      <c r="I33" s="189">
        <v>1.0606299999999999E-3</v>
      </c>
      <c r="J33" s="189">
        <v>2.4001430000000001E-2</v>
      </c>
      <c r="L33" s="134" t="s">
        <v>502</v>
      </c>
      <c r="M33" s="11" t="s">
        <v>31</v>
      </c>
      <c r="N33" s="185">
        <f t="shared" si="18"/>
        <v>0.23529040676122168</v>
      </c>
      <c r="O33" s="185">
        <f t="shared" si="15"/>
        <v>0.75514086153413262</v>
      </c>
      <c r="P33" s="185">
        <f t="shared" si="15"/>
        <v>0</v>
      </c>
      <c r="Q33" s="185">
        <f t="shared" si="15"/>
        <v>0</v>
      </c>
      <c r="R33" s="185">
        <f t="shared" si="15"/>
        <v>4.0495010816741481E-4</v>
      </c>
      <c r="S33" s="185">
        <f t="shared" si="15"/>
        <v>9.1637815964781648E-3</v>
      </c>
      <c r="T33" s="207"/>
      <c r="AF33" s="314" t="s">
        <v>658</v>
      </c>
      <c r="AG33" s="315"/>
      <c r="AH33" s="315"/>
      <c r="AI33" s="315"/>
      <c r="AJ33" s="316"/>
      <c r="AN33" s="314" t="s">
        <v>659</v>
      </c>
      <c r="AO33" s="315"/>
      <c r="AP33" s="315"/>
      <c r="AQ33" s="316"/>
    </row>
    <row r="34" spans="2:43" ht="18" x14ac:dyDescent="0.25">
      <c r="B34" s="134" t="s">
        <v>503</v>
      </c>
      <c r="C34" s="11" t="s">
        <v>566</v>
      </c>
      <c r="D34" s="15">
        <f t="shared" si="16"/>
        <v>215.27172130240001</v>
      </c>
      <c r="E34" s="189">
        <f t="shared" si="17"/>
        <v>215.13053783000001</v>
      </c>
      <c r="F34" s="189">
        <v>0.12098804000000001</v>
      </c>
      <c r="G34" s="189">
        <v>5.5734000000000003E-4</v>
      </c>
      <c r="H34" s="189">
        <v>7.8240000000000002E-7</v>
      </c>
      <c r="I34" s="189">
        <v>7.8460999999999999E-3</v>
      </c>
      <c r="J34" s="189">
        <v>1.179121E-2</v>
      </c>
      <c r="L34" s="134" t="s">
        <v>503</v>
      </c>
      <c r="M34" s="11" t="s">
        <v>31</v>
      </c>
      <c r="N34" s="185">
        <f t="shared" si="18"/>
        <v>0.99934416154827099</v>
      </c>
      <c r="O34" s="185">
        <f t="shared" si="15"/>
        <v>5.6202477161430646E-4</v>
      </c>
      <c r="P34" s="185">
        <f t="shared" si="15"/>
        <v>2.5890070308727836E-6</v>
      </c>
      <c r="Q34" s="185">
        <f t="shared" si="15"/>
        <v>3.6344764433826136E-9</v>
      </c>
      <c r="R34" s="185">
        <f t="shared" si="15"/>
        <v>3.6447425386534156E-5</v>
      </c>
      <c r="S34" s="185">
        <f t="shared" si="15"/>
        <v>5.4773613220830145E-5</v>
      </c>
      <c r="T34" s="207"/>
    </row>
    <row r="35" spans="2:43" ht="30" x14ac:dyDescent="0.25">
      <c r="B35" s="134" t="s">
        <v>504</v>
      </c>
      <c r="C35" s="11" t="s">
        <v>567</v>
      </c>
      <c r="D35" s="15">
        <f t="shared" si="16"/>
        <v>2.8420782799999999E-2</v>
      </c>
      <c r="E35" s="189">
        <f t="shared" si="17"/>
        <v>4.0440889999999998E-3</v>
      </c>
      <c r="F35" s="189">
        <v>2.1524990000000001E-2</v>
      </c>
      <c r="G35" s="189">
        <v>2.6274599999999999E-3</v>
      </c>
      <c r="H35" s="189">
        <v>0</v>
      </c>
      <c r="I35" s="189">
        <v>1.8137999999999999E-6</v>
      </c>
      <c r="J35" s="189">
        <v>2.2243E-4</v>
      </c>
      <c r="L35" s="134" t="s">
        <v>504</v>
      </c>
      <c r="M35" s="11" t="s">
        <v>31</v>
      </c>
      <c r="N35" s="185">
        <f t="shared" si="18"/>
        <v>0.14229337131417788</v>
      </c>
      <c r="O35" s="185">
        <f t="shared" si="15"/>
        <v>0.75736794976667576</v>
      </c>
      <c r="P35" s="185">
        <f t="shared" si="15"/>
        <v>9.2448544379995043E-2</v>
      </c>
      <c r="Q35" s="185">
        <f t="shared" si="15"/>
        <v>0</v>
      </c>
      <c r="R35" s="185">
        <f t="shared" si="15"/>
        <v>6.3819494795899857E-5</v>
      </c>
      <c r="S35" s="185">
        <f t="shared" si="15"/>
        <v>7.8263150443554988E-3</v>
      </c>
      <c r="T35" s="207"/>
      <c r="AF35" s="167" t="s">
        <v>646</v>
      </c>
      <c r="AG35" s="167" t="s">
        <v>492</v>
      </c>
      <c r="AH35" s="167" t="s">
        <v>494</v>
      </c>
      <c r="AI35" s="167" t="s">
        <v>493</v>
      </c>
      <c r="AJ35" s="167" t="s">
        <v>597</v>
      </c>
      <c r="AN35" s="167" t="s">
        <v>492</v>
      </c>
      <c r="AO35" s="167" t="s">
        <v>494</v>
      </c>
      <c r="AP35" s="167" t="s">
        <v>493</v>
      </c>
      <c r="AQ35" s="167" t="s">
        <v>597</v>
      </c>
    </row>
    <row r="36" spans="2:43" ht="18" x14ac:dyDescent="0.25">
      <c r="B36" s="176" t="s">
        <v>505</v>
      </c>
      <c r="C36" s="165" t="s">
        <v>578</v>
      </c>
      <c r="D36" s="195">
        <f t="shared" si="16"/>
        <v>51.224374665482095</v>
      </c>
      <c r="E36" s="196">
        <f>D55</f>
        <v>28.32683561</v>
      </c>
      <c r="F36" s="196">
        <v>13.9315973</v>
      </c>
      <c r="G36" s="196">
        <v>0.47771999999999998</v>
      </c>
      <c r="H36" s="196">
        <v>5.4821000000000003E-9</v>
      </c>
      <c r="I36" s="196">
        <v>6.7667284800000003</v>
      </c>
      <c r="J36" s="196">
        <v>1.7214932700000001</v>
      </c>
      <c r="L36" s="197" t="s">
        <v>505</v>
      </c>
      <c r="M36" s="198" t="s">
        <v>31</v>
      </c>
      <c r="N36" s="199">
        <f t="shared" si="18"/>
        <v>0.55299524484167573</v>
      </c>
      <c r="O36" s="199">
        <f t="shared" si="15"/>
        <v>0.27197203266959363</v>
      </c>
      <c r="P36" s="199">
        <f t="shared" si="15"/>
        <v>9.3260289289956912E-3</v>
      </c>
      <c r="Q36" s="199">
        <f t="shared" si="15"/>
        <v>1.070213162347134E-10</v>
      </c>
      <c r="R36" s="199">
        <f t="shared" si="15"/>
        <v>0.13209977718985816</v>
      </c>
      <c r="S36" s="199">
        <f t="shared" si="15"/>
        <v>3.3606916262855627E-2</v>
      </c>
      <c r="T36" s="207"/>
      <c r="AE36" s="318" t="str">
        <f>$B$24</f>
        <v>Carcinogens</v>
      </c>
      <c r="AF36" s="15">
        <f>D5</f>
        <v>2.9520000591000004</v>
      </c>
      <c r="AG36" s="15">
        <f>AN36*Calculations!$C$47</f>
        <v>2.4514636017044382</v>
      </c>
      <c r="AH36" s="15">
        <f>AO36*Calculations!$C$47</f>
        <v>1.6045733659755781</v>
      </c>
      <c r="AI36" s="15">
        <f>AP36*Calculations!$C$47</f>
        <v>1.560373041078801</v>
      </c>
      <c r="AJ36" s="15">
        <f>AQ36*Calculations!$C$47</f>
        <v>1.6036264028532647</v>
      </c>
      <c r="AM36" s="318" t="str">
        <f>$B$24</f>
        <v>Carcinogens</v>
      </c>
      <c r="AN36" s="15">
        <f>D24</f>
        <v>0.80753889765799991</v>
      </c>
      <c r="AO36" s="15">
        <f>D43</f>
        <v>0.52856400000000003</v>
      </c>
      <c r="AP36" s="15">
        <f>D62</f>
        <v>0.51400393</v>
      </c>
      <c r="AQ36" s="15">
        <f>D81</f>
        <v>0.52825206000000002</v>
      </c>
    </row>
    <row r="37" spans="2:43" x14ac:dyDescent="0.25">
      <c r="B37" s="134" t="s">
        <v>506</v>
      </c>
      <c r="C37" s="11" t="s">
        <v>517</v>
      </c>
      <c r="D37" s="15">
        <f t="shared" si="16"/>
        <v>855.9467503599999</v>
      </c>
      <c r="E37" s="189">
        <f t="shared" si="17"/>
        <v>540.51996207000002</v>
      </c>
      <c r="F37" s="189">
        <v>160.09291899999999</v>
      </c>
      <c r="G37" s="189">
        <v>5.5734000000000004</v>
      </c>
      <c r="H37" s="189">
        <v>0.46913758999999999</v>
      </c>
      <c r="I37" s="189">
        <v>114.23347699999999</v>
      </c>
      <c r="J37" s="189">
        <v>35.0578547</v>
      </c>
      <c r="L37" s="134" t="s">
        <v>506</v>
      </c>
      <c r="M37" s="11" t="s">
        <v>31</v>
      </c>
      <c r="N37" s="185">
        <f t="shared" si="18"/>
        <v>0.6314878371144752</v>
      </c>
      <c r="O37" s="185">
        <f t="shared" si="15"/>
        <v>0.1870360731350017</v>
      </c>
      <c r="P37" s="185">
        <f t="shared" si="15"/>
        <v>6.5113863656306916E-3</v>
      </c>
      <c r="Q37" s="185">
        <f t="shared" si="15"/>
        <v>5.4809202769060916E-4</v>
      </c>
      <c r="R37" s="185">
        <f t="shared" si="15"/>
        <v>0.13345862572870906</v>
      </c>
      <c r="S37" s="185">
        <f t="shared" si="15"/>
        <v>4.0957985628492809E-2</v>
      </c>
      <c r="T37" s="207"/>
      <c r="AE37" s="318"/>
      <c r="AF37" s="15">
        <f>AF36-AG36</f>
        <v>0.50053645739556218</v>
      </c>
      <c r="AG37" s="15">
        <f>AG36-AH36</f>
        <v>0.84689023572886013</v>
      </c>
      <c r="AH37" s="15">
        <f t="shared" ref="AH37:AJ37" si="19">AH36-AI36</f>
        <v>4.4200324896777055E-2</v>
      </c>
      <c r="AI37" s="15">
        <f t="shared" si="19"/>
        <v>-4.3253361774463706E-2</v>
      </c>
      <c r="AJ37" s="15">
        <f t="shared" si="19"/>
        <v>1.6036264028532647</v>
      </c>
      <c r="AM37" s="318"/>
      <c r="AN37" s="15">
        <f>AN36-AO36</f>
        <v>0.27897489765799988</v>
      </c>
      <c r="AO37" s="15">
        <f t="shared" ref="AO37:AQ37" si="20">AO36-AP36</f>
        <v>1.4560070000000036E-2</v>
      </c>
      <c r="AP37" s="15">
        <f t="shared" si="20"/>
        <v>-1.4248130000000025E-2</v>
      </c>
      <c r="AQ37" s="15">
        <f t="shared" si="20"/>
        <v>0.52825206000000002</v>
      </c>
    </row>
    <row r="38" spans="2:43" ht="30" x14ac:dyDescent="0.25">
      <c r="B38" s="134" t="s">
        <v>507</v>
      </c>
      <c r="C38" s="11" t="s">
        <v>518</v>
      </c>
      <c r="D38" s="15">
        <f t="shared" si="16"/>
        <v>2.1769855300000001</v>
      </c>
      <c r="E38" s="189">
        <f t="shared" si="17"/>
        <v>0.52878835999999996</v>
      </c>
      <c r="F38" s="189">
        <v>1.6004039400000001</v>
      </c>
      <c r="G38" s="189">
        <v>0</v>
      </c>
      <c r="H38" s="189">
        <v>2.7814640000000002E-2</v>
      </c>
      <c r="I38" s="189">
        <v>4.2045E-4</v>
      </c>
      <c r="J38" s="189">
        <v>1.9558140000000002E-2</v>
      </c>
      <c r="L38" s="134" t="s">
        <v>507</v>
      </c>
      <c r="M38" s="11" t="s">
        <v>31</v>
      </c>
      <c r="N38" s="185">
        <f t="shared" si="18"/>
        <v>0.24289934531627316</v>
      </c>
      <c r="O38" s="185">
        <f t="shared" si="15"/>
        <v>0.73514679723204224</v>
      </c>
      <c r="P38" s="185">
        <f t="shared" si="15"/>
        <v>0</v>
      </c>
      <c r="Q38" s="185">
        <f t="shared" si="15"/>
        <v>1.2776676563394521E-2</v>
      </c>
      <c r="R38" s="185">
        <f t="shared" si="15"/>
        <v>1.9313403520876871E-4</v>
      </c>
      <c r="S38" s="185">
        <f t="shared" si="15"/>
        <v>8.9840468530812886E-3</v>
      </c>
      <c r="T38" s="207"/>
      <c r="AE38" s="134" t="s">
        <v>598</v>
      </c>
      <c r="AF38" s="193">
        <f>AF37/$AF36</f>
        <v>0.1695584171323373</v>
      </c>
      <c r="AG38" s="193">
        <f t="shared" ref="AG38:AJ38" si="21">AG37/$AF36</f>
        <v>0.28688693047894392</v>
      </c>
      <c r="AH38" s="193">
        <f t="shared" si="21"/>
        <v>1.4973009489116595E-2</v>
      </c>
      <c r="AI38" s="193">
        <f t="shared" si="21"/>
        <v>-1.4652222529985551E-2</v>
      </c>
      <c r="AJ38" s="193">
        <f t="shared" si="21"/>
        <v>0.54323386542958774</v>
      </c>
      <c r="AM38" s="186" t="s">
        <v>598</v>
      </c>
      <c r="AN38" s="193">
        <f>AN37/$AN$36</f>
        <v>0.34546310829989058</v>
      </c>
      <c r="AO38" s="193">
        <f t="shared" ref="AO38:AQ38" si="22">AO37/$AN$36</f>
        <v>1.8030177917406472E-2</v>
      </c>
      <c r="AP38" s="193">
        <f t="shared" si="22"/>
        <v>-1.7643893119355644E-2</v>
      </c>
      <c r="AQ38" s="193">
        <f t="shared" si="22"/>
        <v>0.65415060690205862</v>
      </c>
    </row>
    <row r="39" spans="2:43" x14ac:dyDescent="0.25">
      <c r="AE39" s="318" t="str">
        <f>$B$25</f>
        <v>Non-carcinogens</v>
      </c>
      <c r="AF39" s="15">
        <f>D6</f>
        <v>5.8400012600000002</v>
      </c>
      <c r="AG39" s="15">
        <f>AN39*Calculations!$C$47</f>
        <v>4.7112804425923933</v>
      </c>
      <c r="AH39" s="15">
        <f>AO39*Calculations!$C$47</f>
        <v>1.2515985541120447</v>
      </c>
      <c r="AI39" s="15">
        <f>AP39*Calculations!$C$47</f>
        <v>1.234918020623774</v>
      </c>
      <c r="AJ39" s="15">
        <f>AQ39*Calculations!$C$47</f>
        <v>1.2533011691559015</v>
      </c>
      <c r="AM39" s="318" t="str">
        <f>$B$25</f>
        <v>Non-carcinogens</v>
      </c>
      <c r="AN39" s="15">
        <f>D25</f>
        <v>1.5519472581699998</v>
      </c>
      <c r="AO39" s="15">
        <f>D44</f>
        <v>0.41229023999999992</v>
      </c>
      <c r="AP39" s="15">
        <f>D63</f>
        <v>0.40679548999999993</v>
      </c>
      <c r="AQ39" s="15">
        <f>D82</f>
        <v>0.41285109999999997</v>
      </c>
    </row>
    <row r="40" spans="2:43" x14ac:dyDescent="0.25">
      <c r="B40" s="320" t="s">
        <v>716</v>
      </c>
      <c r="C40" s="321"/>
      <c r="D40" s="321"/>
      <c r="E40" s="321"/>
      <c r="F40" s="321"/>
      <c r="G40" s="321"/>
      <c r="H40" s="321"/>
      <c r="I40" s="321"/>
      <c r="J40" s="321"/>
      <c r="K40" s="322"/>
      <c r="AE40" s="318"/>
      <c r="AF40" s="15">
        <f>AF39-AG39</f>
        <v>1.1287208174076069</v>
      </c>
      <c r="AG40" s="15">
        <f>AG39-AH39</f>
        <v>3.4596818884803486</v>
      </c>
      <c r="AH40" s="15">
        <f t="shared" ref="AH40:AJ40" si="23">AH39-AI39</f>
        <v>1.6680533488270699E-2</v>
      </c>
      <c r="AI40" s="15">
        <f t="shared" si="23"/>
        <v>-1.8383148532127525E-2</v>
      </c>
      <c r="AJ40" s="15">
        <f t="shared" si="23"/>
        <v>1.2533011691559015</v>
      </c>
      <c r="AM40" s="318"/>
      <c r="AN40" s="15">
        <f>AN39-AO39</f>
        <v>1.1396570181699999</v>
      </c>
      <c r="AO40" s="15">
        <f t="shared" ref="AO40:AQ40" si="24">AO39-AP39</f>
        <v>5.4947499999999927E-3</v>
      </c>
      <c r="AP40" s="15">
        <f t="shared" si="24"/>
        <v>-6.0556100000000446E-3</v>
      </c>
      <c r="AQ40" s="15">
        <f t="shared" si="24"/>
        <v>0.41285109999999997</v>
      </c>
    </row>
    <row r="41" spans="2:43" ht="30" x14ac:dyDescent="0.25">
      <c r="AE41" s="134" t="s">
        <v>598</v>
      </c>
      <c r="AF41" s="193">
        <f>AF40/$AF39</f>
        <v>0.193274070870253</v>
      </c>
      <c r="AG41" s="193">
        <f t="shared" ref="AG41:AJ41" si="25">AG40/$AF39</f>
        <v>0.59241115445929693</v>
      </c>
      <c r="AH41" s="193">
        <f t="shared" si="25"/>
        <v>2.8562551180461044E-3</v>
      </c>
      <c r="AI41" s="193">
        <f t="shared" si="25"/>
        <v>-3.1477987270378642E-3</v>
      </c>
      <c r="AJ41" s="193">
        <f t="shared" si="25"/>
        <v>0.21460631827944185</v>
      </c>
      <c r="AM41" s="186" t="s">
        <v>598</v>
      </c>
      <c r="AN41" s="193">
        <f>AN40/$AN$39</f>
        <v>0.73434004420603982</v>
      </c>
      <c r="AO41" s="193">
        <f t="shared" ref="AO41:AQ41" si="26">AO40/$AN$39</f>
        <v>3.5405520200984175E-3</v>
      </c>
      <c r="AP41" s="193">
        <f t="shared" si="26"/>
        <v>-3.9019431672830179E-3</v>
      </c>
      <c r="AQ41" s="193">
        <f t="shared" si="26"/>
        <v>0.26602134694114482</v>
      </c>
    </row>
    <row r="42" spans="2:43" ht="30.95" customHeight="1" x14ac:dyDescent="0.25">
      <c r="B42" s="167" t="s">
        <v>569</v>
      </c>
      <c r="C42" s="167" t="s">
        <v>365</v>
      </c>
      <c r="D42" s="167" t="s">
        <v>223</v>
      </c>
      <c r="E42" s="167" t="s">
        <v>493</v>
      </c>
      <c r="F42" s="167" t="s">
        <v>572</v>
      </c>
      <c r="H42" s="133" t="s">
        <v>569</v>
      </c>
      <c r="I42" s="133" t="s">
        <v>365</v>
      </c>
      <c r="J42" s="167" t="s">
        <v>493</v>
      </c>
      <c r="K42" s="167" t="s">
        <v>572</v>
      </c>
      <c r="AE42" s="318" t="str">
        <f>$B$26</f>
        <v>Respiratory inorganics</v>
      </c>
      <c r="AF42" s="15">
        <f>D7</f>
        <v>0.20270001700000001</v>
      </c>
      <c r="AG42" s="15">
        <f>AN42*Calculations!$C$47</f>
        <v>0.16272975084262178</v>
      </c>
      <c r="AH42" s="15">
        <f>AO42*Calculations!$C$47</f>
        <v>8.759129594973801E-2</v>
      </c>
      <c r="AI42" s="15">
        <f>AP42*Calculations!$C$47</f>
        <v>8.3861182893024286E-2</v>
      </c>
      <c r="AJ42" s="15">
        <f>AQ42*Calculations!$C$47</f>
        <v>9.0639069771334832E-2</v>
      </c>
      <c r="AM42" s="318" t="str">
        <f>$B$26</f>
        <v>Respiratory inorganics</v>
      </c>
      <c r="AN42" s="15">
        <f>D26</f>
        <v>5.3604958083100007E-2</v>
      </c>
      <c r="AO42" s="15">
        <f>D45</f>
        <v>2.8853530000000002E-2</v>
      </c>
      <c r="AP42" s="15">
        <f>D64</f>
        <v>2.7624790000000003E-2</v>
      </c>
      <c r="AQ42" s="15">
        <f>D83</f>
        <v>2.9857500000000002E-2</v>
      </c>
    </row>
    <row r="43" spans="2:43" ht="18" x14ac:dyDescent="0.25">
      <c r="B43" s="134" t="s">
        <v>495</v>
      </c>
      <c r="C43" s="11" t="s">
        <v>564</v>
      </c>
      <c r="D43" s="15">
        <f>SUM(E43:F43)</f>
        <v>0.52856400000000003</v>
      </c>
      <c r="E43" s="189">
        <f>D62</f>
        <v>0.51400393</v>
      </c>
      <c r="F43" s="189">
        <v>1.456007E-2</v>
      </c>
      <c r="H43" s="134" t="s">
        <v>495</v>
      </c>
      <c r="I43" s="11" t="s">
        <v>31</v>
      </c>
      <c r="J43" s="185">
        <f>E43/$D43</f>
        <v>0.97245353448210614</v>
      </c>
      <c r="K43" s="185">
        <f>F43/$D43</f>
        <v>2.7546465517893762E-2</v>
      </c>
      <c r="AE43" s="318"/>
      <c r="AF43" s="15">
        <f>AF42-AG42</f>
        <v>3.9970266157378226E-2</v>
      </c>
      <c r="AG43" s="15">
        <f>AG42-AH42</f>
        <v>7.5138454892883774E-2</v>
      </c>
      <c r="AH43" s="15">
        <f t="shared" ref="AH43:AJ43" si="27">AH42-AI42</f>
        <v>3.7301130567137242E-3</v>
      </c>
      <c r="AI43" s="15">
        <f t="shared" si="27"/>
        <v>-6.7778868783105461E-3</v>
      </c>
      <c r="AJ43" s="15">
        <f t="shared" si="27"/>
        <v>9.0639069771334832E-2</v>
      </c>
      <c r="AM43" s="318"/>
      <c r="AN43" s="15">
        <f>AN42-AO42</f>
        <v>2.4751428083100005E-2</v>
      </c>
      <c r="AO43" s="15">
        <f t="shared" ref="AO43:AQ43" si="28">AO42-AP42</f>
        <v>1.228739999999999E-3</v>
      </c>
      <c r="AP43" s="15">
        <f t="shared" si="28"/>
        <v>-2.2327099999999989E-3</v>
      </c>
      <c r="AQ43" s="15">
        <f t="shared" si="28"/>
        <v>2.9857500000000002E-2</v>
      </c>
    </row>
    <row r="44" spans="2:43" ht="30" x14ac:dyDescent="0.25">
      <c r="B44" s="134" t="s">
        <v>496</v>
      </c>
      <c r="C44" s="11" t="s">
        <v>564</v>
      </c>
      <c r="D44" s="15">
        <f t="shared" ref="D44:D57" si="29">SUM(E44:F44)</f>
        <v>0.41229023999999992</v>
      </c>
      <c r="E44" s="189">
        <f t="shared" ref="E44:E57" si="30">D63</f>
        <v>0.40679548999999993</v>
      </c>
      <c r="F44" s="189">
        <v>5.4947499999999996E-3</v>
      </c>
      <c r="H44" s="134" t="s">
        <v>496</v>
      </c>
      <c r="I44" s="11" t="s">
        <v>31</v>
      </c>
      <c r="J44" s="185">
        <f t="shared" ref="J44:K57" si="31">E44/$D44</f>
        <v>0.98667261684390106</v>
      </c>
      <c r="K44" s="185">
        <f t="shared" si="31"/>
        <v>1.3327383156098967E-2</v>
      </c>
      <c r="AE44" s="134" t="s">
        <v>598</v>
      </c>
      <c r="AF44" s="193">
        <f>AF43/$AF42</f>
        <v>0.19718925902891377</v>
      </c>
      <c r="AG44" s="193">
        <f t="shared" ref="AG44:AJ44" si="32">AG43/$AF42</f>
        <v>0.37068795555593748</v>
      </c>
      <c r="AH44" s="193">
        <f t="shared" si="32"/>
        <v>1.8402134898260637E-2</v>
      </c>
      <c r="AI44" s="193">
        <f t="shared" si="32"/>
        <v>-3.343801830224092E-2</v>
      </c>
      <c r="AJ44" s="193">
        <f t="shared" si="32"/>
        <v>0.44715866881912902</v>
      </c>
      <c r="AM44" s="186" t="s">
        <v>598</v>
      </c>
      <c r="AN44" s="193">
        <f>AN43/$AN$42</f>
        <v>0.46173766323498661</v>
      </c>
      <c r="AO44" s="193">
        <f t="shared" ref="AO44:AQ44" si="33">AO43/$AN$42</f>
        <v>2.2922133398466042E-2</v>
      </c>
      <c r="AP44" s="193">
        <f t="shared" si="33"/>
        <v>-4.1651184514290361E-2</v>
      </c>
      <c r="AQ44" s="193">
        <f t="shared" si="33"/>
        <v>0.55699138788083769</v>
      </c>
    </row>
    <row r="45" spans="2:43" x14ac:dyDescent="0.25">
      <c r="B45" s="134" t="s">
        <v>497</v>
      </c>
      <c r="C45" s="11" t="s">
        <v>512</v>
      </c>
      <c r="D45" s="15">
        <f t="shared" si="29"/>
        <v>2.8853530000000002E-2</v>
      </c>
      <c r="E45" s="189">
        <f t="shared" si="30"/>
        <v>2.7624790000000003E-2</v>
      </c>
      <c r="F45" s="189">
        <v>1.2287400000000001E-3</v>
      </c>
      <c r="H45" s="134" t="s">
        <v>497</v>
      </c>
      <c r="I45" s="11" t="s">
        <v>31</v>
      </c>
      <c r="J45" s="185">
        <f t="shared" si="31"/>
        <v>0.95741456937851277</v>
      </c>
      <c r="K45" s="185">
        <f t="shared" si="31"/>
        <v>4.2585430621487216E-2</v>
      </c>
      <c r="AE45" s="318" t="str">
        <f>$B$27</f>
        <v>Ionizing radiation</v>
      </c>
      <c r="AF45" s="15">
        <f>D8</f>
        <v>4001.0115999999998</v>
      </c>
      <c r="AG45" s="15">
        <f>AN45*Calculations!$C$47</f>
        <v>3471.7531309423198</v>
      </c>
      <c r="AH45" s="15">
        <f>AO45*Calculations!$C$47</f>
        <v>2898.7801596983945</v>
      </c>
      <c r="AI45" s="15">
        <f>AP45*Calculations!$C$47</f>
        <v>2765.5717209454888</v>
      </c>
      <c r="AJ45" s="15">
        <f>AQ45*Calculations!$C$47</f>
        <v>2682.6763730441958</v>
      </c>
      <c r="AM45" s="318" t="str">
        <f>$B$27</f>
        <v>Ionizing radiation</v>
      </c>
      <c r="AN45" s="15">
        <f>D27</f>
        <v>1143.6334173399998</v>
      </c>
      <c r="AO45" s="15">
        <f>D46</f>
        <v>954.88985971</v>
      </c>
      <c r="AP45" s="15">
        <f>D65</f>
        <v>911.00954440999999</v>
      </c>
      <c r="AQ45" s="15">
        <f>D84</f>
        <v>883.70291100999998</v>
      </c>
    </row>
    <row r="46" spans="2:43" x14ac:dyDescent="0.25">
      <c r="B46" s="134" t="s">
        <v>561</v>
      </c>
      <c r="C46" s="11" t="s">
        <v>513</v>
      </c>
      <c r="D46" s="15">
        <f t="shared" si="29"/>
        <v>954.88985971</v>
      </c>
      <c r="E46" s="189">
        <f t="shared" si="30"/>
        <v>911.00954440999999</v>
      </c>
      <c r="F46" s="189">
        <v>43.880315299999999</v>
      </c>
      <c r="H46" s="134" t="s">
        <v>561</v>
      </c>
      <c r="I46" s="11" t="s">
        <v>31</v>
      </c>
      <c r="J46" s="185">
        <f t="shared" si="31"/>
        <v>0.9540467260660549</v>
      </c>
      <c r="K46" s="185">
        <f t="shared" si="31"/>
        <v>4.5953273933945063E-2</v>
      </c>
      <c r="AE46" s="318"/>
      <c r="AF46" s="15">
        <f>AF45-AG45</f>
        <v>529.25846905768003</v>
      </c>
      <c r="AG46" s="15">
        <f>AG45-AH45</f>
        <v>572.97297124392526</v>
      </c>
      <c r="AH46" s="15">
        <f t="shared" ref="AH46:AJ46" si="34">AH45-AI45</f>
        <v>133.20843875290575</v>
      </c>
      <c r="AI46" s="15">
        <f t="shared" si="34"/>
        <v>82.895347901293007</v>
      </c>
      <c r="AJ46" s="15">
        <f t="shared" si="34"/>
        <v>2682.6763730441958</v>
      </c>
      <c r="AM46" s="318"/>
      <c r="AN46" s="15">
        <f>AN45-AO45</f>
        <v>188.74355762999983</v>
      </c>
      <c r="AO46" s="15">
        <f t="shared" ref="AO46:AQ46" si="35">AO45-AP45</f>
        <v>43.880315300000007</v>
      </c>
      <c r="AP46" s="15">
        <f t="shared" si="35"/>
        <v>27.30663340000001</v>
      </c>
      <c r="AQ46" s="15">
        <f t="shared" si="35"/>
        <v>883.70291100999998</v>
      </c>
    </row>
    <row r="47" spans="2:43" ht="30" x14ac:dyDescent="0.25">
      <c r="B47" s="134" t="s">
        <v>498</v>
      </c>
      <c r="C47" s="11" t="s">
        <v>514</v>
      </c>
      <c r="D47" s="15">
        <f t="shared" si="29"/>
        <v>4.2526120000000001E-6</v>
      </c>
      <c r="E47" s="189">
        <f t="shared" si="30"/>
        <v>4.1224620000000001E-6</v>
      </c>
      <c r="F47" s="189">
        <v>1.3015000000000001E-7</v>
      </c>
      <c r="H47" s="134" t="s">
        <v>498</v>
      </c>
      <c r="I47" s="11" t="s">
        <v>31</v>
      </c>
      <c r="J47" s="185">
        <f t="shared" si="31"/>
        <v>0.96939527988915986</v>
      </c>
      <c r="K47" s="185">
        <f t="shared" si="31"/>
        <v>3.0604720110840117E-2</v>
      </c>
      <c r="AE47" s="134" t="s">
        <v>598</v>
      </c>
      <c r="AF47" s="193">
        <f>AF46/$AF45</f>
        <v>0.13228116335820672</v>
      </c>
      <c r="AG47" s="193">
        <f t="shared" ref="AG47:AJ47" si="36">AG46/$AF45</f>
        <v>0.1432070257541681</v>
      </c>
      <c r="AH47" s="193">
        <f t="shared" si="36"/>
        <v>3.3293689714097741E-2</v>
      </c>
      <c r="AI47" s="193">
        <f t="shared" si="36"/>
        <v>2.0718597242080732E-2</v>
      </c>
      <c r="AJ47" s="193">
        <f t="shared" si="36"/>
        <v>0.67049952393144674</v>
      </c>
      <c r="AM47" s="186" t="s">
        <v>598</v>
      </c>
      <c r="AN47" s="193">
        <f>AN46/$AN45</f>
        <v>0.16503851213879558</v>
      </c>
      <c r="AO47" s="193">
        <f t="shared" ref="AO47:AQ47" si="37">AO46/$AN45</f>
        <v>3.8369213975980275E-2</v>
      </c>
      <c r="AP47" s="193">
        <f t="shared" si="37"/>
        <v>2.3877085949021201E-2</v>
      </c>
      <c r="AQ47" s="193">
        <f t="shared" si="37"/>
        <v>0.77271518793620297</v>
      </c>
    </row>
    <row r="48" spans="2:43" ht="16.5" customHeight="1" x14ac:dyDescent="0.25">
      <c r="B48" s="134" t="s">
        <v>499</v>
      </c>
      <c r="C48" s="11" t="s">
        <v>565</v>
      </c>
      <c r="D48" s="15">
        <f t="shared" si="29"/>
        <v>7.3397100000000002E-3</v>
      </c>
      <c r="E48" s="189">
        <f t="shared" si="30"/>
        <v>7.2275300000000002E-3</v>
      </c>
      <c r="F48" s="189">
        <v>1.1218E-4</v>
      </c>
      <c r="H48" s="134" t="s">
        <v>499</v>
      </c>
      <c r="I48" s="11" t="s">
        <v>31</v>
      </c>
      <c r="J48" s="185">
        <f t="shared" si="31"/>
        <v>0.98471601739033288</v>
      </c>
      <c r="K48" s="185">
        <f t="shared" si="31"/>
        <v>1.5283982609667139E-2</v>
      </c>
      <c r="AE48" s="318" t="str">
        <f>$B$28</f>
        <v>Ozone layer depletion</v>
      </c>
      <c r="AF48" s="15">
        <f>D9</f>
        <v>2.9400000000041999E-5</v>
      </c>
      <c r="AG48" s="15">
        <f>AN48*Calculations!$C$47</f>
        <v>1.7714542599828068E-5</v>
      </c>
      <c r="AH48" s="15">
        <f>AO48*Calculations!$C$47</f>
        <v>1.2909747828130812E-5</v>
      </c>
      <c r="AI48" s="15">
        <f>AP48*Calculations!$C$47</f>
        <v>1.2514648609149343E-5</v>
      </c>
      <c r="AJ48" s="15">
        <f>AQ48*Calculations!$C$47</f>
        <v>1.2331175642596886E-5</v>
      </c>
      <c r="AM48" s="318" t="str">
        <f>$B$28</f>
        <v>Ozone layer depletion</v>
      </c>
      <c r="AN48" s="15">
        <f>D28</f>
        <v>5.8353639000125564E-6</v>
      </c>
      <c r="AO48" s="15">
        <f>D47</f>
        <v>4.2526120000000001E-6</v>
      </c>
      <c r="AP48" s="15">
        <f>D66</f>
        <v>4.1224620000000001E-6</v>
      </c>
      <c r="AQ48" s="15">
        <f>D85</f>
        <v>4.0620240000000001E-6</v>
      </c>
    </row>
    <row r="49" spans="2:43" x14ac:dyDescent="0.25">
      <c r="B49" s="134" t="s">
        <v>500</v>
      </c>
      <c r="C49" s="11" t="s">
        <v>515</v>
      </c>
      <c r="D49" s="15">
        <f t="shared" si="29"/>
        <v>1890.9197110999999</v>
      </c>
      <c r="E49" s="189">
        <f t="shared" si="30"/>
        <v>1839.9431981999999</v>
      </c>
      <c r="F49" s="189">
        <v>50.976512900000003</v>
      </c>
      <c r="H49" s="134" t="s">
        <v>500</v>
      </c>
      <c r="I49" s="11" t="s">
        <v>31</v>
      </c>
      <c r="J49" s="185">
        <f t="shared" si="31"/>
        <v>0.9730414186277927</v>
      </c>
      <c r="K49" s="185">
        <f t="shared" si="31"/>
        <v>2.6958581372207267E-2</v>
      </c>
      <c r="AE49" s="318"/>
      <c r="AF49" s="15">
        <f>AF48-AG48</f>
        <v>1.1685457400213931E-5</v>
      </c>
      <c r="AG49" s="15">
        <f>AG48-AH48</f>
        <v>4.8047947716972563E-6</v>
      </c>
      <c r="AH49" s="15">
        <f t="shared" ref="AH49:AJ49" si="38">AH48-AI48</f>
        <v>3.950992189814691E-7</v>
      </c>
      <c r="AI49" s="15">
        <f t="shared" si="38"/>
        <v>1.8347296655245649E-7</v>
      </c>
      <c r="AJ49" s="15">
        <f t="shared" si="38"/>
        <v>1.2331175642596886E-5</v>
      </c>
      <c r="AM49" s="318"/>
      <c r="AN49" s="15">
        <f>AN48-AO48</f>
        <v>1.5827519000125563E-6</v>
      </c>
      <c r="AO49" s="15">
        <f t="shared" ref="AO49:AQ49" si="39">AO48-AP48</f>
        <v>1.3014999999999993E-7</v>
      </c>
      <c r="AP49" s="15">
        <f t="shared" si="39"/>
        <v>6.0438000000000081E-8</v>
      </c>
      <c r="AQ49" s="15">
        <f t="shared" si="39"/>
        <v>4.0620240000000001E-6</v>
      </c>
    </row>
    <row r="50" spans="2:43" ht="30" x14ac:dyDescent="0.25">
      <c r="B50" s="134" t="s">
        <v>562</v>
      </c>
      <c r="C50" s="11" t="s">
        <v>516</v>
      </c>
      <c r="D50" s="15">
        <f t="shared" si="29"/>
        <v>859.66789189999997</v>
      </c>
      <c r="E50" s="189">
        <f t="shared" si="30"/>
        <v>847.48364370000002</v>
      </c>
      <c r="F50" s="189">
        <v>12.184248200000001</v>
      </c>
      <c r="H50" s="134" t="s">
        <v>562</v>
      </c>
      <c r="I50" s="11" t="s">
        <v>31</v>
      </c>
      <c r="J50" s="185">
        <f t="shared" si="31"/>
        <v>0.98582679623747393</v>
      </c>
      <c r="K50" s="185">
        <f t="shared" si="31"/>
        <v>1.4173203762526147E-2</v>
      </c>
      <c r="AE50" s="134" t="s">
        <v>598</v>
      </c>
      <c r="AF50" s="193">
        <f>AF49/$AF48</f>
        <v>0.39746453742167476</v>
      </c>
      <c r="AG50" s="193">
        <f t="shared" ref="AG50:AJ50" si="40">AG49/$AF48</f>
        <v>0.16342839359491132</v>
      </c>
      <c r="AH50" s="193">
        <f t="shared" si="40"/>
        <v>1.3438748944928731E-2</v>
      </c>
      <c r="AI50" s="193">
        <f t="shared" si="40"/>
        <v>6.2405770936120545E-3</v>
      </c>
      <c r="AJ50" s="193">
        <f t="shared" si="40"/>
        <v>0.41942774294487317</v>
      </c>
      <c r="AM50" s="186" t="s">
        <v>598</v>
      </c>
      <c r="AN50" s="193">
        <f>AN49/$AN48</f>
        <v>0.27123448119647697</v>
      </c>
      <c r="AO50" s="193">
        <f t="shared" ref="AO50:AQ50" si="41">AO49/$AN48</f>
        <v>2.2303664729413E-2</v>
      </c>
      <c r="AP50" s="193">
        <f t="shared" si="41"/>
        <v>1.0357194690098081E-2</v>
      </c>
      <c r="AQ50" s="193">
        <f t="shared" si="41"/>
        <v>0.69610465938401189</v>
      </c>
    </row>
    <row r="51" spans="2:43" ht="18" x14ac:dyDescent="0.25">
      <c r="B51" s="134" t="s">
        <v>501</v>
      </c>
      <c r="C51" s="11" t="s">
        <v>566</v>
      </c>
      <c r="D51" s="15">
        <f t="shared" si="29"/>
        <v>0.46298538</v>
      </c>
      <c r="E51" s="189">
        <f t="shared" si="30"/>
        <v>0.44382904000000001</v>
      </c>
      <c r="F51" s="189">
        <v>1.9156340000000001E-2</v>
      </c>
      <c r="H51" s="134" t="s">
        <v>501</v>
      </c>
      <c r="I51" s="11" t="s">
        <v>31</v>
      </c>
      <c r="J51" s="185">
        <f t="shared" si="31"/>
        <v>0.9586243090440566</v>
      </c>
      <c r="K51" s="185">
        <f t="shared" si="31"/>
        <v>4.1375690955943359E-2</v>
      </c>
      <c r="AE51" s="318" t="str">
        <f>$B$29</f>
        <v>Respiratory organics</v>
      </c>
      <c r="AF51" s="15">
        <f>D10</f>
        <v>6.8500299000000001E-2</v>
      </c>
      <c r="AG51" s="15">
        <f>AN51*Calculations!$C$47</f>
        <v>3.9492100254971248E-2</v>
      </c>
      <c r="AH51" s="15">
        <f>AO51*Calculations!$C$47</f>
        <v>2.2281319159050957E-2</v>
      </c>
      <c r="AI51" s="15">
        <f>AP51*Calculations!$C$47</f>
        <v>2.1940771864503578E-2</v>
      </c>
      <c r="AJ51" s="15">
        <f>AQ51*Calculations!$C$47</f>
        <v>2.2072916843391504E-2</v>
      </c>
      <c r="AM51" s="318" t="str">
        <f>$B$29</f>
        <v>Respiratory organics</v>
      </c>
      <c r="AN51" s="15">
        <f>D29</f>
        <v>1.3009129356E-2</v>
      </c>
      <c r="AO51" s="15">
        <f>D48</f>
        <v>7.3397100000000002E-3</v>
      </c>
      <c r="AP51" s="15">
        <f>D67</f>
        <v>7.2275300000000002E-3</v>
      </c>
      <c r="AQ51" s="15">
        <f>D86</f>
        <v>7.2710600000000002E-3</v>
      </c>
    </row>
    <row r="52" spans="2:43" x14ac:dyDescent="0.25">
      <c r="B52" s="134" t="s">
        <v>502</v>
      </c>
      <c r="C52" s="11" t="s">
        <v>563</v>
      </c>
      <c r="D52" s="15">
        <f t="shared" si="29"/>
        <v>0.61626373000000001</v>
      </c>
      <c r="E52" s="189">
        <f t="shared" si="30"/>
        <v>0.60289475000000003</v>
      </c>
      <c r="F52" s="189">
        <v>1.3368980000000001E-2</v>
      </c>
      <c r="H52" s="134" t="s">
        <v>502</v>
      </c>
      <c r="I52" s="11" t="s">
        <v>31</v>
      </c>
      <c r="J52" s="185">
        <f t="shared" si="31"/>
        <v>0.97830639813899156</v>
      </c>
      <c r="K52" s="185">
        <f t="shared" si="31"/>
        <v>2.1693601861008438E-2</v>
      </c>
      <c r="AE52" s="318"/>
      <c r="AF52" s="15">
        <f>AF51-AG51</f>
        <v>2.9008198745028753E-2</v>
      </c>
      <c r="AG52" s="15">
        <f>AG51-AH51</f>
        <v>1.721078109592029E-2</v>
      </c>
      <c r="AH52" s="15">
        <f t="shared" ref="AH52:AJ52" si="42">AH51-AI51</f>
        <v>3.4054729454737961E-4</v>
      </c>
      <c r="AI52" s="15">
        <f t="shared" si="42"/>
        <v>-1.3214497888792628E-4</v>
      </c>
      <c r="AJ52" s="15">
        <f t="shared" si="42"/>
        <v>2.2072916843391504E-2</v>
      </c>
      <c r="AM52" s="318"/>
      <c r="AN52" s="15">
        <f>AN51-AO51</f>
        <v>5.6694193559999996E-3</v>
      </c>
      <c r="AO52" s="15">
        <f t="shared" ref="AO52:AQ52" si="43">AO51-AP51</f>
        <v>1.1217999999999992E-4</v>
      </c>
      <c r="AP52" s="15">
        <f t="shared" si="43"/>
        <v>-4.3529999999999958E-5</v>
      </c>
      <c r="AQ52" s="15">
        <f t="shared" si="43"/>
        <v>7.2710600000000002E-3</v>
      </c>
    </row>
    <row r="53" spans="2:43" ht="30" x14ac:dyDescent="0.25">
      <c r="B53" s="134" t="s">
        <v>503</v>
      </c>
      <c r="C53" s="11" t="s">
        <v>566</v>
      </c>
      <c r="D53" s="15">
        <f t="shared" si="29"/>
        <v>215.13053783000001</v>
      </c>
      <c r="E53" s="189">
        <f t="shared" si="30"/>
        <v>215.12397003000001</v>
      </c>
      <c r="F53" s="189">
        <v>6.5678000000000004E-3</v>
      </c>
      <c r="H53" s="134" t="s">
        <v>503</v>
      </c>
      <c r="I53" s="11" t="s">
        <v>31</v>
      </c>
      <c r="J53" s="185">
        <f t="shared" si="31"/>
        <v>0.9999694706290132</v>
      </c>
      <c r="K53" s="185">
        <f t="shared" si="31"/>
        <v>3.0529370986791253E-5</v>
      </c>
      <c r="AE53" s="134" t="s">
        <v>598</v>
      </c>
      <c r="AF53" s="193">
        <f>AF52/$AF51</f>
        <v>0.42347550548689944</v>
      </c>
      <c r="AG53" s="193">
        <f t="shared" ref="AG53:AJ53" si="44">AG52/$AF51</f>
        <v>0.25125118207031899</v>
      </c>
      <c r="AH53" s="193">
        <f t="shared" si="44"/>
        <v>4.9714716507643216E-3</v>
      </c>
      <c r="AI53" s="193">
        <f t="shared" si="44"/>
        <v>-1.9291153588676493E-3</v>
      </c>
      <c r="AJ53" s="193">
        <f t="shared" si="44"/>
        <v>0.32223095615088487</v>
      </c>
      <c r="AM53" s="186" t="s">
        <v>598</v>
      </c>
      <c r="AN53" s="193">
        <f>AN52/$AN51</f>
        <v>0.43580313492579587</v>
      </c>
      <c r="AO53" s="193">
        <f t="shared" ref="AO53:AQ53" si="45">AO52/$AN51</f>
        <v>8.6231750742228469E-3</v>
      </c>
      <c r="AP53" s="193">
        <f t="shared" si="45"/>
        <v>-3.346111704233557E-3</v>
      </c>
      <c r="AQ53" s="193">
        <f t="shared" si="45"/>
        <v>0.55891980170421485</v>
      </c>
    </row>
    <row r="54" spans="2:43" ht="18" x14ac:dyDescent="0.25">
      <c r="B54" s="134" t="s">
        <v>504</v>
      </c>
      <c r="C54" s="11" t="s">
        <v>567</v>
      </c>
      <c r="D54" s="15">
        <f t="shared" si="29"/>
        <v>4.0440889999999998E-3</v>
      </c>
      <c r="E54" s="189">
        <f t="shared" si="30"/>
        <v>3.9201990000000001E-3</v>
      </c>
      <c r="F54" s="189">
        <v>1.2389000000000001E-4</v>
      </c>
      <c r="H54" s="134" t="s">
        <v>504</v>
      </c>
      <c r="I54" s="11" t="s">
        <v>31</v>
      </c>
      <c r="J54" s="185">
        <f t="shared" si="31"/>
        <v>0.96936516481214929</v>
      </c>
      <c r="K54" s="185">
        <f t="shared" si="31"/>
        <v>3.0634835187850717E-2</v>
      </c>
      <c r="AE54" s="318" t="str">
        <f>$B$30</f>
        <v>Aquatic ecotoxicity</v>
      </c>
      <c r="AF54" s="15">
        <f>D11</f>
        <v>15290.539000000001</v>
      </c>
      <c r="AG54" s="15">
        <f>AN54*Calculations!$C$47</f>
        <v>9704.9168393496439</v>
      </c>
      <c r="AH54" s="15">
        <f>AO54*Calculations!$C$47</f>
        <v>5740.3065771208294</v>
      </c>
      <c r="AI54" s="15">
        <f>AP54*Calculations!$C$47</f>
        <v>5585.5560551601011</v>
      </c>
      <c r="AJ54" s="15">
        <f>AQ54*Calculations!$C$47</f>
        <v>5585.5566905367168</v>
      </c>
      <c r="AM54" s="318" t="str">
        <f>$B$30</f>
        <v>Aquatic ecotoxicity</v>
      </c>
      <c r="AN54" s="15">
        <f>D30</f>
        <v>3196.90565295852</v>
      </c>
      <c r="AO54" s="15">
        <f>D49</f>
        <v>1890.9197110999999</v>
      </c>
      <c r="AP54" s="15">
        <f>D68</f>
        <v>1839.9431981999999</v>
      </c>
      <c r="AQ54" s="15">
        <f>D87</f>
        <v>1839.9434074999999</v>
      </c>
    </row>
    <row r="55" spans="2:43" ht="18" x14ac:dyDescent="0.25">
      <c r="B55" s="176" t="s">
        <v>505</v>
      </c>
      <c r="C55" s="165" t="s">
        <v>578</v>
      </c>
      <c r="D55" s="195">
        <f t="shared" si="29"/>
        <v>28.32683561</v>
      </c>
      <c r="E55" s="196">
        <f t="shared" si="30"/>
        <v>27.367950669999999</v>
      </c>
      <c r="F55" s="196">
        <v>0.95888494000000002</v>
      </c>
      <c r="H55" s="134" t="s">
        <v>505</v>
      </c>
      <c r="I55" s="11" t="s">
        <v>31</v>
      </c>
      <c r="J55" s="185">
        <f t="shared" si="31"/>
        <v>0.96614923907485473</v>
      </c>
      <c r="K55" s="185">
        <f t="shared" si="31"/>
        <v>3.3850760925145218E-2</v>
      </c>
      <c r="AE55" s="318"/>
      <c r="AF55" s="15">
        <f>AF54-AG54</f>
        <v>5585.6221606503568</v>
      </c>
      <c r="AG55" s="15">
        <f>AG54-AH54</f>
        <v>3964.6102622288145</v>
      </c>
      <c r="AH55" s="15">
        <f t="shared" ref="AH55:AJ55" si="46">AH54-AI54</f>
        <v>154.75052196072829</v>
      </c>
      <c r="AI55" s="15">
        <f t="shared" si="46"/>
        <v>-6.3537661571899662E-4</v>
      </c>
      <c r="AJ55" s="15">
        <f t="shared" si="46"/>
        <v>5585.5566905367168</v>
      </c>
      <c r="AM55" s="318"/>
      <c r="AN55" s="15">
        <f>AN54-AO54</f>
        <v>1305.9859418585202</v>
      </c>
      <c r="AO55" s="15">
        <f t="shared" ref="AO55:AQ55" si="47">AO54-AP54</f>
        <v>50.976512899999989</v>
      </c>
      <c r="AP55" s="15">
        <f t="shared" si="47"/>
        <v>-2.0930000005137117E-4</v>
      </c>
      <c r="AQ55" s="15">
        <f t="shared" si="47"/>
        <v>1839.9434074999999</v>
      </c>
    </row>
    <row r="56" spans="2:43" ht="30" x14ac:dyDescent="0.25">
      <c r="B56" s="134" t="s">
        <v>506</v>
      </c>
      <c r="C56" s="11" t="s">
        <v>517</v>
      </c>
      <c r="D56" s="15">
        <f t="shared" si="29"/>
        <v>540.51996207000002</v>
      </c>
      <c r="E56" s="189">
        <f t="shared" si="30"/>
        <v>520.99246847000006</v>
      </c>
      <c r="F56" s="189">
        <v>19.5274936</v>
      </c>
      <c r="H56" s="134" t="s">
        <v>506</v>
      </c>
      <c r="I56" s="11" t="s">
        <v>31</v>
      </c>
      <c r="J56" s="185">
        <f t="shared" si="31"/>
        <v>0.96387276146986955</v>
      </c>
      <c r="K56" s="185">
        <f t="shared" si="31"/>
        <v>3.6127238530130536E-2</v>
      </c>
      <c r="AE56" s="134" t="s">
        <v>598</v>
      </c>
      <c r="AF56" s="193">
        <f>AF55/$AF54</f>
        <v>0.36529923246331319</v>
      </c>
      <c r="AG56" s="193">
        <f t="shared" ref="AG56:AJ56" si="48">AG55/$AF54</f>
        <v>0.25928518688770974</v>
      </c>
      <c r="AH56" s="193">
        <f t="shared" si="48"/>
        <v>1.0120671479319878E-2</v>
      </c>
      <c r="AI56" s="193">
        <f t="shared" si="48"/>
        <v>-4.1553578701116852E-8</v>
      </c>
      <c r="AJ56" s="193">
        <f t="shared" si="48"/>
        <v>0.36529495072323587</v>
      </c>
      <c r="AM56" s="186" t="s">
        <v>598</v>
      </c>
      <c r="AN56" s="193">
        <f>AN55/$AN54</f>
        <v>0.40851563468878677</v>
      </c>
      <c r="AO56" s="193">
        <f t="shared" ref="AO56:AQ56" si="49">AO55/$AN54</f>
        <v>1.5945579392630707E-2</v>
      </c>
      <c r="AP56" s="193">
        <f t="shared" si="49"/>
        <v>-6.5469557995143895E-8</v>
      </c>
      <c r="AQ56" s="193">
        <f t="shared" si="49"/>
        <v>0.57553885138814054</v>
      </c>
    </row>
    <row r="57" spans="2:43" x14ac:dyDescent="0.25">
      <c r="B57" s="134" t="s">
        <v>507</v>
      </c>
      <c r="C57" s="11" t="s">
        <v>518</v>
      </c>
      <c r="D57" s="15">
        <f t="shared" si="29"/>
        <v>0.52878835999999996</v>
      </c>
      <c r="E57" s="189">
        <f t="shared" si="30"/>
        <v>0.51789432999999996</v>
      </c>
      <c r="F57" s="189">
        <v>1.0894030000000001E-2</v>
      </c>
      <c r="H57" s="134" t="s">
        <v>507</v>
      </c>
      <c r="I57" s="11" t="s">
        <v>31</v>
      </c>
      <c r="J57" s="185">
        <f t="shared" si="31"/>
        <v>0.97939812820388106</v>
      </c>
      <c r="K57" s="185">
        <f t="shared" si="31"/>
        <v>2.0601871796118963E-2</v>
      </c>
      <c r="AE57" s="318" t="str">
        <f>$B$31</f>
        <v>Terrestrial ecotoxicity</v>
      </c>
      <c r="AF57" s="15">
        <f>D12</f>
        <v>7990.0001140000004</v>
      </c>
      <c r="AG57" s="15">
        <f>AN57*Calculations!$C$47</f>
        <v>3859.8017581267159</v>
      </c>
      <c r="AH57" s="15">
        <f>AO57*Calculations!$C$47</f>
        <v>2609.7127366357004</v>
      </c>
      <c r="AI57" s="15">
        <f>AP57*Calculations!$C$47</f>
        <v>2572.7247462577029</v>
      </c>
      <c r="AJ57" s="15">
        <f>AQ57*Calculations!$C$47</f>
        <v>2573.8465311459981</v>
      </c>
      <c r="AM57" s="318" t="str">
        <f>$B$31</f>
        <v>Terrestrial ecotoxicity</v>
      </c>
      <c r="AN57" s="15">
        <f>D31</f>
        <v>1271.4608753599</v>
      </c>
      <c r="AO57" s="15">
        <f>D50</f>
        <v>859.66789189999997</v>
      </c>
      <c r="AP57" s="15">
        <f>D69</f>
        <v>847.48364370000002</v>
      </c>
      <c r="AQ57" s="15">
        <f>D88</f>
        <v>847.85317190000001</v>
      </c>
    </row>
    <row r="58" spans="2:43" x14ac:dyDescent="0.25">
      <c r="AE58" s="318"/>
      <c r="AF58" s="15">
        <f>AF57-AG57</f>
        <v>4130.1983558732845</v>
      </c>
      <c r="AG58" s="15">
        <f>AG57-AH57</f>
        <v>1250.0890214910155</v>
      </c>
      <c r="AH58" s="15">
        <f t="shared" ref="AH58:AJ58" si="50">AH57-AI57</f>
        <v>36.987990377997448</v>
      </c>
      <c r="AI58" s="15">
        <f t="shared" si="50"/>
        <v>-1.1217848882952239</v>
      </c>
      <c r="AJ58" s="15">
        <f t="shared" si="50"/>
        <v>2573.8465311459981</v>
      </c>
      <c r="AM58" s="318"/>
      <c r="AN58" s="15">
        <f>AN57-AO57</f>
        <v>411.79298345990003</v>
      </c>
      <c r="AO58" s="15">
        <f t="shared" ref="AO58:AQ58" si="51">AO57-AP57</f>
        <v>12.184248199999956</v>
      </c>
      <c r="AP58" s="15">
        <f t="shared" si="51"/>
        <v>-0.36952819999999065</v>
      </c>
      <c r="AQ58" s="15">
        <f t="shared" si="51"/>
        <v>847.85317190000001</v>
      </c>
    </row>
    <row r="59" spans="2:43" ht="30" x14ac:dyDescent="0.25">
      <c r="B59" s="319" t="s">
        <v>717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AE59" s="134" t="s">
        <v>598</v>
      </c>
      <c r="AF59" s="193">
        <f>AF58/$AF57</f>
        <v>0.5169209382909008</v>
      </c>
      <c r="AG59" s="193">
        <f t="shared" ref="AG59:AJ59" si="52">AG58/$AF57</f>
        <v>0.1564566963272781</v>
      </c>
      <c r="AH59" s="193">
        <f t="shared" si="52"/>
        <v>4.6292853379548086E-3</v>
      </c>
      <c r="AI59" s="193">
        <f t="shared" si="52"/>
        <v>-1.4039860729534202E-4</v>
      </c>
      <c r="AJ59" s="193">
        <f t="shared" si="52"/>
        <v>0.32213347865116165</v>
      </c>
      <c r="AM59" s="186" t="s">
        <v>598</v>
      </c>
      <c r="AN59" s="193">
        <f>AN58/$AN57</f>
        <v>0.32387389296846258</v>
      </c>
      <c r="AO59" s="193">
        <f t="shared" ref="AO59:AQ59" si="53">AO58/$AN57</f>
        <v>9.5828730841215071E-3</v>
      </c>
      <c r="AP59" s="193">
        <f t="shared" si="53"/>
        <v>-2.90632773026061E-4</v>
      </c>
      <c r="AQ59" s="193">
        <f t="shared" si="53"/>
        <v>0.66683386672044198</v>
      </c>
    </row>
    <row r="60" spans="2:43" x14ac:dyDescent="0.25">
      <c r="AE60" s="318" t="str">
        <f>$B$32</f>
        <v>Terrestrial acid/nutri</v>
      </c>
      <c r="AF60" s="15">
        <f>D13</f>
        <v>3.1370007329999998</v>
      </c>
      <c r="AG60" s="15">
        <f>AN60*Calculations!$C$47</f>
        <v>2.5778403190321377</v>
      </c>
      <c r="AH60" s="15">
        <f>AO60*Calculations!$C$47</f>
        <v>1.4054949061685662</v>
      </c>
      <c r="AI60" s="15">
        <f>AP60*Calculations!$C$47</f>
        <v>1.3473415832907831</v>
      </c>
      <c r="AJ60" s="15">
        <f>AQ60*Calculations!$C$47</f>
        <v>1.3577157078853763</v>
      </c>
      <c r="AM60" s="318" t="str">
        <f>$B$32</f>
        <v>Terrestrial acid/nutri</v>
      </c>
      <c r="AN60" s="15">
        <f>D32</f>
        <v>0.84916876926999996</v>
      </c>
      <c r="AO60" s="15">
        <f>D51</f>
        <v>0.46298538</v>
      </c>
      <c r="AP60" s="15">
        <f>D70</f>
        <v>0.44382904000000001</v>
      </c>
      <c r="AQ60" s="15">
        <f>D89</f>
        <v>0.44724638999999999</v>
      </c>
    </row>
    <row r="61" spans="2:43" ht="30.95" customHeight="1" x14ac:dyDescent="0.25">
      <c r="B61" s="167" t="s">
        <v>569</v>
      </c>
      <c r="C61" s="167" t="s">
        <v>365</v>
      </c>
      <c r="D61" s="167" t="s">
        <v>596</v>
      </c>
      <c r="E61" s="167" t="s">
        <v>574</v>
      </c>
      <c r="F61" s="167" t="s">
        <v>572</v>
      </c>
      <c r="G61" s="167" t="s">
        <v>363</v>
      </c>
      <c r="I61" s="133" t="s">
        <v>569</v>
      </c>
      <c r="J61" s="133" t="s">
        <v>365</v>
      </c>
      <c r="K61" s="167" t="s">
        <v>574</v>
      </c>
      <c r="L61" s="167" t="s">
        <v>572</v>
      </c>
      <c r="M61" s="167" t="s">
        <v>363</v>
      </c>
      <c r="AE61" s="318"/>
      <c r="AF61" s="15">
        <f>AF60-AG60</f>
        <v>0.55916041396786209</v>
      </c>
      <c r="AG61" s="15">
        <f>AG60-AH60</f>
        <v>1.1723454128635715</v>
      </c>
      <c r="AH61" s="15">
        <f t="shared" ref="AH61:AJ61" si="54">AH60-AI60</f>
        <v>5.8153322877783076E-2</v>
      </c>
      <c r="AI61" s="15">
        <f t="shared" si="54"/>
        <v>-1.0374124594593193E-2</v>
      </c>
      <c r="AJ61" s="15">
        <f t="shared" si="54"/>
        <v>1.3577157078853763</v>
      </c>
      <c r="AM61" s="318"/>
      <c r="AN61" s="15">
        <f>AN60-AO60</f>
        <v>0.38618338926999995</v>
      </c>
      <c r="AO61" s="15">
        <f t="shared" ref="AO61:AQ61" si="55">AO60-AP60</f>
        <v>1.9156339999999994E-2</v>
      </c>
      <c r="AP61" s="15">
        <f t="shared" si="55"/>
        <v>-3.4173499999999857E-3</v>
      </c>
      <c r="AQ61" s="15">
        <f t="shared" si="55"/>
        <v>0.44724638999999999</v>
      </c>
    </row>
    <row r="62" spans="2:43" ht="30" x14ac:dyDescent="0.25">
      <c r="B62" s="134" t="s">
        <v>495</v>
      </c>
      <c r="C62" s="11" t="s">
        <v>564</v>
      </c>
      <c r="D62" s="15">
        <f>SUM(E62:G62)</f>
        <v>0.51400393</v>
      </c>
      <c r="E62" s="189">
        <f>D81</f>
        <v>0.52825206000000002</v>
      </c>
      <c r="F62" s="189">
        <v>1.3882719999999999E-2</v>
      </c>
      <c r="G62" s="189">
        <v>-2.8130849999999999E-2</v>
      </c>
      <c r="H62" s="190">
        <f>SUM(E62:F62)</f>
        <v>0.54213478000000004</v>
      </c>
      <c r="I62" s="134" t="s">
        <v>495</v>
      </c>
      <c r="J62" s="11" t="s">
        <v>31</v>
      </c>
      <c r="K62" s="185">
        <f>E62/$H62</f>
        <v>0.97439249332057243</v>
      </c>
      <c r="L62" s="185">
        <f>F62/$H62</f>
        <v>2.5607506679427575E-2</v>
      </c>
      <c r="M62" s="185">
        <f>G62/$H62</f>
        <v>-5.1889033940969435E-2</v>
      </c>
      <c r="AE62" s="134" t="s">
        <v>598</v>
      </c>
      <c r="AF62" s="193">
        <f>AF61/$AF60</f>
        <v>0.17824682286035734</v>
      </c>
      <c r="AG62" s="193">
        <f t="shared" ref="AG62:AJ62" si="56">AG61/$AF60</f>
        <v>0.37371537740841565</v>
      </c>
      <c r="AH62" s="193">
        <f t="shared" si="56"/>
        <v>1.8537873538260051E-2</v>
      </c>
      <c r="AI62" s="193">
        <f t="shared" si="56"/>
        <v>-3.3070201372481455E-3</v>
      </c>
      <c r="AJ62" s="193">
        <f t="shared" si="56"/>
        <v>0.4328069463302151</v>
      </c>
      <c r="AM62" s="186" t="s">
        <v>598</v>
      </c>
      <c r="AN62" s="193">
        <f>AN61/$AN60</f>
        <v>0.45477813509555703</v>
      </c>
      <c r="AO62" s="193">
        <f t="shared" ref="AO62:AQ62" si="57">AO61/$AN60</f>
        <v>2.2558931384709324E-2</v>
      </c>
      <c r="AP62" s="193">
        <f t="shared" si="57"/>
        <v>-4.0243472483541282E-3</v>
      </c>
      <c r="AQ62" s="193">
        <f t="shared" si="57"/>
        <v>0.5266872807680878</v>
      </c>
    </row>
    <row r="63" spans="2:43" ht="18" x14ac:dyDescent="0.25">
      <c r="B63" s="134" t="s">
        <v>496</v>
      </c>
      <c r="C63" s="11" t="s">
        <v>564</v>
      </c>
      <c r="D63" s="15">
        <f t="shared" ref="D63:D76" si="58">SUM(E63:G63)</f>
        <v>0.40679548999999993</v>
      </c>
      <c r="E63" s="189">
        <f t="shared" ref="E63:E76" si="59">D82</f>
        <v>0.41285109999999997</v>
      </c>
      <c r="F63" s="189">
        <v>5.2391299999999998E-3</v>
      </c>
      <c r="G63" s="189">
        <v>-1.1294739999999999E-2</v>
      </c>
      <c r="H63" s="190">
        <f t="shared" ref="H63:H76" si="60">SUM(E63:F63)</f>
        <v>0.41809022999999995</v>
      </c>
      <c r="I63" s="134" t="s">
        <v>496</v>
      </c>
      <c r="J63" s="11" t="s">
        <v>31</v>
      </c>
      <c r="K63" s="185">
        <f t="shared" ref="K63:M76" si="61">E63/$H63</f>
        <v>0.98746890115083541</v>
      </c>
      <c r="L63" s="185">
        <f t="shared" si="61"/>
        <v>1.2531098849164689E-2</v>
      </c>
      <c r="M63" s="185">
        <f t="shared" si="61"/>
        <v>-2.7015077582654826E-2</v>
      </c>
      <c r="AE63" s="318" t="str">
        <f>$B$33</f>
        <v>Land occupation</v>
      </c>
      <c r="AF63" s="15">
        <f>D14</f>
        <v>10.26</v>
      </c>
      <c r="AG63" s="15">
        <f>AN63*Calculations!$C$47</f>
        <v>7.9510482043935369</v>
      </c>
      <c r="AH63" s="15">
        <f>AO63*Calculations!$C$47</f>
        <v>1.8708053661898365</v>
      </c>
      <c r="AI63" s="15">
        <f>AP63*Calculations!$C$47</f>
        <v>1.8302208594162763</v>
      </c>
      <c r="AJ63" s="15">
        <f>AQ63*Calculations!$C$47</f>
        <v>1.8391711393187538</v>
      </c>
      <c r="AM63" s="318" t="str">
        <f>$B$33</f>
        <v>Land occupation</v>
      </c>
      <c r="AN63" s="15">
        <f>D33</f>
        <v>2.6191621600000001</v>
      </c>
      <c r="AO63" s="15">
        <f>D52</f>
        <v>0.61626373000000001</v>
      </c>
      <c r="AP63" s="15">
        <f>D71</f>
        <v>0.60289475000000003</v>
      </c>
      <c r="AQ63" s="15">
        <f>D90</f>
        <v>0.60584307000000004</v>
      </c>
    </row>
    <row r="64" spans="2:43" x14ac:dyDescent="0.25">
      <c r="B64" s="134" t="s">
        <v>497</v>
      </c>
      <c r="C64" s="11" t="s">
        <v>512</v>
      </c>
      <c r="D64" s="15">
        <f t="shared" si="58"/>
        <v>2.7624790000000003E-2</v>
      </c>
      <c r="E64" s="189">
        <f t="shared" si="59"/>
        <v>2.9857500000000002E-2</v>
      </c>
      <c r="F64" s="189">
        <v>1.17157E-3</v>
      </c>
      <c r="G64" s="189">
        <v>-3.40428E-3</v>
      </c>
      <c r="H64" s="190">
        <f t="shared" si="60"/>
        <v>3.1029070000000002E-2</v>
      </c>
      <c r="I64" s="134" t="s">
        <v>497</v>
      </c>
      <c r="J64" s="11" t="s">
        <v>31</v>
      </c>
      <c r="K64" s="185">
        <f t="shared" si="61"/>
        <v>0.96224282584041354</v>
      </c>
      <c r="L64" s="185">
        <f t="shared" si="61"/>
        <v>3.7757174159586473E-2</v>
      </c>
      <c r="M64" s="185">
        <f t="shared" si="61"/>
        <v>-0.10971260176344311</v>
      </c>
      <c r="AE64" s="318"/>
      <c r="AF64" s="15">
        <f>AF63-AG63</f>
        <v>2.3089517956064629</v>
      </c>
      <c r="AG64" s="15">
        <f>AG63-AH63</f>
        <v>6.0802428382037004</v>
      </c>
      <c r="AH64" s="15">
        <f t="shared" ref="AH64:AJ64" si="62">AH63-AI63</f>
        <v>4.0584506773560181E-2</v>
      </c>
      <c r="AI64" s="15">
        <f t="shared" si="62"/>
        <v>-8.9502799024774315E-3</v>
      </c>
      <c r="AJ64" s="15">
        <f t="shared" si="62"/>
        <v>1.8391711393187538</v>
      </c>
      <c r="AM64" s="318"/>
      <c r="AN64" s="15">
        <f>AN63-AO63</f>
        <v>2.0028984300000001</v>
      </c>
      <c r="AO64" s="15">
        <f t="shared" ref="AO64:AQ64" si="63">AO63-AP63</f>
        <v>1.3368979999999975E-2</v>
      </c>
      <c r="AP64" s="15">
        <f t="shared" si="63"/>
        <v>-2.9483200000000043E-3</v>
      </c>
      <c r="AQ64" s="15">
        <f t="shared" si="63"/>
        <v>0.60584307000000004</v>
      </c>
    </row>
    <row r="65" spans="2:43" ht="30" x14ac:dyDescent="0.25">
      <c r="B65" s="134" t="s">
        <v>561</v>
      </c>
      <c r="C65" s="11" t="s">
        <v>513</v>
      </c>
      <c r="D65" s="15">
        <f t="shared" si="58"/>
        <v>911.00954440999999</v>
      </c>
      <c r="E65" s="189">
        <f t="shared" si="59"/>
        <v>883.70291100999998</v>
      </c>
      <c r="F65" s="189">
        <v>41.838957200000003</v>
      </c>
      <c r="G65" s="189">
        <v>-14.5323238</v>
      </c>
      <c r="H65" s="190">
        <f t="shared" si="60"/>
        <v>925.54186820999996</v>
      </c>
      <c r="I65" s="134" t="s">
        <v>561</v>
      </c>
      <c r="J65" s="11" t="s">
        <v>31</v>
      </c>
      <c r="K65" s="185">
        <f t="shared" si="61"/>
        <v>0.95479517606165498</v>
      </c>
      <c r="L65" s="185">
        <f t="shared" si="61"/>
        <v>4.5204823938345046E-2</v>
      </c>
      <c r="M65" s="185">
        <f t="shared" si="61"/>
        <v>-1.5701422376607928E-2</v>
      </c>
      <c r="AE65" s="134" t="s">
        <v>598</v>
      </c>
      <c r="AF65" s="193">
        <f>AF64/$AF63</f>
        <v>0.22504403465949932</v>
      </c>
      <c r="AG65" s="193">
        <f t="shared" ref="AG65:AJ65" si="64">AG64/$AF63</f>
        <v>0.59261626103349907</v>
      </c>
      <c r="AH65" s="193">
        <f t="shared" si="64"/>
        <v>3.9556049486900759E-3</v>
      </c>
      <c r="AI65" s="193">
        <f t="shared" si="64"/>
        <v>-8.7234696905238128E-4</v>
      </c>
      <c r="AJ65" s="193">
        <f t="shared" si="64"/>
        <v>0.17925644632736393</v>
      </c>
      <c r="AM65" s="186" t="s">
        <v>598</v>
      </c>
      <c r="AN65" s="193">
        <f>AN64/$AN63</f>
        <v>0.7647095932387783</v>
      </c>
      <c r="AO65" s="193">
        <f t="shared" ref="AO65:AQ65" si="65">AO64/$AN63</f>
        <v>5.1042964059926609E-3</v>
      </c>
      <c r="AP65" s="193">
        <f t="shared" si="65"/>
        <v>-1.1256729518419753E-3</v>
      </c>
      <c r="AQ65" s="193">
        <f t="shared" si="65"/>
        <v>0.231311783307071</v>
      </c>
    </row>
    <row r="66" spans="2:43" x14ac:dyDescent="0.25">
      <c r="B66" s="134" t="s">
        <v>498</v>
      </c>
      <c r="C66" s="11" t="s">
        <v>514</v>
      </c>
      <c r="D66" s="15">
        <f t="shared" si="58"/>
        <v>4.1224620000000001E-6</v>
      </c>
      <c r="E66" s="189">
        <f t="shared" si="59"/>
        <v>4.0620240000000001E-6</v>
      </c>
      <c r="F66" s="189">
        <v>1.2408999999999999E-7</v>
      </c>
      <c r="G66" s="189">
        <v>-6.3652000000000006E-8</v>
      </c>
      <c r="H66" s="190">
        <f t="shared" si="60"/>
        <v>4.1861140000000004E-6</v>
      </c>
      <c r="I66" s="134" t="s">
        <v>498</v>
      </c>
      <c r="J66" s="11" t="s">
        <v>31</v>
      </c>
      <c r="K66" s="185">
        <f t="shared" si="61"/>
        <v>0.97035675569274982</v>
      </c>
      <c r="L66" s="185">
        <f t="shared" si="61"/>
        <v>2.964324430725011E-2</v>
      </c>
      <c r="M66" s="185">
        <f t="shared" si="61"/>
        <v>-1.520551040893774E-2</v>
      </c>
      <c r="AE66" s="318" t="str">
        <f>$B$34</f>
        <v>Aquatic acidification</v>
      </c>
      <c r="AF66" s="15">
        <f>D15</f>
        <v>1.04500262</v>
      </c>
      <c r="AG66" s="15">
        <f>AN66*Calculations!$C$47</f>
        <v>653.50510146273393</v>
      </c>
      <c r="AH66" s="15">
        <f>AO66*Calculations!$C$47</f>
        <v>653.07650768879364</v>
      </c>
      <c r="AI66" s="15">
        <f>AP66*Calculations!$C$47</f>
        <v>653.05656967380764</v>
      </c>
      <c r="AJ66" s="15">
        <f>AQ66*Calculations!$C$47</f>
        <v>653.05967406384457</v>
      </c>
      <c r="AM66" s="318" t="str">
        <f>$B$34</f>
        <v>Aquatic acidification</v>
      </c>
      <c r="AN66" s="15">
        <f>D34</f>
        <v>215.27172130240001</v>
      </c>
      <c r="AO66" s="15">
        <f>D53</f>
        <v>215.13053783000001</v>
      </c>
      <c r="AP66" s="15">
        <f>D72</f>
        <v>215.12397003000001</v>
      </c>
      <c r="AQ66" s="15">
        <f>D91</f>
        <v>215.12499265</v>
      </c>
    </row>
    <row r="67" spans="2:43" ht="18" x14ac:dyDescent="0.25">
      <c r="B67" s="134" t="s">
        <v>499</v>
      </c>
      <c r="C67" s="11" t="s">
        <v>565</v>
      </c>
      <c r="D67" s="15">
        <f t="shared" si="58"/>
        <v>7.2275300000000002E-3</v>
      </c>
      <c r="E67" s="189">
        <f t="shared" si="59"/>
        <v>7.2710600000000002E-3</v>
      </c>
      <c r="F67" s="189">
        <v>1.0696000000000001E-4</v>
      </c>
      <c r="G67" s="189">
        <v>-1.5049E-4</v>
      </c>
      <c r="H67" s="190">
        <f t="shared" si="60"/>
        <v>7.3780199999999999E-3</v>
      </c>
      <c r="I67" s="134" t="s">
        <v>499</v>
      </c>
      <c r="J67" s="11" t="s">
        <v>31</v>
      </c>
      <c r="K67" s="185">
        <f t="shared" si="61"/>
        <v>0.98550288559803312</v>
      </c>
      <c r="L67" s="185">
        <f t="shared" si="61"/>
        <v>1.4497114401966925E-2</v>
      </c>
      <c r="M67" s="185">
        <f t="shared" si="61"/>
        <v>-2.0397071300972347E-2</v>
      </c>
      <c r="AE67" s="318"/>
      <c r="AF67" s="15">
        <f>AF66-AG66</f>
        <v>-652.46009884273394</v>
      </c>
      <c r="AG67" s="15">
        <f>AG66-AH66</f>
        <v>0.42859377394029252</v>
      </c>
      <c r="AH67" s="15">
        <f t="shared" ref="AH67:AJ67" si="66">AH66-AI66</f>
        <v>1.9938014985996233E-2</v>
      </c>
      <c r="AI67" s="15">
        <f t="shared" si="66"/>
        <v>-3.1043900369240873E-3</v>
      </c>
      <c r="AJ67" s="15">
        <f t="shared" si="66"/>
        <v>653.05967406384457</v>
      </c>
      <c r="AM67" s="318"/>
      <c r="AN67" s="15">
        <f>AN66-AO66</f>
        <v>0.14118347240000162</v>
      </c>
      <c r="AO67" s="15">
        <f t="shared" ref="AO67:AQ67" si="67">AO66-AP66</f>
        <v>6.5677999999991243E-3</v>
      </c>
      <c r="AP67" s="15">
        <f t="shared" si="67"/>
        <v>-1.0226199999863184E-3</v>
      </c>
      <c r="AQ67" s="15">
        <f t="shared" si="67"/>
        <v>215.12499265</v>
      </c>
    </row>
    <row r="68" spans="2:43" ht="30" x14ac:dyDescent="0.25">
      <c r="B68" s="134" t="s">
        <v>500</v>
      </c>
      <c r="C68" s="11" t="s">
        <v>515</v>
      </c>
      <c r="D68" s="15">
        <f t="shared" si="58"/>
        <v>1839.9431981999999</v>
      </c>
      <c r="E68" s="189">
        <f t="shared" si="59"/>
        <v>1839.9434074999999</v>
      </c>
      <c r="F68" s="189">
        <v>48.605032700000002</v>
      </c>
      <c r="G68" s="189">
        <v>-48.605241999999997</v>
      </c>
      <c r="H68" s="190">
        <f t="shared" si="60"/>
        <v>1888.5484402</v>
      </c>
      <c r="I68" s="134" t="s">
        <v>500</v>
      </c>
      <c r="J68" s="11" t="s">
        <v>31</v>
      </c>
      <c r="K68" s="185">
        <f t="shared" si="61"/>
        <v>0.97426328514250193</v>
      </c>
      <c r="L68" s="185">
        <f t="shared" si="61"/>
        <v>2.5736714857497994E-2</v>
      </c>
      <c r="M68" s="185">
        <f t="shared" si="61"/>
        <v>-2.5736825683355325E-2</v>
      </c>
      <c r="AE68" s="134" t="s">
        <v>598</v>
      </c>
      <c r="AF68" s="193">
        <f>AF67/$AF66</f>
        <v>-624.36216556350257</v>
      </c>
      <c r="AG68" s="193">
        <f t="shared" ref="AG68:AJ68" si="68">AG67/$AF66</f>
        <v>0.41013655443303343</v>
      </c>
      <c r="AH68" s="193">
        <f t="shared" si="68"/>
        <v>1.907939234257253E-2</v>
      </c>
      <c r="AI68" s="193">
        <f t="shared" si="68"/>
        <v>-2.9707007212327252E-3</v>
      </c>
      <c r="AJ68" s="193">
        <f t="shared" si="68"/>
        <v>624.93592031744822</v>
      </c>
      <c r="AM68" s="186" t="s">
        <v>598</v>
      </c>
      <c r="AN68" s="193">
        <f>AN67/$AN66</f>
        <v>6.5583845172899444E-4</v>
      </c>
      <c r="AO68" s="193">
        <f t="shared" ref="AO68:AQ68" si="69">AO67/$AN66</f>
        <v>3.0509348651386945E-5</v>
      </c>
      <c r="AP68" s="193">
        <f t="shared" si="69"/>
        <v>-4.7503684822114043E-6</v>
      </c>
      <c r="AQ68" s="193">
        <f t="shared" si="69"/>
        <v>0.99931840256810178</v>
      </c>
    </row>
    <row r="69" spans="2:43" x14ac:dyDescent="0.25">
      <c r="B69" s="134" t="s">
        <v>562</v>
      </c>
      <c r="C69" s="11" t="s">
        <v>516</v>
      </c>
      <c r="D69" s="15">
        <f t="shared" si="58"/>
        <v>847.48364370000002</v>
      </c>
      <c r="E69" s="189">
        <f t="shared" si="59"/>
        <v>847.85317190000001</v>
      </c>
      <c r="F69" s="189">
        <v>11.6174243</v>
      </c>
      <c r="G69" s="189">
        <v>-11.986952499999999</v>
      </c>
      <c r="H69" s="190">
        <f t="shared" si="60"/>
        <v>859.47059620000005</v>
      </c>
      <c r="I69" s="134" t="s">
        <v>562</v>
      </c>
      <c r="J69" s="11" t="s">
        <v>31</v>
      </c>
      <c r="K69" s="185">
        <f t="shared" si="61"/>
        <v>0.98648304624804561</v>
      </c>
      <c r="L69" s="185">
        <f t="shared" si="61"/>
        <v>1.3516953751954311E-2</v>
      </c>
      <c r="M69" s="185">
        <f t="shared" si="61"/>
        <v>-1.39469023757162E-2</v>
      </c>
      <c r="AE69" s="318" t="str">
        <f>$B$35</f>
        <v>Aquatic eutrophication</v>
      </c>
      <c r="AF69" s="15">
        <f>D16</f>
        <v>9.4039999999999999E-2</v>
      </c>
      <c r="AG69" s="15">
        <f>AN69*Calculations!$C$47</f>
        <v>8.6277595751993716E-2</v>
      </c>
      <c r="AH69" s="15">
        <f>AO69*Calculations!$C$47</f>
        <v>1.2276729968432978E-2</v>
      </c>
      <c r="AI69" s="15">
        <f>AP69*Calculations!$C$47</f>
        <v>1.1900634369204287E-2</v>
      </c>
      <c r="AJ69" s="15">
        <f>AQ69*Calculations!$C$47</f>
        <v>1.2331464036187385E-2</v>
      </c>
      <c r="AM69" s="318" t="str">
        <f>$B$35</f>
        <v>Aquatic eutrophication</v>
      </c>
      <c r="AN69" s="15">
        <f>D35</f>
        <v>2.8420782799999999E-2</v>
      </c>
      <c r="AO69" s="15">
        <f>D54</f>
        <v>4.0440889999999998E-3</v>
      </c>
      <c r="AP69" s="15">
        <f>D73</f>
        <v>3.9201990000000001E-3</v>
      </c>
      <c r="AQ69" s="15">
        <f>D92</f>
        <v>4.0621190000000003E-3</v>
      </c>
    </row>
    <row r="70" spans="2:43" ht="18" x14ac:dyDescent="0.25">
      <c r="B70" s="134" t="s">
        <v>501</v>
      </c>
      <c r="C70" s="11" t="s">
        <v>566</v>
      </c>
      <c r="D70" s="15">
        <f t="shared" si="58"/>
        <v>0.44382904000000001</v>
      </c>
      <c r="E70" s="189">
        <f t="shared" si="59"/>
        <v>0.44724638999999999</v>
      </c>
      <c r="F70" s="189">
        <v>1.8265170000000001E-2</v>
      </c>
      <c r="G70" s="189">
        <v>-2.168252E-2</v>
      </c>
      <c r="H70" s="190">
        <f t="shared" si="60"/>
        <v>0.46551155999999999</v>
      </c>
      <c r="I70" s="134" t="s">
        <v>501</v>
      </c>
      <c r="J70" s="11" t="s">
        <v>31</v>
      </c>
      <c r="K70" s="185">
        <f t="shared" si="61"/>
        <v>0.96076323002590958</v>
      </c>
      <c r="L70" s="185">
        <f t="shared" si="61"/>
        <v>3.9236769974090445E-2</v>
      </c>
      <c r="M70" s="185">
        <f t="shared" si="61"/>
        <v>-4.6577833641768207E-2</v>
      </c>
      <c r="AE70" s="318"/>
      <c r="AF70" s="15">
        <f>AF69-AG69</f>
        <v>7.7624042480062827E-3</v>
      </c>
      <c r="AG70" s="15">
        <f>AG69-AH69</f>
        <v>7.4000865783560743E-2</v>
      </c>
      <c r="AH70" s="15">
        <f t="shared" ref="AH70:AJ70" si="70">AH69-AI69</f>
        <v>3.7609559922869087E-4</v>
      </c>
      <c r="AI70" s="15">
        <f t="shared" si="70"/>
        <v>-4.3082966698309785E-4</v>
      </c>
      <c r="AJ70" s="15">
        <f t="shared" si="70"/>
        <v>1.2331464036187385E-2</v>
      </c>
      <c r="AM70" s="318"/>
      <c r="AN70" s="15">
        <f>AN69-AO69</f>
        <v>2.4376693799999998E-2</v>
      </c>
      <c r="AO70" s="15">
        <f t="shared" ref="AO70:AQ70" si="71">AO69-AP69</f>
        <v>1.2388999999999976E-4</v>
      </c>
      <c r="AP70" s="15">
        <f t="shared" si="71"/>
        <v>-1.4192000000000024E-4</v>
      </c>
      <c r="AQ70" s="15">
        <f t="shared" si="71"/>
        <v>4.0621190000000003E-3</v>
      </c>
    </row>
    <row r="71" spans="2:43" ht="30" x14ac:dyDescent="0.25">
      <c r="B71" s="134" t="s">
        <v>502</v>
      </c>
      <c r="C71" s="11" t="s">
        <v>563</v>
      </c>
      <c r="D71" s="15">
        <f t="shared" si="58"/>
        <v>0.60289475000000003</v>
      </c>
      <c r="E71" s="189">
        <f t="shared" si="59"/>
        <v>0.60584307000000004</v>
      </c>
      <c r="F71" s="189">
        <v>1.2747039999999999E-2</v>
      </c>
      <c r="G71" s="189">
        <v>-1.5695359999999998E-2</v>
      </c>
      <c r="H71" s="190">
        <f t="shared" si="60"/>
        <v>0.61859011000000008</v>
      </c>
      <c r="I71" s="134" t="s">
        <v>502</v>
      </c>
      <c r="J71" s="11" t="s">
        <v>31</v>
      </c>
      <c r="K71" s="185">
        <f t="shared" si="61"/>
        <v>0.979393398319931</v>
      </c>
      <c r="L71" s="185">
        <f t="shared" si="61"/>
        <v>2.0606601680068889E-2</v>
      </c>
      <c r="M71" s="185">
        <f t="shared" si="61"/>
        <v>-2.5372794919078154E-2</v>
      </c>
      <c r="AE71" s="134" t="s">
        <v>598</v>
      </c>
      <c r="AF71" s="193">
        <f>AF70/$AF69</f>
        <v>8.2543643641070641E-2</v>
      </c>
      <c r="AG71" s="193">
        <f t="shared" ref="AG71:AJ71" si="72">AG70/$AF69</f>
        <v>0.78690839837899562</v>
      </c>
      <c r="AH71" s="193">
        <f t="shared" si="72"/>
        <v>3.9993151768257214E-3</v>
      </c>
      <c r="AI71" s="193">
        <f t="shared" si="72"/>
        <v>-4.5813448211728825E-3</v>
      </c>
      <c r="AJ71" s="193">
        <f t="shared" si="72"/>
        <v>0.13112998762428099</v>
      </c>
      <c r="AM71" s="186" t="s">
        <v>598</v>
      </c>
      <c r="AN71" s="193">
        <f>AN70/$AN69</f>
        <v>0.85770662868582215</v>
      </c>
      <c r="AO71" s="193">
        <f t="shared" ref="AO71:AQ71" si="73">AO70/$AN69</f>
        <v>4.3591339785334759E-3</v>
      </c>
      <c r="AP71" s="193">
        <f t="shared" si="73"/>
        <v>-4.993528890414667E-3</v>
      </c>
      <c r="AQ71" s="193">
        <f t="shared" si="73"/>
        <v>0.14292776622605907</v>
      </c>
    </row>
    <row r="72" spans="2:43" ht="18" x14ac:dyDescent="0.25">
      <c r="B72" s="134" t="s">
        <v>503</v>
      </c>
      <c r="C72" s="11" t="s">
        <v>566</v>
      </c>
      <c r="D72" s="15">
        <f t="shared" si="58"/>
        <v>215.12397003000001</v>
      </c>
      <c r="E72" s="189">
        <f t="shared" si="59"/>
        <v>215.12499265</v>
      </c>
      <c r="F72" s="189">
        <v>6.2622600000000004E-3</v>
      </c>
      <c r="G72" s="189">
        <v>-7.2848799999999997E-3</v>
      </c>
      <c r="H72" s="190">
        <f t="shared" si="60"/>
        <v>215.13125491</v>
      </c>
      <c r="I72" s="134" t="s">
        <v>503</v>
      </c>
      <c r="J72" s="11" t="s">
        <v>31</v>
      </c>
      <c r="K72" s="185">
        <f t="shared" si="61"/>
        <v>0.99997089098000835</v>
      </c>
      <c r="L72" s="185">
        <f t="shared" si="61"/>
        <v>2.9109019991631677E-5</v>
      </c>
      <c r="M72" s="185">
        <f t="shared" si="61"/>
        <v>-3.3862490148386968E-5</v>
      </c>
      <c r="AE72" s="318" t="str">
        <f>$B$36</f>
        <v>Global warming</v>
      </c>
      <c r="AF72" s="15">
        <f>D17</f>
        <v>217.90000001830001</v>
      </c>
      <c r="AG72" s="15">
        <f>AN72*Calculations!$C$47</f>
        <v>155.5029613764591</v>
      </c>
      <c r="AH72" s="15">
        <f>AO72*Calculations!$C$47</f>
        <v>85.992398199980627</v>
      </c>
      <c r="AI72" s="15">
        <f>AP72*Calculations!$C$47</f>
        <v>83.081490087133204</v>
      </c>
      <c r="AJ72" s="15">
        <f>AQ72*Calculations!$C$47</f>
        <v>84.381701023789986</v>
      </c>
      <c r="AM72" s="318" t="str">
        <f>$B$36</f>
        <v>Global warming</v>
      </c>
      <c r="AN72" s="15">
        <f>D36</f>
        <v>51.224374665482095</v>
      </c>
      <c r="AO72" s="15">
        <f>D55</f>
        <v>28.32683561</v>
      </c>
      <c r="AP72" s="15">
        <f>D74</f>
        <v>27.367950669999999</v>
      </c>
      <c r="AQ72" s="15">
        <f>D93</f>
        <v>27.796254359999999</v>
      </c>
    </row>
    <row r="73" spans="2:43" ht="18" x14ac:dyDescent="0.25">
      <c r="B73" s="134" t="s">
        <v>504</v>
      </c>
      <c r="C73" s="11" t="s">
        <v>567</v>
      </c>
      <c r="D73" s="15">
        <f t="shared" si="58"/>
        <v>3.9201990000000001E-3</v>
      </c>
      <c r="E73" s="189">
        <f t="shared" si="59"/>
        <v>4.0621190000000003E-3</v>
      </c>
      <c r="F73" s="189">
        <v>1.1813E-4</v>
      </c>
      <c r="G73" s="189">
        <v>-2.6005000000000001E-4</v>
      </c>
      <c r="H73" s="190">
        <f t="shared" si="60"/>
        <v>4.1802490000000005E-3</v>
      </c>
      <c r="I73" s="134" t="s">
        <v>504</v>
      </c>
      <c r="J73" s="11" t="s">
        <v>31</v>
      </c>
      <c r="K73" s="185">
        <f t="shared" si="61"/>
        <v>0.97174091782570848</v>
      </c>
      <c r="L73" s="185">
        <f t="shared" si="61"/>
        <v>2.8259082174291527E-2</v>
      </c>
      <c r="M73" s="185">
        <f t="shared" si="61"/>
        <v>-6.2209212896169576E-2</v>
      </c>
      <c r="AE73" s="318"/>
      <c r="AF73" s="15">
        <f>AF72-AG72</f>
        <v>62.397038641840908</v>
      </c>
      <c r="AG73" s="15">
        <f>AG72-AH72</f>
        <v>69.51056317647847</v>
      </c>
      <c r="AH73" s="15">
        <f t="shared" ref="AH73:AJ73" si="74">AH72-AI72</f>
        <v>2.910908112847423</v>
      </c>
      <c r="AI73" s="15">
        <f t="shared" si="74"/>
        <v>-1.3002109366567822</v>
      </c>
      <c r="AJ73" s="15">
        <f t="shared" si="74"/>
        <v>84.381701023789986</v>
      </c>
      <c r="AM73" s="318"/>
      <c r="AN73" s="15">
        <f>AN72-AO72</f>
        <v>22.897539055482095</v>
      </c>
      <c r="AO73" s="15">
        <f t="shared" ref="AO73:AQ73" si="75">AO72-AP72</f>
        <v>0.9588849400000008</v>
      </c>
      <c r="AP73" s="15">
        <f t="shared" si="75"/>
        <v>-0.4283036899999999</v>
      </c>
      <c r="AQ73" s="15">
        <f t="shared" si="75"/>
        <v>27.796254359999999</v>
      </c>
    </row>
    <row r="74" spans="2:43" ht="30" x14ac:dyDescent="0.25">
      <c r="B74" s="176" t="s">
        <v>505</v>
      </c>
      <c r="C74" s="165" t="s">
        <v>578</v>
      </c>
      <c r="D74" s="195">
        <f t="shared" si="58"/>
        <v>27.367950669999999</v>
      </c>
      <c r="E74" s="196">
        <f t="shared" si="59"/>
        <v>27.796254359999999</v>
      </c>
      <c r="F74" s="196">
        <v>0.91427661999999998</v>
      </c>
      <c r="G74" s="196">
        <v>-1.34258031</v>
      </c>
      <c r="H74" s="190">
        <f t="shared" si="60"/>
        <v>28.710530979999998</v>
      </c>
      <c r="I74" s="134" t="s">
        <v>505</v>
      </c>
      <c r="J74" s="11" t="s">
        <v>31</v>
      </c>
      <c r="K74" s="185">
        <f t="shared" si="61"/>
        <v>0.9681553566307467</v>
      </c>
      <c r="L74" s="185">
        <f t="shared" si="61"/>
        <v>3.1844643369253356E-2</v>
      </c>
      <c r="M74" s="185">
        <f t="shared" si="61"/>
        <v>-4.676264298055835E-2</v>
      </c>
      <c r="AE74" s="134" t="s">
        <v>598</v>
      </c>
      <c r="AF74" s="193">
        <f>AF73/$AF72</f>
        <v>0.28635630397705636</v>
      </c>
      <c r="AG74" s="193">
        <f t="shared" ref="AG74:AJ74" si="76">AG73/$AF72</f>
        <v>0.3190021256110176</v>
      </c>
      <c r="AH74" s="193">
        <f t="shared" si="76"/>
        <v>1.3358917451137929E-2</v>
      </c>
      <c r="AI74" s="193">
        <f t="shared" si="76"/>
        <v>-5.9670075105442222E-3</v>
      </c>
      <c r="AJ74" s="193">
        <f t="shared" si="76"/>
        <v>0.38724966047133236</v>
      </c>
      <c r="AM74" s="186" t="s">
        <v>598</v>
      </c>
      <c r="AN74" s="193">
        <f>AN73/$AN72</f>
        <v>0.44700475515832433</v>
      </c>
      <c r="AO74" s="193">
        <f t="shared" ref="AO74:AQ74" si="77">AO73/$AN72</f>
        <v>1.871930982587772E-2</v>
      </c>
      <c r="AP74" s="193">
        <f t="shared" si="77"/>
        <v>-8.3613258882516989E-3</v>
      </c>
      <c r="AQ74" s="193">
        <f t="shared" si="77"/>
        <v>0.54263726090404962</v>
      </c>
    </row>
    <row r="75" spans="2:43" x14ac:dyDescent="0.25">
      <c r="B75" s="134" t="s">
        <v>506</v>
      </c>
      <c r="C75" s="11" t="s">
        <v>517</v>
      </c>
      <c r="D75" s="15">
        <f t="shared" si="58"/>
        <v>520.99246847000006</v>
      </c>
      <c r="E75" s="189">
        <f t="shared" si="59"/>
        <v>519.98907107000002</v>
      </c>
      <c r="F75" s="189">
        <v>18.619054299999998</v>
      </c>
      <c r="G75" s="189">
        <v>-17.615656900000001</v>
      </c>
      <c r="H75" s="190">
        <f t="shared" si="60"/>
        <v>538.60812537000004</v>
      </c>
      <c r="I75" s="134" t="s">
        <v>506</v>
      </c>
      <c r="J75" s="11" t="s">
        <v>31</v>
      </c>
      <c r="K75" s="185">
        <f t="shared" si="61"/>
        <v>0.96543116707121801</v>
      </c>
      <c r="L75" s="185">
        <f t="shared" si="61"/>
        <v>3.4568832928781996E-2</v>
      </c>
      <c r="M75" s="185">
        <f t="shared" si="61"/>
        <v>-3.270588776932918E-2</v>
      </c>
      <c r="AE75" s="318" t="str">
        <f>$B$37</f>
        <v>Non-renewable energy</v>
      </c>
      <c r="AF75" s="15">
        <f>D18</f>
        <v>3631.57</v>
      </c>
      <c r="AG75" s="15">
        <f>AN75*Calculations!$C$47</f>
        <v>2598.4163853781242</v>
      </c>
      <c r="AH75" s="15">
        <f>AO75*Calculations!$C$47</f>
        <v>1640.8683431252443</v>
      </c>
      <c r="AI75" s="15">
        <f>AP75*Calculations!$C$47</f>
        <v>1581.5883010966188</v>
      </c>
      <c r="AJ75" s="15">
        <f>AQ75*Calculations!$C$47</f>
        <v>1578.5422655294419</v>
      </c>
      <c r="AM75" s="318" t="str">
        <f>$B$37</f>
        <v>Non-renewable energy</v>
      </c>
      <c r="AN75" s="15">
        <f>D37</f>
        <v>855.9467503599999</v>
      </c>
      <c r="AO75" s="15">
        <f>D56</f>
        <v>540.51996207000002</v>
      </c>
      <c r="AP75" s="15">
        <f>D75</f>
        <v>520.99246847000006</v>
      </c>
      <c r="AQ75" s="15">
        <f>D94</f>
        <v>519.98907107000002</v>
      </c>
    </row>
    <row r="76" spans="2:43" x14ac:dyDescent="0.25">
      <c r="B76" s="134" t="s">
        <v>507</v>
      </c>
      <c r="C76" s="11" t="s">
        <v>518</v>
      </c>
      <c r="D76" s="15">
        <f t="shared" si="58"/>
        <v>0.51789432999999996</v>
      </c>
      <c r="E76" s="189">
        <f t="shared" si="59"/>
        <v>0.52025431</v>
      </c>
      <c r="F76" s="189">
        <v>1.0387230000000001E-2</v>
      </c>
      <c r="G76" s="189">
        <v>-1.274721E-2</v>
      </c>
      <c r="H76" s="190">
        <f t="shared" si="60"/>
        <v>0.53064153999999997</v>
      </c>
      <c r="I76" s="134" t="s">
        <v>507</v>
      </c>
      <c r="J76" s="11" t="s">
        <v>31</v>
      </c>
      <c r="K76" s="185">
        <f t="shared" si="61"/>
        <v>0.98042514726608099</v>
      </c>
      <c r="L76" s="185">
        <f t="shared" si="61"/>
        <v>1.9574852733919023E-2</v>
      </c>
      <c r="M76" s="185">
        <f t="shared" si="61"/>
        <v>-2.4022261807848666E-2</v>
      </c>
      <c r="AE76" s="318"/>
      <c r="AF76" s="15">
        <f>AF75-AG75</f>
        <v>1033.1536146218759</v>
      </c>
      <c r="AG76" s="15">
        <f>AG75-AH75</f>
        <v>957.5480422528799</v>
      </c>
      <c r="AH76" s="15">
        <f t="shared" ref="AH76:AJ76" si="78">AH75-AI75</f>
        <v>59.28004202862553</v>
      </c>
      <c r="AI76" s="15">
        <f t="shared" si="78"/>
        <v>3.0460355671768866</v>
      </c>
      <c r="AJ76" s="15">
        <f t="shared" si="78"/>
        <v>1578.5422655294419</v>
      </c>
      <c r="AM76" s="318"/>
      <c r="AN76" s="15">
        <f>AN75-AO75</f>
        <v>315.42678828999988</v>
      </c>
      <c r="AO76" s="15">
        <f t="shared" ref="AO76:AQ76" si="79">AO75-AP75</f>
        <v>19.527493599999957</v>
      </c>
      <c r="AP76" s="15">
        <f t="shared" si="79"/>
        <v>1.0033974000000399</v>
      </c>
      <c r="AQ76" s="15">
        <f t="shared" si="79"/>
        <v>519.98907107000002</v>
      </c>
    </row>
    <row r="77" spans="2:43" ht="30" x14ac:dyDescent="0.25">
      <c r="AE77" s="134" t="s">
        <v>598</v>
      </c>
      <c r="AF77" s="193">
        <f>AF76/$AF75</f>
        <v>0.28449227596380516</v>
      </c>
      <c r="AG77" s="193">
        <f t="shared" ref="AG77:AJ77" si="80">AG76/$AF75</f>
        <v>0.26367329894587738</v>
      </c>
      <c r="AH77" s="193">
        <f t="shared" si="80"/>
        <v>1.632353005136223E-2</v>
      </c>
      <c r="AI77" s="193">
        <f t="shared" si="80"/>
        <v>8.3876548357236303E-4</v>
      </c>
      <c r="AJ77" s="193">
        <f t="shared" si="80"/>
        <v>0.43467212955538287</v>
      </c>
      <c r="AM77" s="186" t="s">
        <v>598</v>
      </c>
      <c r="AN77" s="193">
        <f>AN76/$AN75</f>
        <v>0.36851216288552474</v>
      </c>
      <c r="AO77" s="193">
        <f t="shared" ref="AO77:AQ77" si="81">AO76/$AN75</f>
        <v>2.2813911720310814E-2</v>
      </c>
      <c r="AP77" s="193">
        <f t="shared" si="81"/>
        <v>1.1722661480729078E-3</v>
      </c>
      <c r="AQ77" s="193">
        <f t="shared" si="81"/>
        <v>0.60750165924609156</v>
      </c>
    </row>
    <row r="78" spans="2:43" x14ac:dyDescent="0.25">
      <c r="B78" s="319" t="s">
        <v>718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AE78" s="318" t="str">
        <f>$B$38</f>
        <v>Mineral extraction</v>
      </c>
      <c r="AF78" s="15">
        <f>D19</f>
        <v>7.9830000000000005</v>
      </c>
      <c r="AG78" s="15">
        <f>AN78*Calculations!$C$47</f>
        <v>6.6087228785014256</v>
      </c>
      <c r="AH78" s="15">
        <f>AO78*Calculations!$C$47</f>
        <v>1.6052544605646726</v>
      </c>
      <c r="AI78" s="15">
        <f>AP78*Calculations!$C$47</f>
        <v>1.572183213967971</v>
      </c>
      <c r="AJ78" s="15">
        <f>AQ78*Calculations!$C$47</f>
        <v>1.5793474571858881</v>
      </c>
      <c r="AM78" s="318" t="str">
        <f>$B$38</f>
        <v>Mineral extraction</v>
      </c>
      <c r="AN78" s="15">
        <f>D38</f>
        <v>2.1769855300000001</v>
      </c>
      <c r="AO78" s="15">
        <f>D57</f>
        <v>0.52878835999999996</v>
      </c>
      <c r="AP78" s="15">
        <f>D76</f>
        <v>0.51789432999999996</v>
      </c>
      <c r="AQ78" s="15">
        <f>D95</f>
        <v>0.52025431</v>
      </c>
    </row>
    <row r="79" spans="2:43" x14ac:dyDescent="0.25">
      <c r="AE79" s="318"/>
      <c r="AF79" s="15">
        <f>AF78-AG78</f>
        <v>1.3742771214985749</v>
      </c>
      <c r="AG79" s="15">
        <f>AG78-AH78</f>
        <v>5.0034684179367535</v>
      </c>
      <c r="AH79" s="15">
        <f t="shared" ref="AH79:AJ79" si="82">AH78-AI78</f>
        <v>3.3071246596701576E-2</v>
      </c>
      <c r="AI79" s="15">
        <f t="shared" si="82"/>
        <v>-7.1642432179170878E-3</v>
      </c>
      <c r="AJ79" s="15">
        <f t="shared" si="82"/>
        <v>1.5793474571858881</v>
      </c>
      <c r="AM79" s="318"/>
      <c r="AN79" s="15">
        <f>AN78-AO78</f>
        <v>1.64819717</v>
      </c>
      <c r="AO79" s="15">
        <f t="shared" ref="AO79:AQ79" si="83">AO78-AP78</f>
        <v>1.0894029999999999E-2</v>
      </c>
      <c r="AP79" s="15">
        <f t="shared" si="83"/>
        <v>-2.3599800000000393E-3</v>
      </c>
      <c r="AQ79" s="15">
        <f t="shared" si="83"/>
        <v>0.52025431</v>
      </c>
    </row>
    <row r="80" spans="2:43" ht="32.450000000000003" customHeight="1" x14ac:dyDescent="0.25">
      <c r="B80" s="167" t="s">
        <v>569</v>
      </c>
      <c r="C80" s="167" t="s">
        <v>365</v>
      </c>
      <c r="D80" s="167" t="s">
        <v>223</v>
      </c>
      <c r="E80" s="167" t="s">
        <v>597</v>
      </c>
      <c r="F80" s="167" t="s">
        <v>575</v>
      </c>
      <c r="G80" s="167" t="s">
        <v>577</v>
      </c>
      <c r="H80" s="167" t="s">
        <v>217</v>
      </c>
      <c r="I80" s="167" t="s">
        <v>576</v>
      </c>
      <c r="J80" s="167" t="s">
        <v>572</v>
      </c>
      <c r="L80" s="133" t="s">
        <v>569</v>
      </c>
      <c r="M80" s="133" t="s">
        <v>365</v>
      </c>
      <c r="N80" s="167" t="s">
        <v>597</v>
      </c>
      <c r="O80" s="167" t="s">
        <v>575</v>
      </c>
      <c r="P80" s="167" t="s">
        <v>577</v>
      </c>
      <c r="Q80" s="167" t="s">
        <v>217</v>
      </c>
      <c r="R80" s="167" t="s">
        <v>576</v>
      </c>
      <c r="S80" s="167" t="s">
        <v>572</v>
      </c>
      <c r="AE80" s="134" t="s">
        <v>598</v>
      </c>
      <c r="AF80" s="193">
        <f>AF79/$AF78</f>
        <v>0.17215045991464048</v>
      </c>
      <c r="AG80" s="193">
        <f t="shared" ref="AG80:AJ80" si="84">AG79/$AF78</f>
        <v>0.62676542877824792</v>
      </c>
      <c r="AH80" s="193">
        <f t="shared" si="84"/>
        <v>4.1427090813856409E-3</v>
      </c>
      <c r="AI80" s="193">
        <f t="shared" si="84"/>
        <v>-8.9743745683541114E-4</v>
      </c>
      <c r="AJ80" s="193">
        <f t="shared" si="84"/>
        <v>0.19783883968256144</v>
      </c>
      <c r="AM80" s="186" t="s">
        <v>598</v>
      </c>
      <c r="AN80" s="193">
        <f>AN79/$AN78</f>
        <v>0.75710065468372678</v>
      </c>
      <c r="AO80" s="193">
        <f t="shared" ref="AO80:AQ80" si="85">AO79/$AN78</f>
        <v>5.0041811715670886E-3</v>
      </c>
      <c r="AP80" s="193">
        <f t="shared" si="85"/>
        <v>-1.0840586524247771E-3</v>
      </c>
      <c r="AQ80" s="193">
        <f t="shared" si="85"/>
        <v>0.23897922279713085</v>
      </c>
    </row>
    <row r="81" spans="2:19" ht="18" x14ac:dyDescent="0.25">
      <c r="B81" s="134" t="s">
        <v>495</v>
      </c>
      <c r="C81" s="11" t="s">
        <v>564</v>
      </c>
      <c r="D81" s="15">
        <f t="shared" ref="D81:D92" si="86">SUM(F81:J81)</f>
        <v>0.52825206000000002</v>
      </c>
      <c r="E81" s="189">
        <v>0</v>
      </c>
      <c r="F81" s="189">
        <v>6.9699999999999998E-2</v>
      </c>
      <c r="G81" s="189">
        <v>7.8E-2</v>
      </c>
      <c r="H81" s="189">
        <v>0.21027225999999999</v>
      </c>
      <c r="I81" s="189">
        <v>1.9946129999999999E-2</v>
      </c>
      <c r="J81" s="189">
        <v>0.15033367</v>
      </c>
      <c r="L81" s="134" t="s">
        <v>495</v>
      </c>
      <c r="M81" s="11" t="s">
        <v>31</v>
      </c>
      <c r="N81" s="185">
        <f t="shared" ref="N81:S95" si="87">E81/$D81</f>
        <v>0</v>
      </c>
      <c r="O81" s="185">
        <f t="shared" si="87"/>
        <v>0.13194458721088564</v>
      </c>
      <c r="P81" s="185">
        <f t="shared" si="87"/>
        <v>0.14765678339238278</v>
      </c>
      <c r="Q81" s="185">
        <f t="shared" si="87"/>
        <v>0.39805289164418967</v>
      </c>
      <c r="R81" s="185">
        <f t="shared" si="87"/>
        <v>3.7758735858029593E-2</v>
      </c>
      <c r="S81" s="185">
        <f t="shared" si="87"/>
        <v>0.28458700189451225</v>
      </c>
    </row>
    <row r="82" spans="2:19" ht="18" x14ac:dyDescent="0.25">
      <c r="B82" s="134" t="s">
        <v>496</v>
      </c>
      <c r="C82" s="11" t="s">
        <v>564</v>
      </c>
      <c r="D82" s="15">
        <f t="shared" si="86"/>
        <v>0.41285109999999997</v>
      </c>
      <c r="E82" s="189">
        <v>0</v>
      </c>
      <c r="F82" s="189">
        <v>0.157</v>
      </c>
      <c r="G82" s="189">
        <v>2.9399999999999999E-2</v>
      </c>
      <c r="H82" s="189">
        <v>0.10253900000000001</v>
      </c>
      <c r="I82" s="189">
        <v>6.7178489999999993E-2</v>
      </c>
      <c r="J82" s="189">
        <v>5.6733609999999997E-2</v>
      </c>
      <c r="L82" s="134" t="s">
        <v>496</v>
      </c>
      <c r="M82" s="11" t="s">
        <v>31</v>
      </c>
      <c r="N82" s="185">
        <f t="shared" si="87"/>
        <v>0</v>
      </c>
      <c r="O82" s="185">
        <f t="shared" si="87"/>
        <v>0.38028238267985726</v>
      </c>
      <c r="P82" s="185">
        <f t="shared" si="87"/>
        <v>7.1212114973170718E-2</v>
      </c>
      <c r="Q82" s="185">
        <f t="shared" si="87"/>
        <v>0.248367995144012</v>
      </c>
      <c r="R82" s="185">
        <f t="shared" si="87"/>
        <v>0.16271844740149657</v>
      </c>
      <c r="S82" s="185">
        <f t="shared" si="87"/>
        <v>0.13741905980146354</v>
      </c>
    </row>
    <row r="83" spans="2:19" x14ac:dyDescent="0.25">
      <c r="B83" s="134" t="s">
        <v>497</v>
      </c>
      <c r="C83" s="11" t="s">
        <v>512</v>
      </c>
      <c r="D83" s="15">
        <f t="shared" si="86"/>
        <v>2.9857500000000002E-2</v>
      </c>
      <c r="E83" s="189">
        <v>0</v>
      </c>
      <c r="F83" s="189">
        <v>5.5100000000000001E-3</v>
      </c>
      <c r="G83" s="189">
        <v>6.5799999999999999E-3</v>
      </c>
      <c r="H83" s="189">
        <v>4.2387400000000004E-3</v>
      </c>
      <c r="I83" s="189">
        <v>8.4197999999999999E-4</v>
      </c>
      <c r="J83" s="189">
        <v>1.268678E-2</v>
      </c>
      <c r="L83" s="134" t="s">
        <v>497</v>
      </c>
      <c r="M83" s="11" t="s">
        <v>31</v>
      </c>
      <c r="N83" s="185">
        <f t="shared" si="87"/>
        <v>0</v>
      </c>
      <c r="O83" s="185">
        <f t="shared" si="87"/>
        <v>0.18454324709034581</v>
      </c>
      <c r="P83" s="185">
        <f t="shared" si="87"/>
        <v>0.22038013899355269</v>
      </c>
      <c r="Q83" s="185">
        <f t="shared" si="87"/>
        <v>0.14196567026710208</v>
      </c>
      <c r="R83" s="185">
        <f t="shared" si="87"/>
        <v>2.8199949761366489E-2</v>
      </c>
      <c r="S83" s="185">
        <f t="shared" si="87"/>
        <v>0.42491099388763287</v>
      </c>
    </row>
    <row r="84" spans="2:19" x14ac:dyDescent="0.25">
      <c r="B84" s="134" t="s">
        <v>561</v>
      </c>
      <c r="C84" s="11" t="s">
        <v>513</v>
      </c>
      <c r="D84" s="15">
        <f t="shared" si="86"/>
        <v>883.70291100999998</v>
      </c>
      <c r="E84" s="189">
        <v>0</v>
      </c>
      <c r="F84" s="189">
        <v>73.7</v>
      </c>
      <c r="G84" s="189">
        <v>235</v>
      </c>
      <c r="H84" s="189">
        <v>116.967382</v>
      </c>
      <c r="I84" s="189">
        <v>4.9685110100000003</v>
      </c>
      <c r="J84" s="189">
        <v>453.06701800000002</v>
      </c>
      <c r="L84" s="134" t="s">
        <v>561</v>
      </c>
      <c r="M84" s="11" t="s">
        <v>31</v>
      </c>
      <c r="N84" s="185">
        <f t="shared" si="87"/>
        <v>0</v>
      </c>
      <c r="O84" s="185">
        <f t="shared" si="87"/>
        <v>8.3399068942487636E-2</v>
      </c>
      <c r="P84" s="185">
        <f t="shared" si="87"/>
        <v>0.26592647491837984</v>
      </c>
      <c r="Q84" s="185">
        <f t="shared" si="87"/>
        <v>0.13236052585400659</v>
      </c>
      <c r="R84" s="185">
        <f t="shared" si="87"/>
        <v>5.6223770999253575E-3</v>
      </c>
      <c r="S84" s="185">
        <f t="shared" si="87"/>
        <v>0.51269155318520065</v>
      </c>
    </row>
    <row r="85" spans="2:19" x14ac:dyDescent="0.25">
      <c r="B85" s="134" t="s">
        <v>498</v>
      </c>
      <c r="C85" s="11" t="s">
        <v>514</v>
      </c>
      <c r="D85" s="15">
        <f t="shared" si="86"/>
        <v>4.0620240000000001E-6</v>
      </c>
      <c r="E85" s="189">
        <v>0</v>
      </c>
      <c r="F85" s="189">
        <v>1.6199999999999999E-6</v>
      </c>
      <c r="G85" s="189">
        <v>6.9699999999999995E-7</v>
      </c>
      <c r="H85" s="189">
        <v>3.6693000000000002E-7</v>
      </c>
      <c r="I85" s="189">
        <v>3.4294000000000003E-8</v>
      </c>
      <c r="J85" s="189">
        <v>1.3437999999999999E-6</v>
      </c>
      <c r="L85" s="134" t="s">
        <v>498</v>
      </c>
      <c r="M85" s="11" t="s">
        <v>31</v>
      </c>
      <c r="N85" s="185">
        <f t="shared" si="87"/>
        <v>0</v>
      </c>
      <c r="O85" s="185">
        <f t="shared" si="87"/>
        <v>0.39881595972845063</v>
      </c>
      <c r="P85" s="185">
        <f t="shared" si="87"/>
        <v>0.17158933575970992</v>
      </c>
      <c r="Q85" s="185">
        <f t="shared" si="87"/>
        <v>9.0331814878494079E-2</v>
      </c>
      <c r="R85" s="185">
        <f t="shared" si="87"/>
        <v>8.4425892116836345E-3</v>
      </c>
      <c r="S85" s="185">
        <f t="shared" si="87"/>
        <v>0.33082030042166172</v>
      </c>
    </row>
    <row r="86" spans="2:19" ht="18" x14ac:dyDescent="0.25">
      <c r="B86" s="134" t="s">
        <v>499</v>
      </c>
      <c r="C86" s="11" t="s">
        <v>565</v>
      </c>
      <c r="D86" s="15">
        <f t="shared" si="86"/>
        <v>7.2710600000000002E-3</v>
      </c>
      <c r="E86" s="189">
        <v>0</v>
      </c>
      <c r="F86" s="189">
        <v>4.0299999999999997E-3</v>
      </c>
      <c r="G86" s="189">
        <v>6.0099999999999997E-4</v>
      </c>
      <c r="H86" s="189">
        <v>1.34566E-3</v>
      </c>
      <c r="I86" s="189">
        <v>1.3613000000000001E-4</v>
      </c>
      <c r="J86" s="189">
        <v>1.1582700000000001E-3</v>
      </c>
      <c r="L86" s="134" t="s">
        <v>499</v>
      </c>
      <c r="M86" s="11" t="s">
        <v>31</v>
      </c>
      <c r="N86" s="185">
        <f t="shared" si="87"/>
        <v>0</v>
      </c>
      <c r="O86" s="185">
        <f t="shared" si="87"/>
        <v>0.5542520622852789</v>
      </c>
      <c r="P86" s="185">
        <f t="shared" si="87"/>
        <v>8.2656448990931164E-2</v>
      </c>
      <c r="Q86" s="185">
        <f t="shared" si="87"/>
        <v>0.18507067745280606</v>
      </c>
      <c r="R86" s="185">
        <f t="shared" si="87"/>
        <v>1.8722167056797773E-2</v>
      </c>
      <c r="S86" s="185">
        <f t="shared" si="87"/>
        <v>0.1592986442141861</v>
      </c>
    </row>
    <row r="87" spans="2:19" x14ac:dyDescent="0.25">
      <c r="B87" s="134" t="s">
        <v>500</v>
      </c>
      <c r="C87" s="11" t="s">
        <v>515</v>
      </c>
      <c r="D87" s="15">
        <f t="shared" si="86"/>
        <v>1839.9434074999999</v>
      </c>
      <c r="E87" s="189">
        <v>0</v>
      </c>
      <c r="F87" s="189">
        <v>774</v>
      </c>
      <c r="G87" s="189">
        <v>273</v>
      </c>
      <c r="H87" s="189">
        <v>237.652613</v>
      </c>
      <c r="I87" s="189">
        <v>28.955092499999999</v>
      </c>
      <c r="J87" s="189">
        <v>526.33570199999997</v>
      </c>
      <c r="L87" s="134" t="s">
        <v>500</v>
      </c>
      <c r="M87" s="11" t="s">
        <v>31</v>
      </c>
      <c r="N87" s="185">
        <f t="shared" si="87"/>
        <v>0</v>
      </c>
      <c r="O87" s="185">
        <f t="shared" si="87"/>
        <v>0.42066511222302366</v>
      </c>
      <c r="P87" s="185">
        <f t="shared" si="87"/>
        <v>0.14837412872982617</v>
      </c>
      <c r="Q87" s="185">
        <f t="shared" si="87"/>
        <v>0.12916300144410828</v>
      </c>
      <c r="R87" s="185">
        <f t="shared" si="87"/>
        <v>1.57369473332565E-2</v>
      </c>
      <c r="S87" s="185">
        <f t="shared" si="87"/>
        <v>0.28606081026978541</v>
      </c>
    </row>
    <row r="88" spans="2:19" x14ac:dyDescent="0.25">
      <c r="B88" s="134" t="s">
        <v>562</v>
      </c>
      <c r="C88" s="11" t="s">
        <v>516</v>
      </c>
      <c r="D88" s="15">
        <f t="shared" si="86"/>
        <v>847.85317190000001</v>
      </c>
      <c r="E88" s="189">
        <v>0</v>
      </c>
      <c r="F88" s="189">
        <v>574</v>
      </c>
      <c r="G88" s="189">
        <v>65.3</v>
      </c>
      <c r="H88" s="189">
        <v>72.520386299999998</v>
      </c>
      <c r="I88" s="189">
        <v>10.229657599999999</v>
      </c>
      <c r="J88" s="189">
        <v>125.803128</v>
      </c>
      <c r="L88" s="134" t="s">
        <v>562</v>
      </c>
      <c r="M88" s="11" t="s">
        <v>31</v>
      </c>
      <c r="N88" s="185">
        <f t="shared" si="87"/>
        <v>0</v>
      </c>
      <c r="O88" s="185">
        <f t="shared" si="87"/>
        <v>0.677004013222823</v>
      </c>
      <c r="P88" s="185">
        <f t="shared" si="87"/>
        <v>7.7018052375349019E-2</v>
      </c>
      <c r="Q88" s="185">
        <f t="shared" si="87"/>
        <v>8.5534133389493783E-2</v>
      </c>
      <c r="R88" s="185">
        <f t="shared" si="87"/>
        <v>1.2065364545462285E-2</v>
      </c>
      <c r="S88" s="185">
        <f t="shared" si="87"/>
        <v>0.14837843646687193</v>
      </c>
    </row>
    <row r="89" spans="2:19" ht="18" x14ac:dyDescent="0.25">
      <c r="B89" s="134" t="s">
        <v>501</v>
      </c>
      <c r="C89" s="11" t="s">
        <v>566</v>
      </c>
      <c r="D89" s="15">
        <f t="shared" si="86"/>
        <v>0.44724638999999999</v>
      </c>
      <c r="E89" s="189">
        <v>0</v>
      </c>
      <c r="F89" s="189">
        <v>7.7399999999999997E-2</v>
      </c>
      <c r="G89" s="189">
        <v>0.10299999999999999</v>
      </c>
      <c r="H89" s="189">
        <v>5.6835259999999999E-2</v>
      </c>
      <c r="I89" s="189">
        <v>1.2220679999999999E-2</v>
      </c>
      <c r="J89" s="189">
        <v>0.19779045000000001</v>
      </c>
      <c r="L89" s="134" t="s">
        <v>501</v>
      </c>
      <c r="M89" s="11" t="s">
        <v>31</v>
      </c>
      <c r="N89" s="185">
        <f t="shared" si="87"/>
        <v>0</v>
      </c>
      <c r="O89" s="185">
        <f t="shared" si="87"/>
        <v>0.17305897091757408</v>
      </c>
      <c r="P89" s="185">
        <f t="shared" si="87"/>
        <v>0.23029811375336087</v>
      </c>
      <c r="Q89" s="185">
        <f t="shared" si="87"/>
        <v>0.12707818614254215</v>
      </c>
      <c r="R89" s="185">
        <f t="shared" si="87"/>
        <v>2.7324267502751669E-2</v>
      </c>
      <c r="S89" s="185">
        <f t="shared" si="87"/>
        <v>0.44224046168377124</v>
      </c>
    </row>
    <row r="90" spans="2:19" x14ac:dyDescent="0.25">
      <c r="B90" s="134" t="s">
        <v>502</v>
      </c>
      <c r="C90" s="11" t="s">
        <v>563</v>
      </c>
      <c r="D90" s="15">
        <f t="shared" si="86"/>
        <v>0.60584307000000004</v>
      </c>
      <c r="E90" s="189">
        <v>0</v>
      </c>
      <c r="F90" s="189">
        <v>0.32</v>
      </c>
      <c r="G90" s="189">
        <v>7.1599999999999997E-2</v>
      </c>
      <c r="H90" s="189">
        <v>7.0936570000000004E-2</v>
      </c>
      <c r="I90" s="189">
        <v>5.2709300000000001E-3</v>
      </c>
      <c r="J90" s="189">
        <v>0.13803557</v>
      </c>
      <c r="L90" s="134" t="s">
        <v>502</v>
      </c>
      <c r="M90" s="11" t="s">
        <v>31</v>
      </c>
      <c r="N90" s="185">
        <f t="shared" si="87"/>
        <v>0</v>
      </c>
      <c r="O90" s="185">
        <f t="shared" si="87"/>
        <v>0.52818958546476402</v>
      </c>
      <c r="P90" s="185">
        <f t="shared" si="87"/>
        <v>0.11818241974774094</v>
      </c>
      <c r="Q90" s="185">
        <f t="shared" si="87"/>
        <v>0.11708736719560067</v>
      </c>
      <c r="R90" s="185">
        <f t="shared" si="87"/>
        <v>8.7001572866055882E-3</v>
      </c>
      <c r="S90" s="185">
        <f t="shared" si="87"/>
        <v>0.22784047030528878</v>
      </c>
    </row>
    <row r="91" spans="2:19" ht="18" x14ac:dyDescent="0.25">
      <c r="B91" s="134" t="s">
        <v>503</v>
      </c>
      <c r="C91" s="11" t="s">
        <v>566</v>
      </c>
      <c r="D91" s="15">
        <f t="shared" si="86"/>
        <v>215.12499265</v>
      </c>
      <c r="E91" s="189">
        <v>0</v>
      </c>
      <c r="F91" s="189">
        <v>215</v>
      </c>
      <c r="G91" s="189">
        <v>3.5200000000000002E-2</v>
      </c>
      <c r="H91" s="189">
        <v>1.8493140000000002E-2</v>
      </c>
      <c r="I91" s="189">
        <v>3.4865999999999999E-3</v>
      </c>
      <c r="J91" s="189">
        <v>6.7812910000000004E-2</v>
      </c>
      <c r="L91" s="134" t="s">
        <v>503</v>
      </c>
      <c r="M91" s="11" t="s">
        <v>31</v>
      </c>
      <c r="N91" s="185">
        <f t="shared" si="87"/>
        <v>0</v>
      </c>
      <c r="O91" s="185">
        <f t="shared" si="87"/>
        <v>0.99941897662163615</v>
      </c>
      <c r="P91" s="185">
        <f t="shared" si="87"/>
        <v>1.6362580454456555E-4</v>
      </c>
      <c r="Q91" s="185">
        <f t="shared" si="87"/>
        <v>8.5964628154979752E-5</v>
      </c>
      <c r="R91" s="185">
        <f t="shared" si="87"/>
        <v>1.6207321878553473E-5</v>
      </c>
      <c r="S91" s="185">
        <f t="shared" si="87"/>
        <v>3.1522562378574477E-4</v>
      </c>
    </row>
    <row r="92" spans="2:19" ht="18" x14ac:dyDescent="0.25">
      <c r="B92" s="134" t="s">
        <v>504</v>
      </c>
      <c r="C92" s="11" t="s">
        <v>567</v>
      </c>
      <c r="D92" s="15">
        <f t="shared" si="86"/>
        <v>4.0621190000000003E-3</v>
      </c>
      <c r="E92" s="189">
        <v>0</v>
      </c>
      <c r="F92" s="189">
        <v>1.07E-3</v>
      </c>
      <c r="G92" s="189">
        <v>6.6399999999999999E-4</v>
      </c>
      <c r="H92" s="189">
        <v>9.6997000000000001E-4</v>
      </c>
      <c r="I92" s="189">
        <v>7.8949000000000006E-5</v>
      </c>
      <c r="J92" s="189">
        <v>1.2792000000000001E-3</v>
      </c>
      <c r="L92" s="134" t="s">
        <v>504</v>
      </c>
      <c r="M92" s="11" t="s">
        <v>31</v>
      </c>
      <c r="N92" s="185">
        <f t="shared" si="87"/>
        <v>0</v>
      </c>
      <c r="O92" s="185">
        <f t="shared" si="87"/>
        <v>0.26340931912629834</v>
      </c>
      <c r="P92" s="185">
        <f t="shared" si="87"/>
        <v>0.1634614840185627</v>
      </c>
      <c r="Q92" s="185">
        <f t="shared" si="87"/>
        <v>0.23878424044199589</v>
      </c>
      <c r="R92" s="185">
        <f t="shared" si="87"/>
        <v>1.943542274364685E-2</v>
      </c>
      <c r="S92" s="185">
        <f t="shared" si="87"/>
        <v>0.31490953366949614</v>
      </c>
    </row>
    <row r="93" spans="2:19" ht="18" x14ac:dyDescent="0.25">
      <c r="B93" s="176" t="s">
        <v>505</v>
      </c>
      <c r="C93" s="165" t="s">
        <v>578</v>
      </c>
      <c r="D93" s="195">
        <f>SUM(F93:J93)</f>
        <v>27.796254359999999</v>
      </c>
      <c r="E93" s="196">
        <v>0</v>
      </c>
      <c r="F93" s="196">
        <v>8.73</v>
      </c>
      <c r="G93" s="196">
        <v>5.14</v>
      </c>
      <c r="H93" s="196">
        <v>3.57763404</v>
      </c>
      <c r="I93" s="196">
        <v>0.448073</v>
      </c>
      <c r="J93" s="196">
        <v>9.9005473199999994</v>
      </c>
      <c r="L93" s="134" t="s">
        <v>505</v>
      </c>
      <c r="M93" s="11" t="s">
        <v>31</v>
      </c>
      <c r="N93" s="185">
        <f t="shared" si="87"/>
        <v>0</v>
      </c>
      <c r="O93" s="185">
        <f t="shared" si="87"/>
        <v>0.31407109342627271</v>
      </c>
      <c r="P93" s="185">
        <f t="shared" si="87"/>
        <v>0.18491700116964968</v>
      </c>
      <c r="Q93" s="185">
        <f t="shared" si="87"/>
        <v>0.12870921361075069</v>
      </c>
      <c r="R93" s="185">
        <f t="shared" si="87"/>
        <v>1.6119905732507479E-2</v>
      </c>
      <c r="S93" s="185">
        <f t="shared" si="87"/>
        <v>0.35618278606081943</v>
      </c>
    </row>
    <row r="94" spans="2:19" x14ac:dyDescent="0.25">
      <c r="B94" s="134" t="s">
        <v>506</v>
      </c>
      <c r="C94" s="11" t="s">
        <v>517</v>
      </c>
      <c r="D94" s="15">
        <f>SUM(F94:J94)</f>
        <v>519.98907107000002</v>
      </c>
      <c r="E94" s="189">
        <v>0</v>
      </c>
      <c r="F94" s="189">
        <v>143</v>
      </c>
      <c r="G94" s="189">
        <v>105</v>
      </c>
      <c r="H94" s="189">
        <v>63.604869700000002</v>
      </c>
      <c r="I94" s="189">
        <v>6.7616013700000002</v>
      </c>
      <c r="J94" s="189">
        <v>201.62260000000001</v>
      </c>
      <c r="L94" s="134" t="s">
        <v>506</v>
      </c>
      <c r="M94" s="11" t="s">
        <v>31</v>
      </c>
      <c r="N94" s="185">
        <f t="shared" si="87"/>
        <v>0</v>
      </c>
      <c r="O94" s="185">
        <f t="shared" si="87"/>
        <v>0.27500577984407215</v>
      </c>
      <c r="P94" s="185">
        <f t="shared" si="87"/>
        <v>0.20192732086452847</v>
      </c>
      <c r="Q94" s="185">
        <f t="shared" si="87"/>
        <v>0.12231962792817548</v>
      </c>
      <c r="R94" s="185">
        <f t="shared" si="87"/>
        <v>1.3003352851409767E-2</v>
      </c>
      <c r="S94" s="185">
        <f t="shared" si="87"/>
        <v>0.38774391851181411</v>
      </c>
    </row>
    <row r="95" spans="2:19" x14ac:dyDescent="0.25">
      <c r="B95" s="134" t="s">
        <v>507</v>
      </c>
      <c r="C95" s="11" t="s">
        <v>518</v>
      </c>
      <c r="D95" s="15">
        <f>SUM(F95:J95)</f>
        <v>0.52025431</v>
      </c>
      <c r="E95" s="189">
        <v>0</v>
      </c>
      <c r="F95" s="189">
        <v>0.17699999999999999</v>
      </c>
      <c r="G95" s="189">
        <v>5.8400000000000001E-2</v>
      </c>
      <c r="H95" s="189">
        <v>0.14356000999999999</v>
      </c>
      <c r="I95" s="189">
        <v>2.8812709999999998E-2</v>
      </c>
      <c r="J95" s="189">
        <v>0.11248159000000001</v>
      </c>
      <c r="L95" s="134" t="s">
        <v>507</v>
      </c>
      <c r="M95" s="11" t="s">
        <v>31</v>
      </c>
      <c r="N95" s="185">
        <f t="shared" si="87"/>
        <v>0</v>
      </c>
      <c r="O95" s="185">
        <f t="shared" si="87"/>
        <v>0.34021822904263876</v>
      </c>
      <c r="P95" s="185">
        <f t="shared" si="87"/>
        <v>0.11225279421519833</v>
      </c>
      <c r="Q95" s="185">
        <f t="shared" si="87"/>
        <v>0.27594199075448311</v>
      </c>
      <c r="R95" s="185">
        <f t="shared" si="87"/>
        <v>5.5381972712537447E-2</v>
      </c>
      <c r="S95" s="185">
        <f t="shared" si="87"/>
        <v>0.21620501327514233</v>
      </c>
    </row>
    <row r="97" spans="2:30" s="160" customFormat="1" ht="15.75" thickBot="1" x14ac:dyDescent="0.3">
      <c r="AD97" s="212"/>
    </row>
    <row r="100" spans="2:30" x14ac:dyDescent="0.25">
      <c r="B100" s="319" t="s">
        <v>714</v>
      </c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</row>
    <row r="102" spans="2:30" ht="27.95" customHeight="1" x14ac:dyDescent="0.25">
      <c r="B102" s="167" t="s">
        <v>569</v>
      </c>
      <c r="C102" s="167" t="s">
        <v>365</v>
      </c>
      <c r="D102" s="167" t="s">
        <v>596</v>
      </c>
      <c r="E102" s="167" t="s">
        <v>646</v>
      </c>
      <c r="F102" s="167" t="s">
        <v>492</v>
      </c>
      <c r="G102" s="167" t="s">
        <v>568</v>
      </c>
      <c r="H102" s="167" t="s">
        <v>573</v>
      </c>
      <c r="L102" s="167" t="s">
        <v>569</v>
      </c>
      <c r="M102" s="167" t="s">
        <v>365</v>
      </c>
      <c r="N102" s="167" t="s">
        <v>646</v>
      </c>
      <c r="O102" s="167" t="s">
        <v>492</v>
      </c>
      <c r="P102" s="167" t="s">
        <v>568</v>
      </c>
      <c r="Q102" s="167" t="s">
        <v>573</v>
      </c>
    </row>
    <row r="103" spans="2:30" x14ac:dyDescent="0.25">
      <c r="B103" s="134" t="s">
        <v>508</v>
      </c>
      <c r="C103" s="11" t="s">
        <v>579</v>
      </c>
      <c r="D103" s="15">
        <f>SUM(E103:J103)</f>
        <v>1.675000187E-4</v>
      </c>
      <c r="E103" s="189">
        <v>0</v>
      </c>
      <c r="F103" s="189">
        <v>1.35E-4</v>
      </c>
      <c r="G103" s="189">
        <v>1.8700000000000001E-11</v>
      </c>
      <c r="H103" s="189">
        <v>3.2499999999999997E-5</v>
      </c>
      <c r="K103" s="190"/>
      <c r="L103" s="134" t="s">
        <v>508</v>
      </c>
      <c r="M103" s="11" t="s">
        <v>31</v>
      </c>
      <c r="N103" s="185">
        <f>E103/$D103</f>
        <v>0</v>
      </c>
      <c r="O103" s="185">
        <f t="shared" ref="O103:Q106" si="88">F103/$D103</f>
        <v>0.8059700592737904</v>
      </c>
      <c r="P103" s="185">
        <f t="shared" si="88"/>
        <v>1.1164177858088801E-7</v>
      </c>
      <c r="Q103" s="185">
        <f t="shared" si="88"/>
        <v>0.194029829084431</v>
      </c>
    </row>
    <row r="104" spans="2:30" ht="17.25" x14ac:dyDescent="0.25">
      <c r="B104" s="134" t="s">
        <v>509</v>
      </c>
      <c r="C104" s="11" t="s">
        <v>580</v>
      </c>
      <c r="D104" s="15">
        <f t="shared" ref="D104:D106" si="89">SUM(E104:J104)</f>
        <v>78.300028700000013</v>
      </c>
      <c r="E104" s="189">
        <v>0</v>
      </c>
      <c r="F104" s="189">
        <v>42.2</v>
      </c>
      <c r="G104" s="189">
        <v>2.87E-5</v>
      </c>
      <c r="H104" s="189">
        <v>36.1</v>
      </c>
      <c r="K104" s="190"/>
      <c r="L104" s="134" t="s">
        <v>509</v>
      </c>
      <c r="M104" s="11" t="s">
        <v>31</v>
      </c>
      <c r="N104" s="185">
        <f t="shared" ref="N104:N106" si="90">E104/$D104</f>
        <v>0</v>
      </c>
      <c r="O104" s="185">
        <f t="shared" si="88"/>
        <v>0.53895254830219486</v>
      </c>
      <c r="P104" s="185">
        <f t="shared" si="88"/>
        <v>3.665388183950946E-7</v>
      </c>
      <c r="Q104" s="185">
        <f t="shared" si="88"/>
        <v>0.46104708515898662</v>
      </c>
    </row>
    <row r="105" spans="2:30" s="203" customFormat="1" ht="18" x14ac:dyDescent="0.25">
      <c r="B105" s="176" t="s">
        <v>510</v>
      </c>
      <c r="C105" s="165" t="s">
        <v>578</v>
      </c>
      <c r="D105" s="195">
        <f t="shared" si="89"/>
        <v>217.9</v>
      </c>
      <c r="E105" s="196">
        <v>0</v>
      </c>
      <c r="F105" s="196">
        <v>155</v>
      </c>
      <c r="G105" s="196" t="s">
        <v>647</v>
      </c>
      <c r="H105" s="196">
        <v>62.9</v>
      </c>
      <c r="I105" s="139"/>
      <c r="J105" s="139"/>
      <c r="K105" s="190"/>
      <c r="L105" s="176" t="s">
        <v>510</v>
      </c>
      <c r="M105" s="165" t="s">
        <v>31</v>
      </c>
      <c r="N105" s="202">
        <f t="shared" si="90"/>
        <v>0</v>
      </c>
      <c r="O105" s="202">
        <f t="shared" si="88"/>
        <v>0.71133547498852678</v>
      </c>
      <c r="P105" s="202" t="e">
        <f t="shared" si="88"/>
        <v>#VALUE!</v>
      </c>
      <c r="Q105" s="202">
        <f t="shared" si="88"/>
        <v>0.28866452501147316</v>
      </c>
      <c r="R105" s="139"/>
      <c r="S105" s="139"/>
      <c r="AD105" s="213"/>
    </row>
    <row r="106" spans="2:30" x14ac:dyDescent="0.25">
      <c r="B106" s="134" t="s">
        <v>511</v>
      </c>
      <c r="C106" s="11" t="s">
        <v>517</v>
      </c>
      <c r="D106" s="15">
        <f t="shared" si="89"/>
        <v>3641.66</v>
      </c>
      <c r="E106" s="189">
        <v>0</v>
      </c>
      <c r="F106" s="189">
        <v>2610</v>
      </c>
      <c r="G106" s="189">
        <v>1.66</v>
      </c>
      <c r="H106" s="189">
        <v>1030</v>
      </c>
      <c r="K106" s="190"/>
      <c r="L106" s="134" t="s">
        <v>511</v>
      </c>
      <c r="M106" s="11" t="s">
        <v>31</v>
      </c>
      <c r="N106" s="185">
        <f t="shared" si="90"/>
        <v>0</v>
      </c>
      <c r="O106" s="185">
        <f t="shared" si="88"/>
        <v>0.71670611753980329</v>
      </c>
      <c r="P106" s="185">
        <f t="shared" si="88"/>
        <v>4.5583607475711623E-4</v>
      </c>
      <c r="Q106" s="185">
        <f t="shared" si="88"/>
        <v>0.28283804638543963</v>
      </c>
    </row>
    <row r="108" spans="2:30" ht="17.25" x14ac:dyDescent="0.25">
      <c r="B108" s="319" t="s">
        <v>715</v>
      </c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</row>
    <row r="110" spans="2:30" ht="27.95" customHeight="1" x14ac:dyDescent="0.25">
      <c r="B110" s="167" t="s">
        <v>569</v>
      </c>
      <c r="C110" s="167" t="s">
        <v>365</v>
      </c>
      <c r="D110" s="167" t="s">
        <v>223</v>
      </c>
      <c r="E110" s="167" t="s">
        <v>494</v>
      </c>
      <c r="F110" s="167" t="s">
        <v>230</v>
      </c>
      <c r="G110" s="167" t="s">
        <v>570</v>
      </c>
      <c r="H110" s="167" t="s">
        <v>341</v>
      </c>
      <c r="I110" s="167" t="s">
        <v>571</v>
      </c>
      <c r="J110" s="167" t="s">
        <v>572</v>
      </c>
      <c r="L110" s="133" t="s">
        <v>569</v>
      </c>
      <c r="M110" s="133" t="s">
        <v>365</v>
      </c>
      <c r="N110" s="167" t="s">
        <v>494</v>
      </c>
      <c r="O110" s="167" t="s">
        <v>230</v>
      </c>
      <c r="P110" s="167" t="s">
        <v>570</v>
      </c>
      <c r="Q110" s="167" t="s">
        <v>341</v>
      </c>
      <c r="R110" s="167" t="s">
        <v>571</v>
      </c>
      <c r="S110" s="167" t="s">
        <v>572</v>
      </c>
    </row>
    <row r="111" spans="2:30" x14ac:dyDescent="0.25">
      <c r="B111" s="134" t="s">
        <v>508</v>
      </c>
      <c r="C111" s="11" t="s">
        <v>579</v>
      </c>
      <c r="D111" s="15">
        <f>SUM(E111:J111)</f>
        <v>4.4408770585699998E-5</v>
      </c>
      <c r="E111" s="189">
        <f>D119</f>
        <v>2.3056950000000006E-5</v>
      </c>
      <c r="F111" s="189">
        <v>1.8919999999999998E-5</v>
      </c>
      <c r="G111" s="189">
        <v>3.0855000000000001E-8</v>
      </c>
      <c r="H111" s="189">
        <v>5.5857000000000003E-12</v>
      </c>
      <c r="I111" s="189">
        <v>7.3875999999999998E-7</v>
      </c>
      <c r="J111" s="189">
        <v>1.6621999999999999E-6</v>
      </c>
      <c r="L111" s="134" t="s">
        <v>508</v>
      </c>
      <c r="M111" s="11" t="s">
        <v>31</v>
      </c>
      <c r="N111" s="185">
        <f t="shared" ref="N111:S114" si="91">E111/$D111</f>
        <v>0.51919811550524075</v>
      </c>
      <c r="O111" s="185">
        <f t="shared" si="91"/>
        <v>0.4260419676218733</v>
      </c>
      <c r="P111" s="185">
        <f t="shared" si="91"/>
        <v>6.9479518556939232E-4</v>
      </c>
      <c r="Q111" s="185">
        <f t="shared" si="91"/>
        <v>1.2577920816836672E-7</v>
      </c>
      <c r="R111" s="185">
        <f t="shared" si="91"/>
        <v>1.6635452642723845E-2</v>
      </c>
      <c r="S111" s="185">
        <f t="shared" si="91"/>
        <v>3.7429543265384661E-2</v>
      </c>
    </row>
    <row r="112" spans="2:30" ht="17.25" x14ac:dyDescent="0.25">
      <c r="B112" s="134" t="s">
        <v>509</v>
      </c>
      <c r="C112" s="11" t="s">
        <v>580</v>
      </c>
      <c r="D112" s="15">
        <f>SUM(E112:J112)</f>
        <v>13.956880075599999</v>
      </c>
      <c r="E112" s="189">
        <f t="shared" ref="E112:E114" si="92">D120</f>
        <v>8.049247059999999</v>
      </c>
      <c r="F112" s="189">
        <v>5.6318285899999996</v>
      </c>
      <c r="G112" s="189">
        <v>5.7965000000000002E-4</v>
      </c>
      <c r="H112" s="189">
        <v>8.5855999999999996E-6</v>
      </c>
      <c r="I112" s="189">
        <v>3.5666139999999999E-2</v>
      </c>
      <c r="J112" s="189">
        <v>0.23955004999999999</v>
      </c>
      <c r="L112" s="134" t="s">
        <v>509</v>
      </c>
      <c r="M112" s="11" t="s">
        <v>31</v>
      </c>
      <c r="N112" s="185">
        <f t="shared" si="91"/>
        <v>0.57672252082125641</v>
      </c>
      <c r="O112" s="185">
        <f t="shared" si="91"/>
        <v>0.40351629873540273</v>
      </c>
      <c r="P112" s="185">
        <f t="shared" si="91"/>
        <v>4.1531488187920189E-5</v>
      </c>
      <c r="Q112" s="185">
        <f t="shared" si="91"/>
        <v>6.1515180710119475E-7</v>
      </c>
      <c r="R112" s="185">
        <f t="shared" si="91"/>
        <v>2.5554522075713062E-3</v>
      </c>
      <c r="S112" s="185">
        <f t="shared" si="91"/>
        <v>1.7163581595774503E-2</v>
      </c>
    </row>
    <row r="113" spans="2:30" s="203" customFormat="1" ht="18" x14ac:dyDescent="0.25">
      <c r="B113" s="176" t="s">
        <v>510</v>
      </c>
      <c r="C113" s="165" t="s">
        <v>578</v>
      </c>
      <c r="D113" s="195">
        <f>SUM(E113:J113)</f>
        <v>51.224374665482095</v>
      </c>
      <c r="E113" s="196">
        <f t="shared" si="92"/>
        <v>28.32683561</v>
      </c>
      <c r="F113" s="196">
        <v>13.9315973</v>
      </c>
      <c r="G113" s="196">
        <v>0.47771999999999998</v>
      </c>
      <c r="H113" s="196">
        <v>5.4821000000000003E-9</v>
      </c>
      <c r="I113" s="196">
        <v>6.7667284800000003</v>
      </c>
      <c r="J113" s="196">
        <v>1.7214932700000001</v>
      </c>
      <c r="K113" s="139"/>
      <c r="L113" s="176" t="s">
        <v>510</v>
      </c>
      <c r="M113" s="165" t="s">
        <v>31</v>
      </c>
      <c r="N113" s="202">
        <f t="shared" si="91"/>
        <v>0.55299524484167573</v>
      </c>
      <c r="O113" s="202">
        <f t="shared" si="91"/>
        <v>0.27197203266959363</v>
      </c>
      <c r="P113" s="202">
        <f t="shared" si="91"/>
        <v>9.3260289289956912E-3</v>
      </c>
      <c r="Q113" s="202">
        <f t="shared" si="91"/>
        <v>1.070213162347134E-10</v>
      </c>
      <c r="R113" s="202">
        <f t="shared" si="91"/>
        <v>0.13209977718985816</v>
      </c>
      <c r="S113" s="202">
        <f t="shared" si="91"/>
        <v>3.3606916262855627E-2</v>
      </c>
      <c r="AD113" s="213"/>
    </row>
    <row r="114" spans="2:30" x14ac:dyDescent="0.25">
      <c r="B114" s="134" t="s">
        <v>511</v>
      </c>
      <c r="C114" s="11" t="s">
        <v>517</v>
      </c>
      <c r="D114" s="15">
        <f>SUM(E114:J114)</f>
        <v>858.88833680999994</v>
      </c>
      <c r="E114" s="189">
        <f t="shared" si="92"/>
        <v>541.81335077999995</v>
      </c>
      <c r="F114" s="189">
        <v>161.69332299999999</v>
      </c>
      <c r="G114" s="189">
        <v>5.5734000000000004</v>
      </c>
      <c r="H114" s="189">
        <v>0.49695222999999999</v>
      </c>
      <c r="I114" s="189">
        <v>114.233898</v>
      </c>
      <c r="J114" s="189">
        <v>35.077412799999998</v>
      </c>
      <c r="L114" s="134" t="s">
        <v>511</v>
      </c>
      <c r="M114" s="11" t="s">
        <v>31</v>
      </c>
      <c r="N114" s="185">
        <f t="shared" si="91"/>
        <v>0.63083095620130403</v>
      </c>
      <c r="O114" s="185">
        <f t="shared" si="91"/>
        <v>0.18825884119063219</v>
      </c>
      <c r="P114" s="185">
        <f t="shared" si="91"/>
        <v>6.4890856717186125E-3</v>
      </c>
      <c r="Q114" s="185">
        <f t="shared" si="91"/>
        <v>5.7859934604040841E-4</v>
      </c>
      <c r="R114" s="185">
        <f t="shared" si="91"/>
        <v>0.13300203659101542</v>
      </c>
      <c r="S114" s="185">
        <f t="shared" si="91"/>
        <v>4.0840480999289309E-2</v>
      </c>
    </row>
    <row r="116" spans="2:30" x14ac:dyDescent="0.25">
      <c r="B116" s="320" t="s">
        <v>716</v>
      </c>
      <c r="C116" s="321"/>
      <c r="D116" s="321"/>
      <c r="E116" s="321"/>
      <c r="F116" s="321"/>
      <c r="G116" s="321"/>
      <c r="H116" s="321"/>
      <c r="I116" s="321"/>
      <c r="J116" s="321"/>
      <c r="K116" s="322"/>
    </row>
    <row r="118" spans="2:30" ht="28.5" customHeight="1" x14ac:dyDescent="0.25">
      <c r="B118" s="167" t="s">
        <v>569</v>
      </c>
      <c r="C118" s="167" t="s">
        <v>365</v>
      </c>
      <c r="D118" s="167" t="s">
        <v>223</v>
      </c>
      <c r="E118" s="167" t="s">
        <v>493</v>
      </c>
      <c r="F118" s="167" t="s">
        <v>572</v>
      </c>
      <c r="H118" s="133" t="s">
        <v>569</v>
      </c>
      <c r="I118" s="133" t="s">
        <v>365</v>
      </c>
      <c r="J118" s="167" t="s">
        <v>493</v>
      </c>
      <c r="K118" s="167" t="s">
        <v>572</v>
      </c>
    </row>
    <row r="119" spans="2:30" x14ac:dyDescent="0.25">
      <c r="B119" s="134" t="s">
        <v>508</v>
      </c>
      <c r="C119" s="11" t="s">
        <v>579</v>
      </c>
      <c r="D119" s="15">
        <f>SUM(E119:F119)</f>
        <v>2.3056950000000006E-5</v>
      </c>
      <c r="E119" s="189">
        <f>D127</f>
        <v>2.2131090000000005E-5</v>
      </c>
      <c r="F119" s="189">
        <v>9.2585999999999995E-7</v>
      </c>
      <c r="H119" s="134" t="s">
        <v>508</v>
      </c>
      <c r="I119" s="11" t="s">
        <v>31</v>
      </c>
      <c r="J119" s="185">
        <f>E119/$D119</f>
        <v>0.95984464554071547</v>
      </c>
      <c r="K119" s="185">
        <f>F119/$D119</f>
        <v>4.0155354459284497E-2</v>
      </c>
    </row>
    <row r="120" spans="2:30" ht="17.25" x14ac:dyDescent="0.25">
      <c r="B120" s="134" t="s">
        <v>509</v>
      </c>
      <c r="C120" s="11" t="s">
        <v>580</v>
      </c>
      <c r="D120" s="15">
        <f t="shared" ref="D120:D122" si="93">SUM(E120:F120)</f>
        <v>8.049247059999999</v>
      </c>
      <c r="E120" s="189">
        <f t="shared" ref="E120:E122" si="94">D128</f>
        <v>7.9158158499999995</v>
      </c>
      <c r="F120" s="189">
        <v>0.13343120999999999</v>
      </c>
      <c r="H120" s="134" t="s">
        <v>509</v>
      </c>
      <c r="I120" s="11" t="s">
        <v>31</v>
      </c>
      <c r="J120" s="185">
        <f t="shared" ref="J120:K122" si="95">E120/$D120</f>
        <v>0.98342314392819752</v>
      </c>
      <c r="K120" s="185">
        <f t="shared" si="95"/>
        <v>1.6576856071802572E-2</v>
      </c>
    </row>
    <row r="121" spans="2:30" s="203" customFormat="1" ht="18" x14ac:dyDescent="0.25">
      <c r="B121" s="176" t="s">
        <v>510</v>
      </c>
      <c r="C121" s="165" t="s">
        <v>578</v>
      </c>
      <c r="D121" s="195">
        <f t="shared" si="93"/>
        <v>28.32683561</v>
      </c>
      <c r="E121" s="196">
        <f t="shared" si="94"/>
        <v>27.367950669999999</v>
      </c>
      <c r="F121" s="196">
        <v>0.95888494000000002</v>
      </c>
      <c r="H121" s="176" t="s">
        <v>510</v>
      </c>
      <c r="I121" s="165" t="s">
        <v>31</v>
      </c>
      <c r="J121" s="202">
        <f t="shared" si="95"/>
        <v>0.96614923907485473</v>
      </c>
      <c r="K121" s="202">
        <f t="shared" si="95"/>
        <v>3.3850760925145218E-2</v>
      </c>
      <c r="AD121" s="213"/>
    </row>
    <row r="122" spans="2:30" x14ac:dyDescent="0.25">
      <c r="B122" s="134" t="s">
        <v>511</v>
      </c>
      <c r="C122" s="11" t="s">
        <v>517</v>
      </c>
      <c r="D122" s="15">
        <f t="shared" si="93"/>
        <v>541.81335077999995</v>
      </c>
      <c r="E122" s="189">
        <f t="shared" si="94"/>
        <v>522.27496317999999</v>
      </c>
      <c r="F122" s="189">
        <v>19.5383876</v>
      </c>
      <c r="H122" s="134" t="s">
        <v>511</v>
      </c>
      <c r="I122" s="11" t="s">
        <v>31</v>
      </c>
      <c r="J122" s="185">
        <f t="shared" si="95"/>
        <v>0.96393889598351112</v>
      </c>
      <c r="K122" s="185">
        <f t="shared" si="95"/>
        <v>3.6061104016488967E-2</v>
      </c>
    </row>
    <row r="124" spans="2:30" x14ac:dyDescent="0.25">
      <c r="B124" s="319" t="s">
        <v>717</v>
      </c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6" spans="2:30" ht="28.5" customHeight="1" x14ac:dyDescent="0.25">
      <c r="B126" s="167" t="s">
        <v>569</v>
      </c>
      <c r="C126" s="167" t="s">
        <v>365</v>
      </c>
      <c r="D126" s="167" t="s">
        <v>223</v>
      </c>
      <c r="E126" s="167" t="s">
        <v>574</v>
      </c>
      <c r="F126" s="167" t="s">
        <v>572</v>
      </c>
      <c r="G126" s="167" t="s">
        <v>363</v>
      </c>
      <c r="I126" s="133" t="s">
        <v>569</v>
      </c>
      <c r="J126" s="133" t="s">
        <v>365</v>
      </c>
      <c r="K126" s="167" t="s">
        <v>574</v>
      </c>
      <c r="L126" s="167" t="s">
        <v>572</v>
      </c>
      <c r="M126" s="167" t="s">
        <v>363</v>
      </c>
    </row>
    <row r="127" spans="2:30" x14ac:dyDescent="0.25">
      <c r="B127" s="134" t="s">
        <v>508</v>
      </c>
      <c r="C127" s="11" t="s">
        <v>579</v>
      </c>
      <c r="D127" s="15">
        <f>SUM(E127:G127)</f>
        <v>2.2131090000000005E-5</v>
      </c>
      <c r="E127" s="189">
        <f>D135</f>
        <v>2.3745100000000004E-5</v>
      </c>
      <c r="F127" s="189">
        <v>8.8278999999999998E-7</v>
      </c>
      <c r="G127" s="189">
        <v>-2.4968E-6</v>
      </c>
      <c r="H127" s="190">
        <f>SUM(E127:F127)</f>
        <v>2.4627890000000005E-5</v>
      </c>
      <c r="I127" s="134" t="s">
        <v>508</v>
      </c>
      <c r="J127" s="11" t="s">
        <v>31</v>
      </c>
      <c r="K127" s="185">
        <f>E127/$H127</f>
        <v>0.96415486669787787</v>
      </c>
      <c r="L127" s="185">
        <f t="shared" ref="L127:M130" si="96">F127/$H127</f>
        <v>3.5845133302122099E-2</v>
      </c>
      <c r="M127" s="185">
        <f t="shared" si="96"/>
        <v>-0.10138099528623847</v>
      </c>
    </row>
    <row r="128" spans="2:30" ht="17.25" x14ac:dyDescent="0.25">
      <c r="B128" s="134" t="s">
        <v>509</v>
      </c>
      <c r="C128" s="11" t="s">
        <v>580</v>
      </c>
      <c r="D128" s="15">
        <f t="shared" ref="D128:D130" si="97">SUM(E128:G128)</f>
        <v>7.9158158499999995</v>
      </c>
      <c r="E128" s="189">
        <f t="shared" ref="E128:E130" si="98">D136</f>
        <v>7.9255065499999997</v>
      </c>
      <c r="F128" s="189">
        <v>0.12722385</v>
      </c>
      <c r="G128" s="189">
        <v>-0.13691455</v>
      </c>
      <c r="H128" s="190">
        <f t="shared" ref="H128:H130" si="99">SUM(E128:F128)</f>
        <v>8.0527303999999997</v>
      </c>
      <c r="I128" s="134" t="s">
        <v>509</v>
      </c>
      <c r="J128" s="11" t="s">
        <v>31</v>
      </c>
      <c r="K128" s="185">
        <f t="shared" ref="K128:K130" si="100">E128/$H128</f>
        <v>0.98420115368571137</v>
      </c>
      <c r="L128" s="185">
        <f t="shared" si="96"/>
        <v>1.5798846314288628E-2</v>
      </c>
      <c r="M128" s="185">
        <f t="shared" si="96"/>
        <v>-1.7002251807660171E-2</v>
      </c>
    </row>
    <row r="129" spans="2:30" s="203" customFormat="1" ht="18" x14ac:dyDescent="0.25">
      <c r="B129" s="176" t="s">
        <v>510</v>
      </c>
      <c r="C129" s="165" t="s">
        <v>578</v>
      </c>
      <c r="D129" s="195">
        <f t="shared" si="97"/>
        <v>27.367950669999999</v>
      </c>
      <c r="E129" s="196">
        <f t="shared" si="98"/>
        <v>27.796254359999999</v>
      </c>
      <c r="F129" s="196">
        <v>0.91427661999999998</v>
      </c>
      <c r="G129" s="196">
        <v>-1.34258031</v>
      </c>
      <c r="H129" s="190">
        <f t="shared" si="99"/>
        <v>28.710530979999998</v>
      </c>
      <c r="I129" s="176" t="s">
        <v>510</v>
      </c>
      <c r="J129" s="165" t="s">
        <v>31</v>
      </c>
      <c r="K129" s="202">
        <f>E129/$H129</f>
        <v>0.9681553566307467</v>
      </c>
      <c r="L129" s="202">
        <f t="shared" si="96"/>
        <v>3.1844643369253356E-2</v>
      </c>
      <c r="M129" s="202">
        <f>G129/$H129</f>
        <v>-4.676264298055835E-2</v>
      </c>
      <c r="AD129" s="213"/>
    </row>
    <row r="130" spans="2:30" x14ac:dyDescent="0.25">
      <c r="B130" s="134" t="s">
        <v>511</v>
      </c>
      <c r="C130" s="11" t="s">
        <v>517</v>
      </c>
      <c r="D130" s="15">
        <f t="shared" si="97"/>
        <v>522.27496317999999</v>
      </c>
      <c r="E130" s="189">
        <f t="shared" si="98"/>
        <v>521.27392578000001</v>
      </c>
      <c r="F130" s="189">
        <v>18.629441499999999</v>
      </c>
      <c r="G130" s="189">
        <v>-17.628404100000001</v>
      </c>
      <c r="H130" s="190">
        <f t="shared" si="99"/>
        <v>539.90336728</v>
      </c>
      <c r="I130" s="134" t="s">
        <v>511</v>
      </c>
      <c r="J130" s="11" t="s">
        <v>31</v>
      </c>
      <c r="K130" s="185">
        <f t="shared" si="100"/>
        <v>0.9654948595822731</v>
      </c>
      <c r="L130" s="185">
        <f t="shared" si="96"/>
        <v>3.4505140417726933E-2</v>
      </c>
      <c r="M130" s="185">
        <f t="shared" si="96"/>
        <v>-3.2651035663679627E-2</v>
      </c>
    </row>
    <row r="132" spans="2:30" x14ac:dyDescent="0.25">
      <c r="B132" s="319" t="s">
        <v>718</v>
      </c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4" spans="2:30" ht="27.95" customHeight="1" x14ac:dyDescent="0.25">
      <c r="B134" s="167" t="s">
        <v>569</v>
      </c>
      <c r="C134" s="167" t="s">
        <v>365</v>
      </c>
      <c r="D134" s="167" t="s">
        <v>223</v>
      </c>
      <c r="E134" s="167" t="s">
        <v>597</v>
      </c>
      <c r="F134" s="167" t="s">
        <v>575</v>
      </c>
      <c r="G134" s="167" t="s">
        <v>577</v>
      </c>
      <c r="H134" s="167" t="s">
        <v>217</v>
      </c>
      <c r="I134" s="167" t="s">
        <v>576</v>
      </c>
      <c r="J134" s="167" t="s">
        <v>572</v>
      </c>
      <c r="L134" s="133" t="s">
        <v>569</v>
      </c>
      <c r="M134" s="133" t="s">
        <v>365</v>
      </c>
      <c r="N134" s="167" t="s">
        <v>597</v>
      </c>
      <c r="O134" s="167" t="s">
        <v>575</v>
      </c>
      <c r="P134" s="167" t="s">
        <v>577</v>
      </c>
      <c r="Q134" s="167" t="s">
        <v>217</v>
      </c>
      <c r="R134" s="167" t="s">
        <v>576</v>
      </c>
      <c r="S134" s="167" t="s">
        <v>572</v>
      </c>
    </row>
    <row r="135" spans="2:30" x14ac:dyDescent="0.25">
      <c r="B135" s="134" t="s">
        <v>508</v>
      </c>
      <c r="C135" s="11" t="s">
        <v>579</v>
      </c>
      <c r="D135" s="15">
        <f>SUM(E135:J135)</f>
        <v>2.3745100000000004E-5</v>
      </c>
      <c r="E135" s="189">
        <v>0</v>
      </c>
      <c r="F135" s="189">
        <v>4.5199999999999999E-6</v>
      </c>
      <c r="G135" s="189">
        <v>4.9599999999999999E-6</v>
      </c>
      <c r="H135" s="189">
        <v>3.8708000000000003E-6</v>
      </c>
      <c r="I135" s="189">
        <v>8.3470000000000003E-7</v>
      </c>
      <c r="J135" s="189">
        <v>9.5596000000000008E-6</v>
      </c>
      <c r="L135" s="134" t="s">
        <v>508</v>
      </c>
      <c r="M135" s="11" t="s">
        <v>31</v>
      </c>
      <c r="N135" s="185">
        <f t="shared" ref="N135:S138" si="101">E135/$D135</f>
        <v>0</v>
      </c>
      <c r="O135" s="185">
        <f t="shared" si="101"/>
        <v>0.19035506272873137</v>
      </c>
      <c r="P135" s="185">
        <f t="shared" si="101"/>
        <v>0.20888520157843088</v>
      </c>
      <c r="Q135" s="185">
        <f t="shared" si="101"/>
        <v>0.16301468513503836</v>
      </c>
      <c r="R135" s="185">
        <f t="shared" si="101"/>
        <v>3.51525156769186E-2</v>
      </c>
      <c r="S135" s="185">
        <f t="shared" si="101"/>
        <v>0.40259253488088065</v>
      </c>
    </row>
    <row r="136" spans="2:30" ht="17.25" x14ac:dyDescent="0.25">
      <c r="B136" s="134" t="s">
        <v>509</v>
      </c>
      <c r="C136" s="11" t="s">
        <v>580</v>
      </c>
      <c r="D136" s="15">
        <f t="shared" ref="D136:D138" si="102">SUM(E136:J136)</f>
        <v>7.9255065499999997</v>
      </c>
      <c r="E136" s="189">
        <v>0</v>
      </c>
      <c r="F136" s="189">
        <v>5.01</v>
      </c>
      <c r="G136" s="189">
        <v>0.71499999999999997</v>
      </c>
      <c r="H136" s="189">
        <v>0.72199595000000005</v>
      </c>
      <c r="I136" s="189">
        <v>0.10082496000000001</v>
      </c>
      <c r="J136" s="189">
        <v>1.3776856399999999</v>
      </c>
      <c r="L136" s="134" t="s">
        <v>509</v>
      </c>
      <c r="M136" s="11" t="s">
        <v>31</v>
      </c>
      <c r="N136" s="185">
        <f t="shared" si="101"/>
        <v>0</v>
      </c>
      <c r="O136" s="185">
        <f t="shared" si="101"/>
        <v>0.63213625127847506</v>
      </c>
      <c r="P136" s="185">
        <f t="shared" si="101"/>
        <v>9.0215053825171587E-2</v>
      </c>
      <c r="Q136" s="185">
        <f t="shared" si="101"/>
        <v>9.1097767120008263E-2</v>
      </c>
      <c r="R136" s="185">
        <f t="shared" si="101"/>
        <v>1.2721579291357725E-2</v>
      </c>
      <c r="S136" s="185">
        <f t="shared" si="101"/>
        <v>0.17382934848498738</v>
      </c>
    </row>
    <row r="137" spans="2:30" s="203" customFormat="1" ht="18" x14ac:dyDescent="0.25">
      <c r="B137" s="176" t="s">
        <v>510</v>
      </c>
      <c r="C137" s="165" t="s">
        <v>578</v>
      </c>
      <c r="D137" s="195">
        <f>SUM(F137:J137)</f>
        <v>27.796254359999999</v>
      </c>
      <c r="E137" s="196">
        <v>0</v>
      </c>
      <c r="F137" s="196">
        <v>8.73</v>
      </c>
      <c r="G137" s="196">
        <v>5.14</v>
      </c>
      <c r="H137" s="196">
        <v>3.57763404</v>
      </c>
      <c r="I137" s="196">
        <v>0.448073</v>
      </c>
      <c r="J137" s="196">
        <v>9.9005473199999994</v>
      </c>
      <c r="L137" s="176" t="s">
        <v>510</v>
      </c>
      <c r="M137" s="165" t="s">
        <v>31</v>
      </c>
      <c r="N137" s="202">
        <f t="shared" si="101"/>
        <v>0</v>
      </c>
      <c r="O137" s="202">
        <f t="shared" si="101"/>
        <v>0.31407109342627271</v>
      </c>
      <c r="P137" s="202">
        <f t="shared" si="101"/>
        <v>0.18491700116964968</v>
      </c>
      <c r="Q137" s="202">
        <f t="shared" si="101"/>
        <v>0.12870921361075069</v>
      </c>
      <c r="R137" s="202">
        <f t="shared" si="101"/>
        <v>1.6119905732507479E-2</v>
      </c>
      <c r="S137" s="202">
        <f t="shared" si="101"/>
        <v>0.35618278606081943</v>
      </c>
      <c r="AD137" s="213"/>
    </row>
    <row r="138" spans="2:30" x14ac:dyDescent="0.25">
      <c r="B138" s="134" t="s">
        <v>511</v>
      </c>
      <c r="C138" s="11" t="s">
        <v>517</v>
      </c>
      <c r="D138" s="15">
        <f t="shared" si="102"/>
        <v>521.27392578000001</v>
      </c>
      <c r="E138" s="189">
        <v>0</v>
      </c>
      <c r="F138" s="189">
        <v>144</v>
      </c>
      <c r="G138" s="189">
        <v>105</v>
      </c>
      <c r="H138" s="189">
        <v>63.748429700000003</v>
      </c>
      <c r="I138" s="189">
        <v>6.7904140799999997</v>
      </c>
      <c r="J138" s="189">
        <v>201.73508200000001</v>
      </c>
      <c r="L138" s="134" t="s">
        <v>511</v>
      </c>
      <c r="M138" s="11" t="s">
        <v>31</v>
      </c>
      <c r="N138" s="185">
        <f t="shared" si="101"/>
        <v>0</v>
      </c>
      <c r="O138" s="185">
        <f t="shared" si="101"/>
        <v>0.2762463128853565</v>
      </c>
      <c r="P138" s="185">
        <f t="shared" si="101"/>
        <v>0.20142960314557246</v>
      </c>
      <c r="Q138" s="185">
        <f t="shared" si="101"/>
        <v>0.12229353233928025</v>
      </c>
      <c r="R138" s="185">
        <f t="shared" si="101"/>
        <v>1.3026575365033405E-2</v>
      </c>
      <c r="S138" s="185">
        <f t="shared" si="101"/>
        <v>0.38700397626475735</v>
      </c>
    </row>
    <row r="140" spans="2:30" x14ac:dyDescent="0.25">
      <c r="G140" s="214"/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5"/>
  <sheetViews>
    <sheetView zoomScale="80" zoomScaleNormal="80" workbookViewId="0">
      <selection activeCell="B27" sqref="B27:F27"/>
    </sheetView>
  </sheetViews>
  <sheetFormatPr defaultColWidth="10.85546875" defaultRowHeight="15" x14ac:dyDescent="0.25"/>
  <cols>
    <col min="1" max="1" width="12.5703125" style="139" bestFit="1" customWidth="1"/>
    <col min="2" max="2" width="27.85546875" style="139" customWidth="1"/>
    <col min="3" max="3" width="12.140625" style="139" bestFit="1" customWidth="1"/>
    <col min="4" max="7" width="10.85546875" style="139"/>
    <col min="8" max="8" width="15.140625" style="139" bestFit="1" customWidth="1"/>
    <col min="9" max="9" width="15.140625" style="139" customWidth="1"/>
    <col min="10" max="21" width="10.85546875" style="139"/>
    <col min="22" max="22" width="15.85546875" style="139" bestFit="1" customWidth="1"/>
    <col min="23" max="23" width="11.85546875" style="139" customWidth="1"/>
    <col min="24" max="24" width="12.5703125" style="139" customWidth="1"/>
    <col min="25" max="16384" width="10.85546875" style="139"/>
  </cols>
  <sheetData>
    <row r="1" spans="1:14" x14ac:dyDescent="0.25">
      <c r="A1" s="187" t="s">
        <v>660</v>
      </c>
      <c r="D1" s="215" t="s">
        <v>700</v>
      </c>
      <c r="E1" s="215" t="s">
        <v>701</v>
      </c>
      <c r="F1" s="215"/>
      <c r="J1" s="215" t="s">
        <v>700</v>
      </c>
      <c r="K1" s="215" t="s">
        <v>701</v>
      </c>
      <c r="L1" s="215"/>
    </row>
    <row r="2" spans="1:14" ht="30" customHeight="1" x14ac:dyDescent="0.25">
      <c r="B2" s="167" t="s">
        <v>657</v>
      </c>
      <c r="C2" s="167" t="s">
        <v>365</v>
      </c>
      <c r="D2" s="167" t="s">
        <v>678</v>
      </c>
      <c r="E2" s="167" t="s">
        <v>684</v>
      </c>
      <c r="F2" s="167" t="s">
        <v>649</v>
      </c>
      <c r="H2" s="323" t="s">
        <v>582</v>
      </c>
      <c r="I2" s="324"/>
      <c r="J2" s="167" t="s">
        <v>678</v>
      </c>
      <c r="K2" s="167" t="s">
        <v>684</v>
      </c>
      <c r="L2" s="167" t="s">
        <v>649</v>
      </c>
    </row>
    <row r="3" spans="1:14" ht="18" x14ac:dyDescent="0.25">
      <c r="B3" s="134" t="s">
        <v>495</v>
      </c>
      <c r="C3" s="11" t="s">
        <v>564</v>
      </c>
      <c r="D3" s="15">
        <f>'Results Flue gas - MEA (GF)'!D24</f>
        <v>0.94753889765799981</v>
      </c>
      <c r="E3" s="15">
        <f>'Results Biogas - MEA (GF)'!D24</f>
        <v>1.2805388976580001</v>
      </c>
      <c r="F3" s="15">
        <f>'Results SimaPro (GF)'!D24</f>
        <v>0.9620827376579999</v>
      </c>
      <c r="H3" s="15">
        <f>MAX(D3:F3)</f>
        <v>1.2805388976580001</v>
      </c>
      <c r="I3" s="15" t="s">
        <v>689</v>
      </c>
      <c r="J3" s="185">
        <f>D3/$H3</f>
        <v>0.73995323327621687</v>
      </c>
      <c r="K3" s="185">
        <f t="shared" ref="K3:L17" si="0">E3/$H3</f>
        <v>1</v>
      </c>
      <c r="L3" s="185">
        <f t="shared" si="0"/>
        <v>0.75131082657275761</v>
      </c>
    </row>
    <row r="4" spans="1:14" ht="18" x14ac:dyDescent="0.25">
      <c r="B4" s="134" t="s">
        <v>496</v>
      </c>
      <c r="C4" s="11" t="s">
        <v>564</v>
      </c>
      <c r="D4" s="15">
        <f>'Results Flue gas - MEA (GF)'!D25</f>
        <v>1.6425472581699998</v>
      </c>
      <c r="E4" s="15">
        <f>'Results Biogas - MEA (GF)'!D25</f>
        <v>1.64454725817</v>
      </c>
      <c r="F4" s="15">
        <f>'Results SimaPro (GF)'!D25</f>
        <v>1.7296119881699998</v>
      </c>
      <c r="H4" s="15">
        <f t="shared" ref="H4:H17" si="1">MAX(D4:F4)</f>
        <v>1.7296119881699998</v>
      </c>
      <c r="I4" s="15" t="s">
        <v>649</v>
      </c>
      <c r="J4" s="185">
        <f t="shared" ref="J4:J17" si="2">D4/$H4</f>
        <v>0.94966227651317447</v>
      </c>
      <c r="K4" s="185">
        <f t="shared" si="0"/>
        <v>0.95081860522370587</v>
      </c>
      <c r="L4" s="185">
        <f t="shared" si="0"/>
        <v>1</v>
      </c>
    </row>
    <row r="5" spans="1:14" x14ac:dyDescent="0.25">
      <c r="B5" s="134" t="s">
        <v>497</v>
      </c>
      <c r="C5" s="11" t="s">
        <v>512</v>
      </c>
      <c r="D5" s="15">
        <f>'Results Flue gas - MEA (GF)'!D26</f>
        <v>6.3024958083099991E-2</v>
      </c>
      <c r="E5" s="15">
        <f>'Results Biogas - MEA (GF)'!D26</f>
        <v>6.3124958083100008E-2</v>
      </c>
      <c r="F5" s="15">
        <f>'Results SimaPro (GF)'!D26</f>
        <v>5.9438768083100002E-2</v>
      </c>
      <c r="H5" s="15">
        <f t="shared" si="1"/>
        <v>6.3124958083100008E-2</v>
      </c>
      <c r="I5" s="15" t="s">
        <v>690</v>
      </c>
      <c r="J5" s="185">
        <f t="shared" si="2"/>
        <v>0.99841584053222854</v>
      </c>
      <c r="K5" s="185">
        <f t="shared" si="0"/>
        <v>1</v>
      </c>
      <c r="L5" s="185">
        <f t="shared" si="0"/>
        <v>0.94160487211496646</v>
      </c>
    </row>
    <row r="6" spans="1:14" x14ac:dyDescent="0.25">
      <c r="B6" s="134" t="s">
        <v>561</v>
      </c>
      <c r="C6" s="11" t="s">
        <v>513</v>
      </c>
      <c r="D6" s="15">
        <f>'Results Flue gas - MEA (GF)'!D27</f>
        <v>1419.6334173399998</v>
      </c>
      <c r="E6" s="15">
        <f>'Results Biogas - MEA (GF)'!D27</f>
        <v>1136.6334173399998</v>
      </c>
      <c r="F6" s="15">
        <f>'Results SimaPro (GF)'!D27</f>
        <v>1240.9024595199996</v>
      </c>
      <c r="H6" s="15">
        <f t="shared" si="1"/>
        <v>1419.6334173399998</v>
      </c>
      <c r="I6" s="15" t="s">
        <v>690</v>
      </c>
      <c r="J6" s="185">
        <f t="shared" si="2"/>
        <v>1</v>
      </c>
      <c r="K6" s="185">
        <f t="shared" si="0"/>
        <v>0.80065276250663098</v>
      </c>
      <c r="L6" s="185">
        <f t="shared" si="0"/>
        <v>0.87410062651603926</v>
      </c>
    </row>
    <row r="7" spans="1:14" x14ac:dyDescent="0.25">
      <c r="B7" s="134" t="s">
        <v>498</v>
      </c>
      <c r="C7" s="11" t="s">
        <v>514</v>
      </c>
      <c r="D7" s="15">
        <f>'Results Flue gas - MEA (GF)'!D28</f>
        <v>1.2858363900012558E-5</v>
      </c>
      <c r="E7" s="15">
        <f>'Results Biogas - MEA (GF)'!D28</f>
        <v>7.0783639000125562E-6</v>
      </c>
      <c r="F7" s="15">
        <f>'Results SimaPro (GF)'!D28</f>
        <v>6.464063900012556E-6</v>
      </c>
      <c r="H7" s="15">
        <f t="shared" si="1"/>
        <v>1.2858363900012558E-5</v>
      </c>
      <c r="I7" s="15" t="s">
        <v>690</v>
      </c>
      <c r="J7" s="185">
        <f t="shared" si="2"/>
        <v>1</v>
      </c>
      <c r="K7" s="185">
        <f t="shared" si="0"/>
        <v>0.55048713468170263</v>
      </c>
      <c r="L7" s="185">
        <f t="shared" si="0"/>
        <v>0.50271278292304689</v>
      </c>
    </row>
    <row r="8" spans="1:14" ht="18" x14ac:dyDescent="0.25">
      <c r="B8" s="134" t="s">
        <v>499</v>
      </c>
      <c r="C8" s="11" t="s">
        <v>565</v>
      </c>
      <c r="D8" s="15">
        <f>'Results Flue gas - MEA (GF)'!D29</f>
        <v>2.1448129355999997E-2</v>
      </c>
      <c r="E8" s="15">
        <f>'Results Biogas - MEA (GF)'!D29</f>
        <v>1.8208129355999997E-2</v>
      </c>
      <c r="F8" s="15">
        <f>'Results SimaPro (GF)'!D29</f>
        <v>1.4972449355999997E-2</v>
      </c>
      <c r="H8" s="15">
        <f t="shared" si="1"/>
        <v>2.1448129355999997E-2</v>
      </c>
      <c r="I8" s="15" t="s">
        <v>690</v>
      </c>
      <c r="J8" s="185">
        <f t="shared" si="2"/>
        <v>1</v>
      </c>
      <c r="K8" s="185">
        <f t="shared" si="0"/>
        <v>0.84893787489706518</v>
      </c>
      <c r="L8" s="185">
        <f t="shared" si="0"/>
        <v>0.69807716596093439</v>
      </c>
    </row>
    <row r="9" spans="1:14" x14ac:dyDescent="0.25">
      <c r="B9" s="134" t="s">
        <v>500</v>
      </c>
      <c r="C9" s="11" t="s">
        <v>515</v>
      </c>
      <c r="D9" s="15">
        <f>'Results Flue gas - MEA (GF)'!D30</f>
        <v>4583.9056529585205</v>
      </c>
      <c r="E9" s="15">
        <f>'Results Biogas - MEA (GF)'!D30</f>
        <v>6013.9056529585214</v>
      </c>
      <c r="F9" s="15">
        <f>'Results SimaPro (GF)'!D30</f>
        <v>3826.3766751585199</v>
      </c>
      <c r="H9" s="15">
        <f t="shared" si="1"/>
        <v>6013.9056529585214</v>
      </c>
      <c r="I9" s="15" t="s">
        <v>689</v>
      </c>
      <c r="J9" s="185">
        <f t="shared" si="2"/>
        <v>0.76221775290130844</v>
      </c>
      <c r="K9" s="185">
        <f t="shared" si="0"/>
        <v>1</v>
      </c>
      <c r="L9" s="185">
        <f t="shared" si="0"/>
        <v>0.63625485598965892</v>
      </c>
    </row>
    <row r="10" spans="1:14" x14ac:dyDescent="0.25">
      <c r="B10" s="134" t="s">
        <v>562</v>
      </c>
      <c r="C10" s="11" t="s">
        <v>516</v>
      </c>
      <c r="D10" s="15">
        <f>'Results Flue gas - MEA (GF)'!D31</f>
        <v>1579.1608753599</v>
      </c>
      <c r="E10" s="15">
        <f>'Results Biogas - MEA (GF)'!D31</f>
        <v>1444.1608753599</v>
      </c>
      <c r="F10" s="15">
        <f>'Results SimaPro (GF)'!D31</f>
        <v>1492.9487812598998</v>
      </c>
      <c r="H10" s="15">
        <f t="shared" si="1"/>
        <v>1579.1608753599</v>
      </c>
      <c r="I10" s="15" t="s">
        <v>690</v>
      </c>
      <c r="J10" s="185">
        <f t="shared" si="2"/>
        <v>1</v>
      </c>
      <c r="K10" s="185">
        <f t="shared" si="0"/>
        <v>0.91451155983760513</v>
      </c>
      <c r="L10" s="185">
        <f t="shared" si="0"/>
        <v>0.94540638927598053</v>
      </c>
    </row>
    <row r="11" spans="1:14" ht="18" x14ac:dyDescent="0.25">
      <c r="B11" s="134" t="s">
        <v>501</v>
      </c>
      <c r="C11" s="11" t="s">
        <v>566</v>
      </c>
      <c r="D11" s="15">
        <f>'Results Flue gas - MEA (GF)'!D32</f>
        <v>1.00916876927</v>
      </c>
      <c r="E11" s="15">
        <f>'Results Biogas - MEA (GF)'!D32</f>
        <v>0.99916876926999998</v>
      </c>
      <c r="F11" s="15">
        <f>'Results SimaPro (GF)'!D32</f>
        <v>0.92006229926999994</v>
      </c>
      <c r="H11" s="15">
        <f t="shared" si="1"/>
        <v>1.00916876927</v>
      </c>
      <c r="I11" s="15" t="s">
        <v>690</v>
      </c>
      <c r="J11" s="185">
        <f t="shared" si="2"/>
        <v>1</v>
      </c>
      <c r="K11" s="185">
        <f t="shared" si="0"/>
        <v>0.99009085466721913</v>
      </c>
      <c r="L11" s="185">
        <f t="shared" si="0"/>
        <v>0.91170310386789244</v>
      </c>
    </row>
    <row r="12" spans="1:14" x14ac:dyDescent="0.25">
      <c r="B12" s="134" t="s">
        <v>502</v>
      </c>
      <c r="C12" s="11" t="s">
        <v>563</v>
      </c>
      <c r="D12" s="15">
        <f>'Results Flue gas - MEA (GF)'!D33</f>
        <v>2.69256216</v>
      </c>
      <c r="E12" s="15">
        <f>'Results Biogas - MEA (GF)'!D33</f>
        <v>2.67256216</v>
      </c>
      <c r="F12" s="15">
        <f>'Results SimaPro (GF)'!D33</f>
        <v>2.8337030000000003</v>
      </c>
      <c r="H12" s="15">
        <f t="shared" si="1"/>
        <v>2.8337030000000003</v>
      </c>
      <c r="I12" s="15" t="s">
        <v>649</v>
      </c>
      <c r="J12" s="185">
        <f t="shared" si="2"/>
        <v>0.95019208435040647</v>
      </c>
      <c r="K12" s="185">
        <f t="shared" si="0"/>
        <v>0.94313418166970908</v>
      </c>
      <c r="L12" s="185">
        <f t="shared" si="0"/>
        <v>1</v>
      </c>
    </row>
    <row r="13" spans="1:14" ht="18" x14ac:dyDescent="0.25">
      <c r="B13" s="134" t="s">
        <v>503</v>
      </c>
      <c r="C13" s="11" t="s">
        <v>566</v>
      </c>
      <c r="D13" s="15">
        <f>'Results Flue gas - MEA (GF)'!D34</f>
        <v>215.3312213024</v>
      </c>
      <c r="E13" s="15">
        <f>'Results Biogas - MEA (GF)'!D34</f>
        <v>215.3184213024</v>
      </c>
      <c r="F13" s="15">
        <f>'Results SimaPro (GF)'!D34</f>
        <v>215.29834345240002</v>
      </c>
      <c r="H13" s="15">
        <f t="shared" si="1"/>
        <v>215.3312213024</v>
      </c>
      <c r="I13" s="15" t="s">
        <v>690</v>
      </c>
      <c r="J13" s="185">
        <f t="shared" si="2"/>
        <v>1</v>
      </c>
      <c r="K13" s="185">
        <f t="shared" si="0"/>
        <v>0.99994055669251036</v>
      </c>
      <c r="L13" s="185">
        <f t="shared" si="0"/>
        <v>0.9998473149885041</v>
      </c>
    </row>
    <row r="14" spans="1:14" ht="18" x14ac:dyDescent="0.25">
      <c r="B14" s="134" t="s">
        <v>504</v>
      </c>
      <c r="C14" s="11" t="s">
        <v>567</v>
      </c>
      <c r="D14" s="15">
        <f>'Results Flue gas - MEA (GF)'!D35</f>
        <v>3.16167828E-2</v>
      </c>
      <c r="E14" s="15">
        <f>'Results Biogas - MEA (GF)'!D35</f>
        <v>3.0326782799999997E-2</v>
      </c>
      <c r="F14" s="15">
        <f>'Results SimaPro (GF)'!D35</f>
        <v>3.3278562800000001E-2</v>
      </c>
      <c r="H14" s="15">
        <f t="shared" si="1"/>
        <v>3.3278562800000001E-2</v>
      </c>
      <c r="I14" s="15" t="s">
        <v>649</v>
      </c>
      <c r="J14" s="185">
        <f t="shared" si="2"/>
        <v>0.95006455026357084</v>
      </c>
      <c r="K14" s="185">
        <f t="shared" si="0"/>
        <v>0.91130085701898145</v>
      </c>
      <c r="L14" s="185">
        <f t="shared" si="0"/>
        <v>1</v>
      </c>
      <c r="N14" s="203" t="s">
        <v>650</v>
      </c>
    </row>
    <row r="15" spans="1:14" ht="18" x14ac:dyDescent="0.25">
      <c r="B15" s="176" t="s">
        <v>505</v>
      </c>
      <c r="C15" s="165" t="s">
        <v>578</v>
      </c>
      <c r="D15" s="195">
        <f>'Results Flue gas - MEA (GF)'!D36</f>
        <v>57.684374665482096</v>
      </c>
      <c r="E15" s="195">
        <f>'Results Biogas - MEA (GF)'!D36</f>
        <v>64.384374665482099</v>
      </c>
      <c r="F15" s="195">
        <f>'Results SimaPro (GF)'!D36</f>
        <v>62.160403655482099</v>
      </c>
      <c r="H15" s="15">
        <f t="shared" si="1"/>
        <v>64.384374665482099</v>
      </c>
      <c r="I15" s="15" t="s">
        <v>689</v>
      </c>
      <c r="J15" s="185">
        <f t="shared" si="2"/>
        <v>0.89593748429163478</v>
      </c>
      <c r="K15" s="185">
        <f t="shared" si="0"/>
        <v>1</v>
      </c>
      <c r="L15" s="185">
        <f t="shared" si="0"/>
        <v>0.96545790773685469</v>
      </c>
    </row>
    <row r="16" spans="1:14" x14ac:dyDescent="0.25">
      <c r="B16" s="134" t="s">
        <v>506</v>
      </c>
      <c r="C16" s="11" t="s">
        <v>517</v>
      </c>
      <c r="D16" s="15">
        <f>'Results Flue gas - MEA (GF)'!D37</f>
        <v>1461.9467503599999</v>
      </c>
      <c r="E16" s="15">
        <f>'Results Biogas - MEA (GF)'!D37</f>
        <v>1125.9467503599999</v>
      </c>
      <c r="F16" s="15">
        <f>'Results SimaPro (GF)'!D37</f>
        <v>988.26467586999991</v>
      </c>
      <c r="H16" s="15">
        <f t="shared" si="1"/>
        <v>1461.9467503599999</v>
      </c>
      <c r="I16" s="15" t="s">
        <v>690</v>
      </c>
      <c r="J16" s="185">
        <f t="shared" si="2"/>
        <v>1</v>
      </c>
      <c r="K16" s="185">
        <f t="shared" si="0"/>
        <v>0.77016946758337057</v>
      </c>
      <c r="L16" s="185">
        <f t="shared" si="0"/>
        <v>0.67599225185639822</v>
      </c>
    </row>
    <row r="17" spans="1:12" x14ac:dyDescent="0.25">
      <c r="B17" s="134" t="s">
        <v>507</v>
      </c>
      <c r="C17" s="11" t="s">
        <v>518</v>
      </c>
      <c r="D17" s="15">
        <f>'Results Flue gas - MEA (GF)'!D38</f>
        <v>2.2935855299999997</v>
      </c>
      <c r="E17" s="15">
        <f>'Results Biogas - MEA (GF)'!D38</f>
        <v>2.5735855299999999</v>
      </c>
      <c r="F17" s="15">
        <f>'Results SimaPro (GF)'!D38</f>
        <v>3.8349841599999999</v>
      </c>
      <c r="H17" s="15">
        <f t="shared" si="1"/>
        <v>3.8349841599999999</v>
      </c>
      <c r="I17" s="15" t="s">
        <v>649</v>
      </c>
      <c r="J17" s="185">
        <f t="shared" si="2"/>
        <v>0.59806910128150303</v>
      </c>
      <c r="K17" s="185">
        <f t="shared" si="0"/>
        <v>0.67108113687749882</v>
      </c>
      <c r="L17" s="185">
        <f t="shared" si="0"/>
        <v>1</v>
      </c>
    </row>
    <row r="18" spans="1:12" ht="14.45" customHeight="1" x14ac:dyDescent="0.25"/>
    <row r="20" spans="1:12" ht="29.1" customHeight="1" x14ac:dyDescent="0.25">
      <c r="B20" s="167" t="s">
        <v>662</v>
      </c>
      <c r="C20" s="167" t="s">
        <v>365</v>
      </c>
      <c r="D20" s="167" t="s">
        <v>678</v>
      </c>
      <c r="E20" s="167" t="s">
        <v>684</v>
      </c>
      <c r="F20" s="167" t="s">
        <v>649</v>
      </c>
      <c r="H20" s="323" t="s">
        <v>582</v>
      </c>
      <c r="I20" s="324"/>
      <c r="J20" s="167" t="s">
        <v>678</v>
      </c>
      <c r="K20" s="167" t="s">
        <v>684</v>
      </c>
      <c r="L20" s="167" t="s">
        <v>649</v>
      </c>
    </row>
    <row r="21" spans="1:12" x14ac:dyDescent="0.25">
      <c r="B21" s="134" t="s">
        <v>508</v>
      </c>
      <c r="C21" s="11" t="s">
        <v>579</v>
      </c>
      <c r="D21" s="15">
        <f>'Results Flue gas - MEA (GF)'!D111</f>
        <v>5.1748770585699993E-5</v>
      </c>
      <c r="E21" s="15">
        <f>'Results Biogas - MEA (GF)'!D111</f>
        <v>5.2648770585699987E-5</v>
      </c>
      <c r="F21" s="15">
        <f>'Results SimaPro (GF)'!D111</f>
        <v>4.9445970585699998E-5</v>
      </c>
      <c r="H21" s="15">
        <f>MAX(D21:F21)</f>
        <v>5.2648770585699987E-5</v>
      </c>
      <c r="I21" s="15" t="s">
        <v>689</v>
      </c>
      <c r="J21" s="185">
        <f>D21/$H21</f>
        <v>0.98290558373941506</v>
      </c>
      <c r="K21" s="185">
        <f t="shared" ref="K21:K24" si="3">E21/$H21</f>
        <v>1</v>
      </c>
      <c r="L21" s="185">
        <f t="shared" ref="L21:L24" si="4">F21/$H21</f>
        <v>0.93916667066733162</v>
      </c>
    </row>
    <row r="22" spans="1:12" ht="17.25" x14ac:dyDescent="0.25">
      <c r="B22" s="134" t="s">
        <v>509</v>
      </c>
      <c r="C22" s="11" t="s">
        <v>580</v>
      </c>
      <c r="D22" s="15">
        <f>'Results Flue gas - MEA (GF)'!D112</f>
        <v>16.701880075599995</v>
      </c>
      <c r="E22" s="15">
        <f>'Results Biogas - MEA (GF)'!D112</f>
        <v>15.681880075599999</v>
      </c>
      <c r="F22" s="15">
        <f>'Results SimaPro (GF)'!D112</f>
        <v>16.048419245599998</v>
      </c>
      <c r="H22" s="15">
        <f t="shared" ref="H22:H24" si="5">MAX(D22:F22)</f>
        <v>16.701880075599995</v>
      </c>
      <c r="I22" s="15" t="s">
        <v>690</v>
      </c>
      <c r="J22" s="185">
        <f t="shared" ref="J22:J24" si="6">D22/$H22</f>
        <v>1</v>
      </c>
      <c r="K22" s="185">
        <f t="shared" si="3"/>
        <v>0.93892903102027847</v>
      </c>
      <c r="L22" s="185">
        <f t="shared" si="4"/>
        <v>0.96087501364863426</v>
      </c>
    </row>
    <row r="23" spans="1:12" ht="18" x14ac:dyDescent="0.25">
      <c r="B23" s="176" t="s">
        <v>510</v>
      </c>
      <c r="C23" s="165" t="s">
        <v>578</v>
      </c>
      <c r="D23" s="195">
        <f>'Results Flue gas - MEA (GF)'!D113</f>
        <v>57.684374665482096</v>
      </c>
      <c r="E23" s="195">
        <f>'Results Biogas - MEA (GF)'!D113</f>
        <v>64.384374665482099</v>
      </c>
      <c r="F23" s="195">
        <f>'Results SimaPro (GF)'!D113</f>
        <v>62.160403655482099</v>
      </c>
      <c r="H23" s="15">
        <f t="shared" si="5"/>
        <v>64.384374665482099</v>
      </c>
      <c r="I23" s="15" t="s">
        <v>689</v>
      </c>
      <c r="J23" s="185">
        <f t="shared" si="6"/>
        <v>0.89593748429163478</v>
      </c>
      <c r="K23" s="185">
        <f t="shared" si="3"/>
        <v>1</v>
      </c>
      <c r="L23" s="185">
        <f t="shared" si="4"/>
        <v>0.96545790773685469</v>
      </c>
    </row>
    <row r="24" spans="1:12" x14ac:dyDescent="0.25">
      <c r="B24" s="134" t="s">
        <v>511</v>
      </c>
      <c r="C24" s="11" t="s">
        <v>517</v>
      </c>
      <c r="D24" s="15">
        <f>'Results Flue gas - MEA (GF)'!D114</f>
        <v>1464.8883368100001</v>
      </c>
      <c r="E24" s="15">
        <f>'Results Biogas - MEA (GF)'!D114</f>
        <v>1129.8883368100001</v>
      </c>
      <c r="F24" s="15">
        <f>'Results SimaPro (GF)'!D114</f>
        <v>992.92266051999991</v>
      </c>
      <c r="H24" s="15">
        <f t="shared" si="5"/>
        <v>1464.8883368100001</v>
      </c>
      <c r="I24" s="15" t="s">
        <v>690</v>
      </c>
      <c r="J24" s="185">
        <f t="shared" si="6"/>
        <v>1</v>
      </c>
      <c r="K24" s="185">
        <f t="shared" si="3"/>
        <v>0.77131362740622977</v>
      </c>
      <c r="L24" s="185">
        <f t="shared" si="4"/>
        <v>0.6778145716432068</v>
      </c>
    </row>
    <row r="26" spans="1:12" ht="18" x14ac:dyDescent="0.25">
      <c r="B26" s="317" t="s">
        <v>619</v>
      </c>
      <c r="C26" s="317"/>
      <c r="D26" s="317"/>
      <c r="E26" s="317"/>
      <c r="F26" s="317"/>
      <c r="G26" s="135" t="s">
        <v>621</v>
      </c>
    </row>
    <row r="27" spans="1:12" x14ac:dyDescent="0.25">
      <c r="B27" s="325" t="s">
        <v>620</v>
      </c>
      <c r="C27" s="288"/>
      <c r="D27" s="288"/>
      <c r="E27" s="288"/>
      <c r="F27" s="288"/>
      <c r="G27" s="11">
        <v>73.2</v>
      </c>
      <c r="H27" s="216" t="s">
        <v>622</v>
      </c>
      <c r="I27" s="216"/>
    </row>
    <row r="28" spans="1:12" x14ac:dyDescent="0.25">
      <c r="B28" s="325" t="s">
        <v>446</v>
      </c>
      <c r="C28" s="288"/>
      <c r="D28" s="288"/>
      <c r="E28" s="288"/>
      <c r="F28" s="288"/>
      <c r="G28" s="11">
        <v>118.6</v>
      </c>
      <c r="H28" s="216" t="s">
        <v>622</v>
      </c>
      <c r="I28" s="216"/>
    </row>
    <row r="29" spans="1:12" s="211" customFormat="1" x14ac:dyDescent="0.25"/>
    <row r="32" spans="1:12" x14ac:dyDescent="0.25">
      <c r="A32" s="187" t="s">
        <v>661</v>
      </c>
      <c r="D32" s="215"/>
      <c r="E32" s="215"/>
      <c r="F32" s="215"/>
      <c r="J32" s="215"/>
      <c r="K32" s="215"/>
      <c r="L32" s="215"/>
    </row>
    <row r="33" spans="2:12" ht="33.6" customHeight="1" x14ac:dyDescent="0.25">
      <c r="B33" s="167" t="s">
        <v>656</v>
      </c>
      <c r="C33" s="167" t="s">
        <v>365</v>
      </c>
      <c r="D33" s="167" t="s">
        <v>678</v>
      </c>
      <c r="E33" s="167" t="s">
        <v>684</v>
      </c>
      <c r="F33" s="167" t="s">
        <v>649</v>
      </c>
      <c r="H33" s="323" t="s">
        <v>582</v>
      </c>
      <c r="I33" s="324"/>
      <c r="J33" s="167" t="s">
        <v>678</v>
      </c>
      <c r="K33" s="167" t="s">
        <v>684</v>
      </c>
      <c r="L33" s="167" t="s">
        <v>649</v>
      </c>
    </row>
    <row r="34" spans="2:12" ht="18" x14ac:dyDescent="0.25">
      <c r="B34" s="134" t="s">
        <v>495</v>
      </c>
      <c r="C34" s="11" t="s">
        <v>564</v>
      </c>
      <c r="D34" s="15">
        <f>'Results Flue gas - MEA (GF)'!D5</f>
        <v>3.3820000591000001</v>
      </c>
      <c r="E34" s="15">
        <f>'Results Biogas - MEA (GF)'!D5</f>
        <v>4.3920000590999999</v>
      </c>
      <c r="F34" s="15">
        <f>'Results SimaPro (GF)'!D5</f>
        <v>3.4220000591000002</v>
      </c>
      <c r="H34" s="15">
        <f>MAX(D34:F34)</f>
        <v>4.3920000590999999</v>
      </c>
      <c r="I34" s="15" t="s">
        <v>689</v>
      </c>
      <c r="J34" s="185">
        <f>D34/$H34</f>
        <v>0.77003643296695057</v>
      </c>
      <c r="K34" s="185">
        <f t="shared" ref="K34:K48" si="7">E34/$H34</f>
        <v>1</v>
      </c>
      <c r="L34" s="185">
        <f t="shared" ref="L34:L48" si="8">F34/$H34</f>
        <v>0.77914390096825947</v>
      </c>
    </row>
    <row r="35" spans="2:12" ht="18" x14ac:dyDescent="0.25">
      <c r="B35" s="134" t="s">
        <v>496</v>
      </c>
      <c r="C35" s="11" t="s">
        <v>564</v>
      </c>
      <c r="D35" s="15">
        <f>'Results Flue gas - MEA (GF)'!D6</f>
        <v>6.1200012600000004</v>
      </c>
      <c r="E35" s="15">
        <f>'Results Biogas - MEA (GF)'!D6</f>
        <v>6.1200012600000004</v>
      </c>
      <c r="F35" s="15">
        <f>'Results SimaPro (GF)'!D6</f>
        <v>6.3800012600000002</v>
      </c>
      <c r="H35" s="15">
        <f t="shared" ref="H35:H48" si="9">MAX(D35:F35)</f>
        <v>6.3800012600000002</v>
      </c>
      <c r="I35" s="15" t="s">
        <v>649</v>
      </c>
      <c r="J35" s="185">
        <f t="shared" ref="J35:J48" si="10">D35/$H35</f>
        <v>0.95924765695108971</v>
      </c>
      <c r="K35" s="185">
        <f t="shared" si="7"/>
        <v>0.95924765695108971</v>
      </c>
      <c r="L35" s="185">
        <f t="shared" si="8"/>
        <v>1</v>
      </c>
    </row>
    <row r="36" spans="2:12" x14ac:dyDescent="0.25">
      <c r="B36" s="134" t="s">
        <v>497</v>
      </c>
      <c r="C36" s="11" t="s">
        <v>512</v>
      </c>
      <c r="D36" s="15">
        <f>'Results Flue gas - MEA (GF)'!D7</f>
        <v>0.23070001699999998</v>
      </c>
      <c r="E36" s="15">
        <f>'Results Biogas - MEA (GF)'!D7</f>
        <v>0.23170001699999998</v>
      </c>
      <c r="F36" s="15">
        <f>'Results SimaPro (GF)'!D7</f>
        <v>0.21970001699999997</v>
      </c>
      <c r="H36" s="15">
        <f t="shared" si="9"/>
        <v>0.23170001699999998</v>
      </c>
      <c r="I36" s="15" t="s">
        <v>690</v>
      </c>
      <c r="J36" s="185">
        <f t="shared" si="10"/>
        <v>0.99568407455058583</v>
      </c>
      <c r="K36" s="185">
        <f t="shared" si="7"/>
        <v>1</v>
      </c>
      <c r="L36" s="185">
        <f t="shared" si="8"/>
        <v>0.94820889460702973</v>
      </c>
    </row>
    <row r="37" spans="2:12" x14ac:dyDescent="0.25">
      <c r="B37" s="134" t="s">
        <v>561</v>
      </c>
      <c r="C37" s="11" t="s">
        <v>513</v>
      </c>
      <c r="D37" s="15">
        <f>'Results Flue gas - MEA (GF)'!D8</f>
        <v>4841.0115999999998</v>
      </c>
      <c r="E37" s="15">
        <f>'Results Biogas - MEA (GF)'!D8</f>
        <v>3981.0115999999998</v>
      </c>
      <c r="F37" s="15">
        <f>'Results SimaPro (GF)'!D8</f>
        <v>4301.0115999999998</v>
      </c>
      <c r="H37" s="15">
        <f t="shared" si="9"/>
        <v>4841.0115999999998</v>
      </c>
      <c r="I37" s="15" t="s">
        <v>690</v>
      </c>
      <c r="J37" s="185">
        <f t="shared" si="10"/>
        <v>1</v>
      </c>
      <c r="K37" s="185">
        <f t="shared" si="7"/>
        <v>0.82235117965840032</v>
      </c>
      <c r="L37" s="185">
        <f t="shared" si="8"/>
        <v>0.88845306629713505</v>
      </c>
    </row>
    <row r="38" spans="2:12" x14ac:dyDescent="0.25">
      <c r="B38" s="134" t="s">
        <v>498</v>
      </c>
      <c r="C38" s="11" t="s">
        <v>514</v>
      </c>
      <c r="D38" s="15">
        <f>'Results Flue gas - MEA (GF)'!D9</f>
        <v>5.0700000000041998E-5</v>
      </c>
      <c r="E38" s="15">
        <f>'Results Biogas - MEA (GF)'!D9</f>
        <v>3.3200000000042E-5</v>
      </c>
      <c r="F38" s="15">
        <f>'Results SimaPro (GF)'!D9</f>
        <v>3.1300000000042001E-5</v>
      </c>
      <c r="H38" s="15">
        <f t="shared" si="9"/>
        <v>5.0700000000041998E-5</v>
      </c>
      <c r="I38" s="15" t="s">
        <v>690</v>
      </c>
      <c r="J38" s="185">
        <f t="shared" si="10"/>
        <v>1</v>
      </c>
      <c r="K38" s="185">
        <f t="shared" si="7"/>
        <v>0.65483234714032545</v>
      </c>
      <c r="L38" s="185">
        <f t="shared" si="8"/>
        <v>0.6173570019727036</v>
      </c>
    </row>
    <row r="39" spans="2:12" ht="18" x14ac:dyDescent="0.25">
      <c r="B39" s="134" t="s">
        <v>499</v>
      </c>
      <c r="C39" s="11" t="s">
        <v>565</v>
      </c>
      <c r="D39" s="15">
        <f>'Results Flue gas - MEA (GF)'!D10</f>
        <v>9.4100298999999998E-2</v>
      </c>
      <c r="E39" s="15">
        <f>'Results Biogas - MEA (GF)'!D10</f>
        <v>8.4300299000000009E-2</v>
      </c>
      <c r="F39" s="15">
        <f>'Results SimaPro (GF)'!D10</f>
        <v>7.4400299000000003E-2</v>
      </c>
      <c r="H39" s="15">
        <f t="shared" si="9"/>
        <v>9.4100298999999998E-2</v>
      </c>
      <c r="I39" s="15" t="s">
        <v>690</v>
      </c>
      <c r="J39" s="185">
        <f t="shared" si="10"/>
        <v>1</v>
      </c>
      <c r="K39" s="185">
        <f t="shared" si="7"/>
        <v>0.89585580381630892</v>
      </c>
      <c r="L39" s="185">
        <f t="shared" si="8"/>
        <v>0.7906489117531923</v>
      </c>
    </row>
    <row r="40" spans="2:12" x14ac:dyDescent="0.25">
      <c r="B40" s="134" t="s">
        <v>500</v>
      </c>
      <c r="C40" s="11" t="s">
        <v>515</v>
      </c>
      <c r="D40" s="15">
        <f>'Results Flue gas - MEA (GF)'!D11</f>
        <v>19480.539000000001</v>
      </c>
      <c r="E40" s="15">
        <f>'Results Biogas - MEA (GF)'!D11</f>
        <v>23780.539000000001</v>
      </c>
      <c r="F40" s="15">
        <f>'Results SimaPro (GF)'!D11</f>
        <v>17180.539000000001</v>
      </c>
      <c r="H40" s="15">
        <f t="shared" si="9"/>
        <v>23780.539000000001</v>
      </c>
      <c r="I40" s="15" t="s">
        <v>689</v>
      </c>
      <c r="J40" s="185">
        <f t="shared" si="10"/>
        <v>0.81917987645275825</v>
      </c>
      <c r="K40" s="185">
        <f t="shared" si="7"/>
        <v>1</v>
      </c>
      <c r="L40" s="185">
        <f t="shared" si="8"/>
        <v>0.72246213595074527</v>
      </c>
    </row>
    <row r="41" spans="2:12" x14ac:dyDescent="0.25">
      <c r="B41" s="134" t="s">
        <v>562</v>
      </c>
      <c r="C41" s="11" t="s">
        <v>516</v>
      </c>
      <c r="D41" s="15">
        <f>'Results Flue gas - MEA (GF)'!D12</f>
        <v>8920.0001140000004</v>
      </c>
      <c r="E41" s="15">
        <f>'Results Biogas - MEA (GF)'!D12</f>
        <v>8510.0001140000004</v>
      </c>
      <c r="F41" s="15">
        <f>'Results SimaPro (GF)'!D12</f>
        <v>8660.0001140000004</v>
      </c>
      <c r="H41" s="15">
        <f t="shared" si="9"/>
        <v>8920.0001140000004</v>
      </c>
      <c r="I41" s="15" t="s">
        <v>690</v>
      </c>
      <c r="J41" s="185">
        <f t="shared" si="10"/>
        <v>1</v>
      </c>
      <c r="K41" s="185">
        <f t="shared" si="7"/>
        <v>0.9540358750268958</v>
      </c>
      <c r="L41" s="185">
        <f t="shared" si="8"/>
        <v>0.97085201830973877</v>
      </c>
    </row>
    <row r="42" spans="2:12" ht="18" x14ac:dyDescent="0.25">
      <c r="B42" s="134" t="s">
        <v>501</v>
      </c>
      <c r="C42" s="11" t="s">
        <v>566</v>
      </c>
      <c r="D42" s="15">
        <f>'Results Flue gas - MEA (GF)'!D13</f>
        <v>3.6170007329999998</v>
      </c>
      <c r="E42" s="15">
        <f>'Results Biogas - MEA (GF)'!D13</f>
        <v>3.5870007329999996</v>
      </c>
      <c r="F42" s="15">
        <f>'Results SimaPro (GF)'!D13</f>
        <v>3.3470007329999998</v>
      </c>
      <c r="H42" s="15">
        <f t="shared" si="9"/>
        <v>3.6170007329999998</v>
      </c>
      <c r="I42" s="15" t="s">
        <v>690</v>
      </c>
      <c r="J42" s="185">
        <f t="shared" si="10"/>
        <v>1</v>
      </c>
      <c r="K42" s="185">
        <f t="shared" si="7"/>
        <v>0.99170583524457356</v>
      </c>
      <c r="L42" s="185">
        <f t="shared" si="8"/>
        <v>0.92535251720116252</v>
      </c>
    </row>
    <row r="43" spans="2:12" x14ac:dyDescent="0.25">
      <c r="B43" s="134" t="s">
        <v>502</v>
      </c>
      <c r="C43" s="11" t="s">
        <v>563</v>
      </c>
      <c r="D43" s="15">
        <f>'Results Flue gas - MEA (GF)'!D14</f>
        <v>10.48</v>
      </c>
      <c r="E43" s="15">
        <f>'Results Biogas - MEA (GF)'!D14</f>
        <v>10.42</v>
      </c>
      <c r="F43" s="15">
        <f>'Results SimaPro (GF)'!D14</f>
        <v>10.91</v>
      </c>
      <c r="H43" s="15">
        <f t="shared" si="9"/>
        <v>10.91</v>
      </c>
      <c r="I43" s="15" t="s">
        <v>649</v>
      </c>
      <c r="J43" s="185">
        <f t="shared" si="10"/>
        <v>0.9605866177818515</v>
      </c>
      <c r="K43" s="185">
        <f t="shared" si="7"/>
        <v>0.95508707607699361</v>
      </c>
      <c r="L43" s="185">
        <f t="shared" si="8"/>
        <v>1</v>
      </c>
    </row>
    <row r="44" spans="2:12" ht="18" x14ac:dyDescent="0.25">
      <c r="B44" s="134" t="s">
        <v>503</v>
      </c>
      <c r="C44" s="11" t="s">
        <v>566</v>
      </c>
      <c r="D44" s="15">
        <f>'Results Flue gas - MEA (GF)'!D15</f>
        <v>1.2250026200000002</v>
      </c>
      <c r="E44" s="15">
        <f>'Results Biogas - MEA (GF)'!D15</f>
        <v>1.1850026200000001</v>
      </c>
      <c r="F44" s="15">
        <f>'Results SimaPro (GF)'!D15</f>
        <v>1.12600262</v>
      </c>
      <c r="H44" s="15">
        <f t="shared" si="9"/>
        <v>1.2250026200000002</v>
      </c>
      <c r="I44" s="15" t="s">
        <v>690</v>
      </c>
      <c r="J44" s="185">
        <f t="shared" si="10"/>
        <v>1</v>
      </c>
      <c r="K44" s="185">
        <f t="shared" si="7"/>
        <v>0.96734700861292844</v>
      </c>
      <c r="L44" s="185">
        <f t="shared" si="8"/>
        <v>0.9191838463169979</v>
      </c>
    </row>
    <row r="45" spans="2:12" ht="18" x14ac:dyDescent="0.25">
      <c r="B45" s="134" t="s">
        <v>504</v>
      </c>
      <c r="C45" s="11" t="s">
        <v>567</v>
      </c>
      <c r="D45" s="15">
        <f>'Results Flue gas - MEA (GF)'!D16</f>
        <v>0.10374</v>
      </c>
      <c r="E45" s="15">
        <f>'Results Biogas - MEA (GF)'!D16</f>
        <v>9.9839999999999998E-2</v>
      </c>
      <c r="F45" s="15">
        <f>'Results SimaPro (GF)'!D16</f>
        <v>0.10874</v>
      </c>
      <c r="H45" s="15">
        <f t="shared" si="9"/>
        <v>0.10874</v>
      </c>
      <c r="I45" s="15" t="s">
        <v>649</v>
      </c>
      <c r="J45" s="185">
        <f t="shared" si="10"/>
        <v>0.95401876034577893</v>
      </c>
      <c r="K45" s="185">
        <f t="shared" si="7"/>
        <v>0.91815339341548641</v>
      </c>
      <c r="L45" s="185">
        <f t="shared" si="8"/>
        <v>1</v>
      </c>
    </row>
    <row r="46" spans="2:12" ht="18" x14ac:dyDescent="0.25">
      <c r="B46" s="176" t="s">
        <v>505</v>
      </c>
      <c r="C46" s="165" t="s">
        <v>578</v>
      </c>
      <c r="D46" s="195">
        <f>'Results Flue gas - MEA (GF)'!D17</f>
        <v>237.90000001830001</v>
      </c>
      <c r="E46" s="195">
        <f>'Results Biogas - MEA (GF)'!D17</f>
        <v>257.90000001829998</v>
      </c>
      <c r="F46" s="195">
        <f>'Results SimaPro (GF)'!D17</f>
        <v>251.90000001830001</v>
      </c>
      <c r="H46" s="15">
        <f t="shared" si="9"/>
        <v>257.90000001829998</v>
      </c>
      <c r="I46" s="15" t="s">
        <v>689</v>
      </c>
      <c r="J46" s="185">
        <f t="shared" si="10"/>
        <v>0.92245056223892663</v>
      </c>
      <c r="K46" s="185">
        <f t="shared" si="7"/>
        <v>1</v>
      </c>
      <c r="L46" s="185">
        <f t="shared" si="8"/>
        <v>0.97673516867167809</v>
      </c>
    </row>
    <row r="47" spans="2:12" x14ac:dyDescent="0.25">
      <c r="B47" s="134" t="s">
        <v>506</v>
      </c>
      <c r="C47" s="11" t="s">
        <v>517</v>
      </c>
      <c r="D47" s="15">
        <f>'Results Flue gas - MEA (GF)'!D18</f>
        <v>5471.57</v>
      </c>
      <c r="E47" s="15">
        <f>'Results Biogas - MEA (GF)'!D18</f>
        <v>4451.57</v>
      </c>
      <c r="F47" s="15">
        <f>'Results SimaPro (GF)'!D18</f>
        <v>4031.57</v>
      </c>
      <c r="H47" s="15">
        <f t="shared" si="9"/>
        <v>5471.57</v>
      </c>
      <c r="I47" s="15" t="s">
        <v>690</v>
      </c>
      <c r="J47" s="185">
        <f t="shared" si="10"/>
        <v>1</v>
      </c>
      <c r="K47" s="185">
        <f t="shared" si="7"/>
        <v>0.81358184214037288</v>
      </c>
      <c r="L47" s="185">
        <f t="shared" si="8"/>
        <v>0.73682142419817354</v>
      </c>
    </row>
    <row r="48" spans="2:12" x14ac:dyDescent="0.25">
      <c r="B48" s="134" t="s">
        <v>507</v>
      </c>
      <c r="C48" s="11" t="s">
        <v>518</v>
      </c>
      <c r="D48" s="15">
        <f>'Results Flue gas - MEA (GF)'!D19</f>
        <v>8.3330000000000002</v>
      </c>
      <c r="E48" s="15">
        <f>'Results Biogas - MEA (GF)'!D19</f>
        <v>9.1829999999999998</v>
      </c>
      <c r="F48" s="15">
        <f>'Results SimaPro (GF)'!D19</f>
        <v>12.972999999999999</v>
      </c>
      <c r="H48" s="15">
        <f t="shared" si="9"/>
        <v>12.972999999999999</v>
      </c>
      <c r="I48" s="15" t="s">
        <v>649</v>
      </c>
      <c r="J48" s="185">
        <f t="shared" si="10"/>
        <v>0.64233407847066992</v>
      </c>
      <c r="K48" s="185">
        <f t="shared" si="7"/>
        <v>0.70785477530255148</v>
      </c>
      <c r="L48" s="185">
        <f t="shared" si="8"/>
        <v>1</v>
      </c>
    </row>
    <row r="51" spans="2:12" ht="30" x14ac:dyDescent="0.25">
      <c r="B51" s="167" t="s">
        <v>656</v>
      </c>
      <c r="C51" s="167" t="s">
        <v>365</v>
      </c>
      <c r="D51" s="167" t="s">
        <v>678</v>
      </c>
      <c r="E51" s="167" t="s">
        <v>684</v>
      </c>
      <c r="F51" s="167" t="s">
        <v>649</v>
      </c>
      <c r="H51" s="323" t="s">
        <v>582</v>
      </c>
      <c r="I51" s="324"/>
      <c r="J51" s="167" t="s">
        <v>678</v>
      </c>
      <c r="K51" s="167" t="s">
        <v>684</v>
      </c>
      <c r="L51" s="167" t="s">
        <v>649</v>
      </c>
    </row>
    <row r="52" spans="2:12" x14ac:dyDescent="0.25">
      <c r="B52" s="134" t="s">
        <v>508</v>
      </c>
      <c r="C52" s="11" t="s">
        <v>579</v>
      </c>
      <c r="D52" s="15">
        <f>'Results Flue gas - MEA (GF)'!D103</f>
        <v>1.8950001869999999E-4</v>
      </c>
      <c r="E52" s="15">
        <f>'Results Biogas - MEA (GF)'!D103</f>
        <v>1.9250001870000001E-4</v>
      </c>
      <c r="F52" s="15">
        <f>'Results SimaPro (GF)'!D103</f>
        <v>1.8250001869999998E-4</v>
      </c>
      <c r="H52" s="15">
        <f>MAX(D52:F52)</f>
        <v>1.9250001870000001E-4</v>
      </c>
      <c r="I52" s="15" t="s">
        <v>689</v>
      </c>
      <c r="J52" s="185">
        <f>D52/$H52</f>
        <v>0.98441558592949885</v>
      </c>
      <c r="K52" s="185">
        <f t="shared" ref="K52:K55" si="11">E52/$H52</f>
        <v>1</v>
      </c>
      <c r="L52" s="185">
        <f t="shared" ref="L52:L55" si="12">F52/$H52</f>
        <v>0.94805195309832957</v>
      </c>
    </row>
    <row r="53" spans="2:12" ht="17.25" x14ac:dyDescent="0.25">
      <c r="B53" s="134" t="s">
        <v>509</v>
      </c>
      <c r="C53" s="11" t="s">
        <v>580</v>
      </c>
      <c r="D53" s="15">
        <f>'Results Flue gas - MEA (GF)'!D104</f>
        <v>86.800028700000013</v>
      </c>
      <c r="E53" s="15">
        <f>'Results Biogas - MEA (GF)'!D104</f>
        <v>83.700028700000004</v>
      </c>
      <c r="F53" s="15">
        <f>'Results SimaPro (GF)'!D104</f>
        <v>84.800028700000013</v>
      </c>
      <c r="H53" s="15">
        <f t="shared" ref="H53:H55" si="13">MAX(D53:F53)</f>
        <v>86.800028700000013</v>
      </c>
      <c r="I53" s="15" t="s">
        <v>690</v>
      </c>
      <c r="J53" s="185">
        <f t="shared" ref="J53:J55" si="14">D53/$H53</f>
        <v>1</v>
      </c>
      <c r="K53" s="185">
        <f t="shared" si="11"/>
        <v>0.96428572609446606</v>
      </c>
      <c r="L53" s="185">
        <f t="shared" si="12"/>
        <v>0.97695853296417168</v>
      </c>
    </row>
    <row r="54" spans="2:12" ht="18" x14ac:dyDescent="0.25">
      <c r="B54" s="176" t="s">
        <v>510</v>
      </c>
      <c r="C54" s="165" t="s">
        <v>578</v>
      </c>
      <c r="D54" s="195">
        <f>'Results Flue gas - MEA (GF)'!D105</f>
        <v>237.90000001830001</v>
      </c>
      <c r="E54" s="195">
        <f>'Results Biogas - MEA (GF)'!D105</f>
        <v>257.89999999999998</v>
      </c>
      <c r="F54" s="195">
        <f>'Results SimaPro (GF)'!D105</f>
        <v>251.90000001830001</v>
      </c>
      <c r="H54" s="15">
        <f t="shared" si="13"/>
        <v>257.89999999999998</v>
      </c>
      <c r="I54" s="15" t="s">
        <v>689</v>
      </c>
      <c r="J54" s="185">
        <f t="shared" si="14"/>
        <v>0.9224505623043816</v>
      </c>
      <c r="K54" s="185">
        <f t="shared" si="11"/>
        <v>1</v>
      </c>
      <c r="L54" s="185">
        <f t="shared" si="12"/>
        <v>0.97673516874098498</v>
      </c>
    </row>
    <row r="55" spans="2:12" x14ac:dyDescent="0.25">
      <c r="B55" s="134" t="s">
        <v>511</v>
      </c>
      <c r="C55" s="11" t="s">
        <v>517</v>
      </c>
      <c r="D55" s="15">
        <f>'Results Flue gas - MEA (GF)'!D106</f>
        <v>5481.66</v>
      </c>
      <c r="E55" s="15">
        <f>'Results Biogas - MEA (GF)'!D106</f>
        <v>4461.66</v>
      </c>
      <c r="F55" s="15">
        <f>'Results SimaPro (GF)'!D106</f>
        <v>4041.66</v>
      </c>
      <c r="H55" s="15">
        <f t="shared" si="13"/>
        <v>5481.66</v>
      </c>
      <c r="I55" s="15" t="s">
        <v>690</v>
      </c>
      <c r="J55" s="185">
        <f t="shared" si="14"/>
        <v>1</v>
      </c>
      <c r="K55" s="185">
        <f t="shared" si="11"/>
        <v>0.81392497892974025</v>
      </c>
      <c r="L55" s="185">
        <f t="shared" si="12"/>
        <v>0.73730585260669212</v>
      </c>
    </row>
  </sheetData>
  <mergeCells count="7">
    <mergeCell ref="H2:I2"/>
    <mergeCell ref="H20:I20"/>
    <mergeCell ref="H33:I33"/>
    <mergeCell ref="H51:I51"/>
    <mergeCell ref="B26:F26"/>
    <mergeCell ref="B27:F27"/>
    <mergeCell ref="B28:F28"/>
  </mergeCells>
  <hyperlinks>
    <hyperlink ref="B27" r:id="rId1" xr:uid="{00000000-0004-0000-0800-000000000000}"/>
    <hyperlink ref="B28" r:id="rId2" xr:uid="{00000000-0004-0000-08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Scenario 1</vt:lpstr>
      <vt:lpstr>Calculations</vt:lpstr>
      <vt:lpstr>LCA inventary (SimaPro)</vt:lpstr>
      <vt:lpstr>Results SimaPro (GF)</vt:lpstr>
      <vt:lpstr>Results Flue gas - MEA (GF)</vt:lpstr>
      <vt:lpstr>Results Biogas - MEA (GF)</vt:lpstr>
      <vt:lpstr>Results Flue gas - membran (GF)</vt:lpstr>
      <vt:lpstr>Results Biogas - membrane (GF)</vt:lpstr>
      <vt:lpstr>Comparation CO2 source (MEA)</vt:lpstr>
      <vt:lpstr>Comparation CO2 source (membra)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Rojo</dc:creator>
  <cp:lastModifiedBy>ELENA MARIA ROJO DE BENITO</cp:lastModifiedBy>
  <dcterms:created xsi:type="dcterms:W3CDTF">2023-02-21T11:43:50Z</dcterms:created>
  <dcterms:modified xsi:type="dcterms:W3CDTF">2024-04-05T17:04:24Z</dcterms:modified>
</cp:coreProperties>
</file>